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45" windowHeight="12375" tabRatio="991" activeTab="0"/>
  </bookViews>
  <sheets>
    <sheet name="1. 設計条件" sheetId="1" r:id="rId1"/>
    <sheet name="2. 断面形状" sheetId="2" r:id="rId2"/>
    <sheet name="3.1(1) 片持部(左)_一般部" sheetId="3" r:id="rId3"/>
    <sheet name="3.1(2) 片持部(左)_桁端部" sheetId="4" r:id="rId4"/>
    <sheet name="3.1(3) 片持部(右)_一般部" sheetId="5" r:id="rId5"/>
    <sheet name="3.1(4) 片持部(右)_桁端部" sheetId="6" r:id="rId6"/>
    <sheet name="3.2中間部-(1)中間支間(一般部)" sheetId="7" r:id="rId7"/>
    <sheet name="3.2中間部-(2)中間支間(桁端部)" sheetId="8" r:id="rId8"/>
    <sheet name="3.2中間部-(3)端支間(一般部)" sheetId="9" r:id="rId9"/>
    <sheet name="3.2中間部-(4)端支間(桁端部)" sheetId="10" r:id="rId10"/>
    <sheet name="3.2中間部-(5)中間支点(一般部)" sheetId="11" r:id="rId11"/>
    <sheet name="3.2中間部-(6)中間支点(桁端部)" sheetId="12" r:id="rId12"/>
  </sheets>
  <definedNames>
    <definedName name="DM_DAN_JIGAN_DISTRI1">#REF!</definedName>
    <definedName name="DM_DAN_JIGAN_DISTRI2">#REF!</definedName>
    <definedName name="DM_DAN_JIGAN_MAIN1">#REF!</definedName>
    <definedName name="DM_DAN_JIGAN_MAIN2">#REF!</definedName>
    <definedName name="DM_DAN_JIJUM_MAIN1">#REF!</definedName>
    <definedName name="DM_DAN_JIJUM_MAIN2">#REF!</definedName>
    <definedName name="DM_DAN_JIJUM_MAIN3">#REF!</definedName>
    <definedName name="DM_GEN_JIGAN_DISTRI1">#REF!</definedName>
    <definedName name="DM_GEN_JIGAN_DISTRI2">#REF!</definedName>
    <definedName name="DM_GEN_JIGAN_MAIN1">#REF!</definedName>
    <definedName name="DM_GEN_JIGAN_MAIN2">#REF!</definedName>
    <definedName name="DM_GEN_JIJUM_MAIN1">#REF!</definedName>
    <definedName name="DM_GEN_JIJUM_MAIN2">#REF!</definedName>
    <definedName name="DM_GEN_JIJUM_MAIN3">#REF!</definedName>
    <definedName name="_xlnm.Print_Area" localSheetId="0">'1. 設計条件'!$A$1:$AA$28</definedName>
    <definedName name="_xlnm.Print_Area" localSheetId="1">'2. 断面形状'!$A$1:$AP$30</definedName>
    <definedName name="_xlnm.Print_Area" localSheetId="2">'3.1(1) 片持部(左)_一般部'!$A$1:$AP$159</definedName>
    <definedName name="_xlnm.Print_Area" localSheetId="3">'3.1(2) 片持部(左)_桁端部'!$A$1:$AP$159</definedName>
    <definedName name="_xlnm.Print_Area" localSheetId="4">'3.1(3) 片持部(右)_一般部'!$A$1:$AP$159</definedName>
    <definedName name="_xlnm.Print_Area" localSheetId="5">'3.1(4) 片持部(右)_桁端部'!$A$1:$AP$159</definedName>
    <definedName name="_xlnm.Print_Area" localSheetId="6">'3.2中間部-(1)中間支間(一般部)'!$A$1:$AP$101</definedName>
    <definedName name="_xlnm.Print_Area" localSheetId="7">'3.2中間部-(2)中間支間(桁端部)'!$A$1:$AP$101</definedName>
    <definedName name="_xlnm.Print_Area" localSheetId="8">'3.2中間部-(3)端支間(一般部)'!$A$1:$AP$101</definedName>
    <definedName name="_xlnm.Print_Area" localSheetId="9">'3.2中間部-(4)端支間(桁端部)'!$A$1:$AP$101</definedName>
    <definedName name="_xlnm.Print_Area" localSheetId="10">'3.2中間部-(5)中間支点(一般部)'!$A$1:$AP$65</definedName>
    <definedName name="_xlnm.Print_Area" localSheetId="11">'3.2中間部-(6)中間支点(桁端部)'!$A$1:$AP$65</definedName>
  </definedNames>
  <calcPr fullCalcOnLoad="1"/>
</workbook>
</file>

<file path=xl/sharedStrings.xml><?xml version="1.0" encoding="utf-8"?>
<sst xmlns="http://schemas.openxmlformats.org/spreadsheetml/2006/main" count="2964" uniqueCount="297">
  <si>
    <t>h1 =</t>
  </si>
  <si>
    <t>m</t>
  </si>
  <si>
    <t>L1 =</t>
  </si>
  <si>
    <t>h2 =</t>
  </si>
  <si>
    <t>L2 =</t>
  </si>
  <si>
    <t>h3 =</t>
  </si>
  <si>
    <t>L3 =</t>
  </si>
  <si>
    <t>h4 =</t>
  </si>
  <si>
    <t>L4 =</t>
  </si>
  <si>
    <t>h5 =</t>
  </si>
  <si>
    <t>L5 =</t>
  </si>
  <si>
    <t>h6 =</t>
  </si>
  <si>
    <t>L6 =</t>
  </si>
  <si>
    <t>ここに,</t>
  </si>
  <si>
    <t>k1 : 1方向あたりの大型車の計画交通量による係数</t>
  </si>
  <si>
    <t>NO.</t>
  </si>
  <si>
    <t>=</t>
  </si>
  <si>
    <t>TOTAL</t>
  </si>
  <si>
    <t xml:space="preserve"> kN·m</t>
  </si>
  <si>
    <t>直径</t>
  </si>
  <si>
    <t>ピッチ</t>
  </si>
  <si>
    <t>Wd L²</t>
  </si>
  <si>
    <t>L =</t>
  </si>
  <si>
    <t>B =</t>
  </si>
  <si>
    <t>H =</t>
  </si>
  <si>
    <t>2. 断面形状</t>
  </si>
  <si>
    <t>鋼道路橋設計便覧</t>
  </si>
  <si>
    <t>舗　 　装</t>
  </si>
  <si>
    <t>t =</t>
  </si>
  <si>
    <t>mm</t>
  </si>
  <si>
    <t>床   版</t>
  </si>
  <si>
    <t xml:space="preserve">鉄筋コンクリート床版 </t>
  </si>
  <si>
    <t>コンクリート設計基準強度</t>
  </si>
  <si>
    <t>σck =</t>
  </si>
  <si>
    <t>鉄筋</t>
  </si>
  <si>
    <t>設計荷重</t>
  </si>
  <si>
    <t>活荷重</t>
  </si>
  <si>
    <t>使用鋼材</t>
  </si>
  <si>
    <t>適用基準</t>
  </si>
  <si>
    <t>(平成14年3月)</t>
  </si>
  <si>
    <t>非合成</t>
  </si>
  <si>
    <t>1. 設計条件</t>
  </si>
  <si>
    <t>橋 梁 名</t>
  </si>
  <si>
    <t>ASteelBox テスト橋梁</t>
  </si>
  <si>
    <t xml:space="preserve">橋梁形式 </t>
  </si>
  <si>
    <t>2径間連続非合成桁箱桁橋</t>
  </si>
  <si>
    <t xml:space="preserve">橋梁延長 </t>
  </si>
  <si>
    <t>m</t>
  </si>
  <si>
    <t xml:space="preserve">支 間 長 </t>
  </si>
  <si>
    <t>30.000m + 38.400m</t>
  </si>
  <si>
    <t>幅員構成</t>
  </si>
  <si>
    <t>総幅員</t>
  </si>
  <si>
    <t>有効幅員</t>
  </si>
  <si>
    <t>柱桁諸量</t>
  </si>
  <si>
    <t>桁幅</t>
  </si>
  <si>
    <t>桁高</t>
  </si>
  <si>
    <t>2.900 m</t>
  </si>
  <si>
    <t>線形要素</t>
  </si>
  <si>
    <t>平面線形</t>
  </si>
  <si>
    <t>アスファルト 舗装</t>
  </si>
  <si>
    <r>
      <t>N/mm</t>
    </r>
    <r>
      <rPr>
        <vertAlign val="superscript"/>
        <sz val="9"/>
        <rFont val="ＭＳ ゴシック"/>
        <family val="3"/>
      </rPr>
      <t>2</t>
    </r>
  </si>
  <si>
    <t>(日本道路協会)</t>
  </si>
  <si>
    <t>鋼道路橋疲労設計指針</t>
  </si>
  <si>
    <t>(平成14年3月 日本道路協会)</t>
  </si>
  <si>
    <t>クロソイド (A1=60m) + 円曲線 (R=100m) + クロソイド (A1=60m)</t>
  </si>
  <si>
    <t>橫断勾配</t>
  </si>
  <si>
    <t>-6 %  ~  6 %</t>
  </si>
  <si>
    <t>縱断勾配</t>
  </si>
  <si>
    <t xml:space="preserve">-0.278 % </t>
  </si>
  <si>
    <t>SD295A</t>
  </si>
  <si>
    <t>B</t>
  </si>
  <si>
    <t>SMA490AW, SMA490BW, SMA400AW, SS400, S10T</t>
  </si>
  <si>
    <t>道路橋示方書 ·同解説</t>
  </si>
  <si>
    <t>ガイドライン型設計 適用上の考え方と標準図集</t>
  </si>
  <si>
    <t>(平成14年3月 日本橋梁建設協会)</t>
  </si>
  <si>
    <t>3.床版の設計</t>
  </si>
  <si>
    <t xml:space="preserve"> 3.1 片持版部</t>
  </si>
  <si>
    <t xml:space="preserve"> (1) 左側片持版部(一般部)</t>
  </si>
  <si>
    <t>D1 =</t>
  </si>
  <si>
    <t>コンクリートの単位体積重量    :</t>
  </si>
  <si>
    <t>kN/m³</t>
  </si>
  <si>
    <t>(一般部)</t>
  </si>
  <si>
    <t>アスファルト舗装の単位体積重量 :</t>
  </si>
  <si>
    <t xml:space="preserve">設計荷重  : </t>
  </si>
  <si>
    <t>B</t>
  </si>
  <si>
    <t>活荷重 ( T 荷重 )</t>
  </si>
  <si>
    <t>T荷重の1輪荷重 (P) :</t>
  </si>
  <si>
    <t>kN</t>
  </si>
  <si>
    <t>1方向あたりの大型車の計画交通量 :</t>
  </si>
  <si>
    <t>2000以上</t>
  </si>
  <si>
    <t>(台/日)</t>
  </si>
  <si>
    <t>L7 =</t>
  </si>
  <si>
    <t>L8 =</t>
  </si>
  <si>
    <t>1) 床版の最小全厚</t>
  </si>
  <si>
    <t>[道路橋示方書8.2.5]</t>
  </si>
  <si>
    <t>T荷重に対する床版の支間</t>
  </si>
  <si>
    <t>L =</t>
  </si>
  <si>
    <t>d = k1·k2·do =</t>
  </si>
  <si>
    <t>×</t>
  </si>
  <si>
    <t>=</t>
  </si>
  <si>
    <t>mm</t>
  </si>
  <si>
    <t>⇒</t>
  </si>
  <si>
    <t>cm 使用</t>
  </si>
  <si>
    <t>( k1 =</t>
  </si>
  <si>
    <t>)</t>
  </si>
  <si>
    <t>k2 : 支持するけたの剛性が著しく異なるため生じる付加曲げモーメントの係数</t>
  </si>
  <si>
    <t>( 考慮しない, k2 = 1.00 )</t>
  </si>
  <si>
    <t>2) 死荷重による曲げモーメント</t>
  </si>
  <si>
    <t>作  用  荷  重  ( kN )</t>
  </si>
  <si>
    <t>距離( m )</t>
  </si>
  <si>
    <t>モーメント(kN·m)</t>
  </si>
  <si>
    <t>防護柵小計</t>
  </si>
  <si>
    <t xml:space="preserve"> </t>
  </si>
  <si>
    <t>※防護柵の荷重載荷距離</t>
  </si>
  <si>
    <t>断面検討位置での距離( L )</t>
  </si>
  <si>
    <t xml:space="preserve">M / V </t>
  </si>
  <si>
    <t>/</t>
  </si>
  <si>
    <t>防護柵内側端での距離( X )</t>
  </si>
  <si>
    <t>L -</t>
  </si>
  <si>
    <t>3) 活荷重による曲げモーメント</t>
  </si>
  <si>
    <t xml:space="preserve"> - 主鉄筋の方向</t>
  </si>
  <si>
    <t>[道路橋示方書8.2.4]</t>
  </si>
  <si>
    <t>-</t>
  </si>
  <si>
    <t>(</t>
  </si>
  <si>
    <t>＋</t>
  </si>
  <si>
    <t xml:space="preserve"> - 配力鉄筋の方向(先端部)</t>
  </si>
  <si>
    <t>4) 車両の衝突荷重, 推力による曲げモーメント</t>
  </si>
  <si>
    <t>防護柵上端部の荷重 P =</t>
  </si>
  <si>
    <t xml:space="preserve"> kN/m</t>
  </si>
  <si>
    <t>載荷高さ    h =</t>
  </si>
  <si>
    <t xml:space="preserve">Mh = </t>
  </si>
  <si>
    <t>5) 風荷重荷重による曲げモーメント</t>
  </si>
  <si>
    <t>風荷重強度 Ww =</t>
  </si>
  <si>
    <t xml:space="preserve"> kN/㎡</t>
  </si>
  <si>
    <t xml:space="preserve">( 活荷重無載荷時、活荷重載荷時は無載荷時値の1/2適用 ) </t>
  </si>
  <si>
    <t>載荷高さ      h =</t>
  </si>
  <si>
    <t>Mw =</t>
  </si>
  <si>
    <t xml:space="preserve"> kN·m</t>
  </si>
  <si>
    <t>6) 断面力集計及び断面の決定</t>
  </si>
  <si>
    <t>主桁の設計方式 :</t>
  </si>
  <si>
    <t>コンクリートの設計基準強度</t>
  </si>
  <si>
    <t>σck =</t>
  </si>
  <si>
    <t>N/㎟</t>
  </si>
  <si>
    <t>鉄筋コンクリートのヤング係数</t>
  </si>
  <si>
    <t xml:space="preserve"> n =</t>
  </si>
  <si>
    <t>コンクリートの許容応力度</t>
  </si>
  <si>
    <t>σca =</t>
  </si>
  <si>
    <t>σck /</t>
  </si>
  <si>
    <t>使用鉄筋</t>
  </si>
  <si>
    <t>( SD</t>
  </si>
  <si>
    <t>σsa =</t>
  </si>
  <si>
    <t>(   )付きは支持桁の不等沈下未考慮時</t>
  </si>
  <si>
    <t>- 一般部主鉄筋方向(支点部)</t>
  </si>
  <si>
    <t>設計断面の部材厚さ</t>
  </si>
  <si>
    <t>h =</t>
  </si>
  <si>
    <t>cm</t>
  </si>
  <si>
    <t>部材の有効高</t>
  </si>
  <si>
    <t>d =</t>
  </si>
  <si>
    <t>圧縮鉄筋のかぶり</t>
  </si>
  <si>
    <t>d' =</t>
  </si>
  <si>
    <t>引張鉄筋のかぶり</t>
  </si>
  <si>
    <t>d" =</t>
  </si>
  <si>
    <t>単位幅当たり</t>
  </si>
  <si>
    <t>b =</t>
  </si>
  <si>
    <t>引張側主鉄筋</t>
  </si>
  <si>
    <t>引張側主鉄筋の断面積</t>
  </si>
  <si>
    <t>As =</t>
  </si>
  <si>
    <t>㎠</t>
  </si>
  <si>
    <t>圧縮側主鉄筋</t>
  </si>
  <si>
    <t>圧縮側主鉄筋の断面積</t>
  </si>
  <si>
    <t>As'=</t>
  </si>
  <si>
    <t>中立軸の位置</t>
  </si>
  <si>
    <t xml:space="preserve"> x = -n ( As + As' ) / b + √[ { n ( As + As' ) / b }^2  + 2n ( d * As + d'× As' ) / b ]</t>
  </si>
  <si>
    <t>コンクリートの断面係数</t>
  </si>
  <si>
    <t>Kc = ( b·x / 2 ) × ( d - x / 3 ) + n·As'·( x - d' ) / x·( d - d' )</t>
  </si>
  <si>
    <t>㎤</t>
  </si>
  <si>
    <t>鉄筋の断面係数</t>
  </si>
  <si>
    <t>Ks = ( 1 / n )·( x / ( d - x ) )·Kc</t>
  </si>
  <si>
    <t>コンクリートの応力度</t>
  </si>
  <si>
    <t>σc = M / Kc</t>
  </si>
  <si>
    <t>鉄筋の応力度</t>
  </si>
  <si>
    <t>σs = M / Ks</t>
  </si>
  <si>
    <t>の方式で求める</t>
  </si>
  <si>
    <t>荷重の組合せ</t>
  </si>
  <si>
    <t>曲げモーメント</t>
  </si>
  <si>
    <t>コンクリートの応力(N/㎟)</t>
  </si>
  <si>
    <t>鉄筋の応力(N/㎟)</t>
  </si>
  <si>
    <t>許容応力</t>
  </si>
  <si>
    <t>( kN·m )</t>
  </si>
  <si>
    <t>作用応力</t>
  </si>
  <si>
    <t>判定</t>
  </si>
  <si>
    <t>割増し係数</t>
  </si>
  <si>
    <t>1. 死荷重</t>
  </si>
  <si>
    <t>2. 活荷重</t>
  </si>
  <si>
    <t>3. 衝突,推力</t>
  </si>
  <si>
    <t>4. 風荷重(無載荷時)</t>
  </si>
  <si>
    <t>5. ( 1 + 2 )</t>
  </si>
  <si>
    <t>6. ( 1 + 4 )</t>
  </si>
  <si>
    <t>7. ( 1 + 2 + 1/2×4 )</t>
  </si>
  <si>
    <t>8. ( 1 + 2 + 3 )</t>
  </si>
  <si>
    <t>- 一般部の配力鐵筋方向(先端付近)</t>
  </si>
  <si>
    <t xml:space="preserve"> (2) 左側片持版部(桁端部)</t>
  </si>
  <si>
    <t>(桁端部)</t>
  </si>
  <si>
    <t xml:space="preserve"> (3) 右側片持版部(一般部)</t>
  </si>
  <si>
    <t xml:space="preserve"> (4) 右側片持版部(桁端部)</t>
  </si>
  <si>
    <r>
      <t xml:space="preserve"> 3.2 </t>
    </r>
    <r>
      <rPr>
        <b/>
        <sz val="9"/>
        <rFont val="ＭＳ ゴシック"/>
        <family val="3"/>
      </rPr>
      <t>中間部</t>
    </r>
  </si>
  <si>
    <t xml:space="preserve"> (1) 中間支間部</t>
  </si>
  <si>
    <t>[道路橋示方書 8.2.5]</t>
  </si>
  <si>
    <t>床版の支点数</t>
  </si>
  <si>
    <t>n =</t>
  </si>
  <si>
    <t>k2 = 0.9 √ ( ΣM / Mo )</t>
  </si>
  <si>
    <t>√ (</t>
  </si>
  <si>
    <t>k2 =</t>
  </si>
  <si>
    <t>鉄筋コンクリート床版 :</t>
  </si>
  <si>
    <t>アスファルト舗装    :</t>
  </si>
  <si>
    <t>死荷重合計</t>
  </si>
  <si>
    <t>ΣWd =</t>
  </si>
  <si>
    <t xml:space="preserve">Md = </t>
  </si>
  <si>
    <t xml:space="preserve">設計荷重 : </t>
  </si>
  <si>
    <t>床版支間に対した割増係数 λ</t>
  </si>
  <si>
    <t xml:space="preserve"> λ = </t>
  </si>
  <si>
    <t>[道路橋示方書 8.2.4]</t>
  </si>
  <si>
    <t xml:space="preserve"> - 配力鉄筋の方向</t>
  </si>
  <si>
    <t>4) 断面力集計及び断面の決定</t>
  </si>
  <si>
    <t xml:space="preserve"> n =</t>
  </si>
  <si>
    <t>コンクリートの許容応力度</t>
  </si>
  <si>
    <t>σca =</t>
  </si>
  <si>
    <t>σck /</t>
  </si>
  <si>
    <t>=</t>
  </si>
  <si>
    <t>/</t>
  </si>
  <si>
    <t>N/㎟</t>
  </si>
  <si>
    <t>使用鉄筋</t>
  </si>
  <si>
    <t>( SD</t>
  </si>
  <si>
    <t>)</t>
  </si>
  <si>
    <t>σsa =</t>
  </si>
  <si>
    <t>(</t>
  </si>
  <si>
    <t>(   )付きは支持桁の不等沈下未考慮時</t>
  </si>
  <si>
    <t>-一般部主鉄筋方向</t>
  </si>
  <si>
    <t xml:space="preserve"> </t>
  </si>
  <si>
    <t>設計断面の部材厚さ</t>
  </si>
  <si>
    <t>h =</t>
  </si>
  <si>
    <t>cm</t>
  </si>
  <si>
    <t>部材の有効高</t>
  </si>
  <si>
    <t>d =</t>
  </si>
  <si>
    <t>圧縮鉄筋のかぶり</t>
  </si>
  <si>
    <t>d' =</t>
  </si>
  <si>
    <t>引張鉄筋のかぶり</t>
  </si>
  <si>
    <t>d" =</t>
  </si>
  <si>
    <t>単位幅当たり</t>
  </si>
  <si>
    <t>b =</t>
  </si>
  <si>
    <t>引張側主鉄筋</t>
  </si>
  <si>
    <t>mm</t>
  </si>
  <si>
    <t>引張側主鉄筋の断面積</t>
  </si>
  <si>
    <t>As =</t>
  </si>
  <si>
    <t>㎠</t>
  </si>
  <si>
    <t>圧縮側主鉄筋</t>
  </si>
  <si>
    <t>圧縮側主鉄筋の断面積</t>
  </si>
  <si>
    <t>As'=</t>
  </si>
  <si>
    <t>中立軸の位置</t>
  </si>
  <si>
    <t xml:space="preserve"> x = -n ( As + As' ) / b + √[ { n ( As + As' ) / b }^2  + 2n ( d * As + d'× As' ) / b ]</t>
  </si>
  <si>
    <t>コンクリートの断面係数</t>
  </si>
  <si>
    <t>Kc = ( b·x / 2 ) × ( d - x / 3 ) + n·As'·( x - d' ) / x·( d - d' )</t>
  </si>
  <si>
    <t>㎤</t>
  </si>
  <si>
    <t>鉄筋の断面係数</t>
  </si>
  <si>
    <t>Ks = ( 1 / n )·( x / ( d - x ) )·Kc</t>
  </si>
  <si>
    <t>コンクリートの応力度</t>
  </si>
  <si>
    <t>σc = M / Kc</t>
  </si>
  <si>
    <t>鉄筋の応力度</t>
  </si>
  <si>
    <t>σs = M / Ks</t>
  </si>
  <si>
    <t>の方式で求める</t>
  </si>
  <si>
    <t>荷重の組合せ</t>
  </si>
  <si>
    <t>曲げモーメント</t>
  </si>
  <si>
    <t>コンクリートの応力(N/㎟)</t>
  </si>
  <si>
    <t>鉄筋の応力(N/㎟)</t>
  </si>
  <si>
    <t>許容応力</t>
  </si>
  <si>
    <t>( kN·m )</t>
  </si>
  <si>
    <t>作用応力</t>
  </si>
  <si>
    <t>判定</t>
  </si>
  <si>
    <t>割増し係数</t>
  </si>
  <si>
    <t>1. 死荷重</t>
  </si>
  <si>
    <t>-</t>
  </si>
  <si>
    <t>2. 活荷重</t>
  </si>
  <si>
    <t>3. 付加曲げモーメント</t>
  </si>
  <si>
    <t>4. Mo ( 1 + 2 )</t>
  </si>
  <si>
    <t>5. ΣM ( 1 + 2 + 3 )</t>
  </si>
  <si>
    <t>- 一般部の配力鐵筋方向</t>
  </si>
  <si>
    <t xml:space="preserve"> (2) 中間支間部</t>
  </si>
  <si>
    <t>-一般部主鉄筋方向</t>
  </si>
  <si>
    <t>3. 付加曲げモーメント</t>
  </si>
  <si>
    <t>4. Mo ( 1 + 2 )</t>
  </si>
  <si>
    <t>5. ΣM ( 1 + 2 + 3 )</t>
  </si>
  <si>
    <t>- 一般部の配力鐵筋方向</t>
  </si>
  <si>
    <t xml:space="preserve"> (3) 端支間部</t>
  </si>
  <si>
    <t xml:space="preserve"> (4) 端支間部</t>
  </si>
  <si>
    <t xml:space="preserve"> (5) 中間支点部</t>
  </si>
  <si>
    <t>-Wd L²</t>
  </si>
  <si>
    <t xml:space="preserve"> (6) 中間支点部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</si>
</sst>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0"/>
    <numFmt numFmtId="185" formatCode="0.000_ "/>
    <numFmt numFmtId="186" formatCode="_(&quot;$&quot;* #,##0_);_(&quot;$&quot;* \(#,##0\);_(&quot;$&quot;* &quot;-&quot;_);_(@_)"/>
    <numFmt numFmtId="187" formatCode="0.0"/>
    <numFmt numFmtId="188" formatCode="&quot;H&quot;0"/>
    <numFmt numFmtId="189" formatCode="0.00&quot; ㎠&quot;"/>
    <numFmt numFmtId="190" formatCode="0.0_ "/>
    <numFmt numFmtId="191" formatCode="0.0000"/>
    <numFmt numFmtId="192" formatCode="#,##0.00&quot; cm&quot;"/>
    <numFmt numFmtId="193" formatCode="0.000_);[Red]\(0.000\)"/>
    <numFmt numFmtId="194" formatCode="0_ "/>
    <numFmt numFmtId="195" formatCode="0_);[Red]\(0\)"/>
    <numFmt numFmtId="196" formatCode="0.00_);[Red]\(0.00\)"/>
    <numFmt numFmtId="197" formatCode="0.00_ "/>
    <numFmt numFmtId="198" formatCode="###0.000"/>
    <numFmt numFmtId="199" formatCode="&quot;D&quot;00"/>
    <numFmt numFmtId="200" formatCode="&quot;D&quot;0"/>
    <numFmt numFmtId="201" formatCode="0.000&quot;²&quot;\ "/>
    <numFmt numFmtId="202" formatCode="&quot;D&quot;#,##0"/>
    <numFmt numFmtId="203" formatCode="#,##0.000"/>
    <numFmt numFmtId="204" formatCode="0.0000_ "/>
    <numFmt numFmtId="205" formatCode="0.000000_ "/>
    <numFmt numFmtId="206" formatCode="#,##0_ "/>
    <numFmt numFmtId="207" formatCode="###0"/>
    <numFmt numFmtId="208" formatCode="###0.00"/>
  </numFmts>
  <fonts count="18">
    <font>
      <sz val="11"/>
      <name val="돋움"/>
      <family val="2"/>
    </font>
    <font>
      <u val="single"/>
      <sz val="11"/>
      <color indexed="36"/>
      <name val="돋움"/>
      <family val="2"/>
    </font>
    <font>
      <sz val="12"/>
      <name val="바탕체"/>
      <family val="3"/>
    </font>
    <font>
      <sz val="10"/>
      <name val="굴림체"/>
      <family val="3"/>
    </font>
    <font>
      <u val="single"/>
      <sz val="11"/>
      <color indexed="12"/>
      <name val="돋움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돋움"/>
      <family val="2"/>
    </font>
    <font>
      <b/>
      <sz val="9"/>
      <name val="ＭＳ ゴシック"/>
      <family val="3"/>
    </font>
    <font>
      <sz val="9"/>
      <name val="ＭＳ ゴシック"/>
      <family val="3"/>
    </font>
    <font>
      <i/>
      <sz val="9"/>
      <name val="ＭＳ ゴシック"/>
      <family val="3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10"/>
      <name val="바탕체"/>
      <family val="3"/>
    </font>
    <font>
      <sz val="6"/>
      <name val="ＭＳ Ｐゴシック"/>
      <family val="3"/>
    </font>
    <font>
      <sz val="11"/>
      <name val="ＭＳ ゴシック"/>
      <family val="3"/>
    </font>
    <font>
      <vertAlign val="superscript"/>
      <sz val="9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3" fillId="0" borderId="0">
      <alignment/>
      <protection locked="0"/>
    </xf>
    <xf numFmtId="41" fontId="5" fillId="0" borderId="0" applyFont="0" applyFill="0" applyBorder="0" applyAlignment="0" applyProtection="0"/>
    <xf numFmtId="188" fontId="3" fillId="0" borderId="0">
      <alignment/>
      <protection locked="0"/>
    </xf>
    <xf numFmtId="189" fontId="3" fillId="0" borderId="0">
      <alignment/>
      <protection locked="0"/>
    </xf>
    <xf numFmtId="186" fontId="5" fillId="0" borderId="0" applyFont="0" applyFill="0" applyBorder="0" applyAlignment="0" applyProtection="0"/>
    <xf numFmtId="188" fontId="3" fillId="0" borderId="0">
      <alignment/>
      <protection locked="0"/>
    </xf>
    <xf numFmtId="189" fontId="3" fillId="0" borderId="0">
      <alignment/>
      <protection locked="0"/>
    </xf>
    <xf numFmtId="189" fontId="3" fillId="0" borderId="0">
      <alignment/>
      <protection locked="0"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89" fontId="3" fillId="0" borderId="0">
      <alignment/>
      <protection locked="0"/>
    </xf>
    <xf numFmtId="189" fontId="3" fillId="0" borderId="0">
      <alignment/>
      <protection locked="0"/>
    </xf>
    <xf numFmtId="0" fontId="7" fillId="0" borderId="0">
      <alignment/>
      <protection/>
    </xf>
    <xf numFmtId="189" fontId="3" fillId="0" borderId="0">
      <alignment/>
      <protection locked="0"/>
    </xf>
    <xf numFmtId="189" fontId="3" fillId="0" borderId="3">
      <alignment/>
      <protection locked="0"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</cellStyleXfs>
  <cellXfs count="234">
    <xf numFmtId="0" fontId="0" fillId="0" borderId="0" xfId="0" applyAlignment="1">
      <alignment/>
    </xf>
    <xf numFmtId="0" fontId="9" fillId="0" borderId="0" xfId="40" applyFont="1" applyAlignment="1">
      <alignment vertical="center"/>
      <protection/>
    </xf>
    <xf numFmtId="0" fontId="10" fillId="0" borderId="0" xfId="40" applyFont="1" applyAlignment="1">
      <alignment vertical="center"/>
      <protection/>
    </xf>
    <xf numFmtId="0" fontId="10" fillId="0" borderId="0" xfId="0" applyFont="1" applyAlignment="1">
      <alignment vertical="center"/>
    </xf>
    <xf numFmtId="0" fontId="9" fillId="0" borderId="0" xfId="40" applyFont="1" applyAlignment="1">
      <alignment horizontal="left" vertical="center"/>
      <protection/>
    </xf>
    <xf numFmtId="184" fontId="10" fillId="0" borderId="0" xfId="40" applyNumberFormat="1" applyFont="1" applyAlignment="1">
      <alignment horizontal="centerContinuous" vertical="center"/>
      <protection/>
    </xf>
    <xf numFmtId="0" fontId="10" fillId="0" borderId="0" xfId="0" applyFont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40" applyFont="1" applyAlignment="1">
      <alignment horizontal="left" vertical="center"/>
      <protection/>
    </xf>
    <xf numFmtId="0" fontId="10" fillId="0" borderId="0" xfId="40" applyFont="1" applyFill="1" applyAlignment="1" quotePrefix="1">
      <alignment horizontal="left" vertical="center"/>
      <protection/>
    </xf>
    <xf numFmtId="0" fontId="10" fillId="0" borderId="0" xfId="40" applyFont="1" applyFill="1" applyAlignment="1">
      <alignment vertical="center"/>
      <protection/>
    </xf>
    <xf numFmtId="0" fontId="10" fillId="0" borderId="0" xfId="40" applyFont="1" applyBorder="1" applyAlignment="1">
      <alignment vertical="center"/>
      <protection/>
    </xf>
    <xf numFmtId="184" fontId="10" fillId="0" borderId="0" xfId="40" applyNumberFormat="1" applyFont="1" applyAlignment="1" applyProtection="1">
      <alignment horizontal="centerContinuous" vertical="center"/>
      <protection locked="0"/>
    </xf>
    <xf numFmtId="0" fontId="10" fillId="0" borderId="0" xfId="40" applyFont="1" applyAlignment="1" quotePrefix="1">
      <alignment horizontal="left" vertical="center"/>
      <protection/>
    </xf>
    <xf numFmtId="0" fontId="11" fillId="0" borderId="0" xfId="40" applyFont="1" applyBorder="1" applyAlignment="1">
      <alignment horizontal="centerContinuous" vertical="center"/>
      <protection/>
    </xf>
    <xf numFmtId="0" fontId="10" fillId="0" borderId="0" xfId="40" applyFont="1" applyBorder="1" applyAlignment="1">
      <alignment horizontal="centerContinuous" vertical="center"/>
      <protection/>
    </xf>
    <xf numFmtId="0" fontId="11" fillId="0" borderId="0" xfId="40" applyFont="1" applyBorder="1" applyAlignment="1">
      <alignment vertical="center"/>
      <protection/>
    </xf>
    <xf numFmtId="0" fontId="10" fillId="0" borderId="0" xfId="40" applyFont="1" applyBorder="1" applyAlignment="1">
      <alignment horizontal="left" vertical="center"/>
      <protection/>
    </xf>
    <xf numFmtId="0" fontId="10" fillId="0" borderId="0" xfId="40" applyFont="1" applyAlignment="1">
      <alignment horizontal="centerContinuous" vertical="center"/>
      <protection/>
    </xf>
    <xf numFmtId="0" fontId="10" fillId="0" borderId="0" xfId="40" applyFont="1" applyAlignment="1">
      <alignment horizontal="center" vertical="center"/>
      <protection/>
    </xf>
    <xf numFmtId="190" fontId="10" fillId="0" borderId="0" xfId="40" applyNumberFormat="1" applyFont="1" applyAlignment="1">
      <alignment horizontal="centerContinuous" vertical="center"/>
      <protection/>
    </xf>
    <xf numFmtId="0" fontId="10" fillId="0" borderId="4" xfId="40" applyFont="1" applyBorder="1" applyAlignment="1">
      <alignment vertical="center"/>
      <protection/>
    </xf>
    <xf numFmtId="0" fontId="10" fillId="0" borderId="4" xfId="0" applyFont="1" applyBorder="1" applyAlignment="1">
      <alignment vertical="center"/>
    </xf>
    <xf numFmtId="0" fontId="10" fillId="0" borderId="5" xfId="40" applyFont="1" applyBorder="1" applyAlignment="1">
      <alignment vertical="center"/>
      <protection/>
    </xf>
    <xf numFmtId="0" fontId="10" fillId="0" borderId="6" xfId="40" applyFont="1" applyBorder="1" applyAlignment="1">
      <alignment vertical="center"/>
      <protection/>
    </xf>
    <xf numFmtId="0" fontId="10" fillId="0" borderId="6" xfId="0" applyFont="1" applyBorder="1" applyAlignment="1">
      <alignment vertical="center"/>
    </xf>
    <xf numFmtId="0" fontId="10" fillId="0" borderId="6" xfId="40" applyFont="1" applyBorder="1" applyAlignment="1">
      <alignment horizontal="centerContinuous" vertical="center"/>
      <protection/>
    </xf>
    <xf numFmtId="184" fontId="10" fillId="0" borderId="6" xfId="40" applyNumberFormat="1" applyFont="1" applyBorder="1" applyAlignment="1">
      <alignment horizontal="centerContinuous" vertical="center"/>
      <protection/>
    </xf>
    <xf numFmtId="0" fontId="10" fillId="0" borderId="6" xfId="0" applyFont="1" applyBorder="1" applyAlignment="1">
      <alignment horizontal="centerContinuous" vertical="center"/>
    </xf>
    <xf numFmtId="184" fontId="10" fillId="0" borderId="5" xfId="40" applyNumberFormat="1" applyFont="1" applyBorder="1" applyAlignment="1">
      <alignment horizontal="centerContinuous" vertical="center"/>
      <protection/>
    </xf>
    <xf numFmtId="0" fontId="10" fillId="0" borderId="7" xfId="40" applyFont="1" applyBorder="1" applyAlignment="1">
      <alignment vertical="center"/>
      <protection/>
    </xf>
    <xf numFmtId="184" fontId="10" fillId="0" borderId="0" xfId="40" applyNumberFormat="1" applyFont="1" applyBorder="1" applyAlignment="1">
      <alignment horizontal="centerContinuous" vertical="center"/>
      <protection/>
    </xf>
    <xf numFmtId="184" fontId="10" fillId="0" borderId="7" xfId="40" applyNumberFormat="1" applyFont="1" applyBorder="1" applyAlignment="1">
      <alignment horizontal="centerContinuous" vertical="center"/>
      <protection/>
    </xf>
    <xf numFmtId="0" fontId="10" fillId="0" borderId="8" xfId="40" applyFont="1" applyBorder="1" applyAlignment="1">
      <alignment vertical="center"/>
      <protection/>
    </xf>
    <xf numFmtId="0" fontId="10" fillId="0" borderId="2" xfId="40" applyFont="1" applyBorder="1" applyAlignment="1">
      <alignment vertical="center"/>
      <protection/>
    </xf>
    <xf numFmtId="0" fontId="10" fillId="0" borderId="2" xfId="0" applyFont="1" applyBorder="1" applyAlignment="1">
      <alignment vertical="center"/>
    </xf>
    <xf numFmtId="0" fontId="10" fillId="0" borderId="2" xfId="40" applyFont="1" applyBorder="1" applyAlignment="1">
      <alignment horizontal="centerContinuous" vertical="center"/>
      <protection/>
    </xf>
    <xf numFmtId="184" fontId="10" fillId="0" borderId="2" xfId="40" applyNumberFormat="1" applyFont="1" applyBorder="1" applyAlignment="1">
      <alignment horizontal="centerContinuous" vertical="center"/>
      <protection/>
    </xf>
    <xf numFmtId="0" fontId="10" fillId="0" borderId="2" xfId="0" applyFont="1" applyBorder="1" applyAlignment="1">
      <alignment horizontal="centerContinuous" vertical="center"/>
    </xf>
    <xf numFmtId="184" fontId="10" fillId="0" borderId="8" xfId="40" applyNumberFormat="1" applyFont="1" applyBorder="1" applyAlignment="1">
      <alignment horizontal="centerContinuous" vertical="center"/>
      <protection/>
    </xf>
    <xf numFmtId="0" fontId="10" fillId="0" borderId="9" xfId="40" applyFont="1" applyBorder="1" applyAlignment="1">
      <alignment vertical="center"/>
      <protection/>
    </xf>
    <xf numFmtId="0" fontId="10" fillId="0" borderId="10" xfId="40" applyFont="1" applyBorder="1" applyAlignment="1">
      <alignment vertical="center"/>
      <protection/>
    </xf>
    <xf numFmtId="0" fontId="10" fillId="0" borderId="10" xfId="0" applyFont="1" applyBorder="1" applyAlignment="1">
      <alignment vertical="center"/>
    </xf>
    <xf numFmtId="0" fontId="10" fillId="0" borderId="10" xfId="40" applyFont="1" applyBorder="1" applyAlignment="1">
      <alignment horizontal="centerContinuous" vertical="center"/>
      <protection/>
    </xf>
    <xf numFmtId="184" fontId="10" fillId="0" borderId="10" xfId="40" applyNumberFormat="1" applyFont="1" applyBorder="1" applyAlignment="1">
      <alignment horizontal="centerContinuous" vertical="center"/>
      <protection/>
    </xf>
    <xf numFmtId="0" fontId="10" fillId="0" borderId="10" xfId="0" applyFont="1" applyBorder="1" applyAlignment="1">
      <alignment horizontal="centerContinuous" vertical="center"/>
    </xf>
    <xf numFmtId="184" fontId="10" fillId="0" borderId="9" xfId="40" applyNumberFormat="1" applyFont="1" applyBorder="1" applyAlignment="1">
      <alignment horizontal="centerContinuous" vertical="center"/>
      <protection/>
    </xf>
    <xf numFmtId="185" fontId="10" fillId="0" borderId="8" xfId="40" applyNumberFormat="1" applyFont="1" applyBorder="1" applyAlignment="1">
      <alignment horizontal="centerContinuous" vertical="center"/>
      <protection/>
    </xf>
    <xf numFmtId="191" fontId="10" fillId="0" borderId="2" xfId="40" applyNumberFormat="1" applyFont="1" applyBorder="1" applyAlignment="1">
      <alignment horizontal="centerContinuous" vertical="center"/>
      <protection/>
    </xf>
    <xf numFmtId="0" fontId="10" fillId="0" borderId="11" xfId="40" applyFont="1" applyBorder="1" applyAlignment="1">
      <alignment vertical="center"/>
      <protection/>
    </xf>
    <xf numFmtId="0" fontId="10" fillId="0" borderId="4" xfId="40" applyFont="1" applyBorder="1" applyAlignment="1">
      <alignment horizontal="centerContinuous" vertical="center"/>
      <protection/>
    </xf>
    <xf numFmtId="184" fontId="10" fillId="0" borderId="4" xfId="40" applyNumberFormat="1" applyFont="1" applyBorder="1" applyAlignment="1">
      <alignment horizontal="centerContinuous" vertical="center"/>
      <protection/>
    </xf>
    <xf numFmtId="0" fontId="10" fillId="0" borderId="4" xfId="0" applyFont="1" applyBorder="1" applyAlignment="1">
      <alignment horizontal="centerContinuous" vertical="center"/>
    </xf>
    <xf numFmtId="184" fontId="10" fillId="0" borderId="11" xfId="40" applyNumberFormat="1" applyFont="1" applyBorder="1" applyAlignment="1">
      <alignment horizontal="centerContinuous" vertical="center"/>
      <protection/>
    </xf>
    <xf numFmtId="0" fontId="10" fillId="0" borderId="12" xfId="40" applyFont="1" applyBorder="1" applyAlignment="1">
      <alignment vertical="center"/>
      <protection/>
    </xf>
    <xf numFmtId="185" fontId="10" fillId="0" borderId="0" xfId="0" applyNumberFormat="1" applyFont="1" applyAlignment="1">
      <alignment horizontal="centerContinuous" vertical="center"/>
    </xf>
    <xf numFmtId="0" fontId="10" fillId="0" borderId="0" xfId="0" applyFont="1" applyAlignment="1" quotePrefix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40" applyFont="1" applyAlignment="1" quotePrefix="1">
      <alignment vertical="center"/>
      <protection/>
    </xf>
    <xf numFmtId="0" fontId="10" fillId="0" borderId="0" xfId="0" applyFont="1" applyAlignment="1">
      <alignment horizontal="center" vertical="center"/>
    </xf>
    <xf numFmtId="195" fontId="10" fillId="0" borderId="0" xfId="40" applyNumberFormat="1" applyFont="1" applyAlignment="1" quotePrefix="1">
      <alignment horizontal="centerContinuous" vertical="center"/>
      <protection/>
    </xf>
    <xf numFmtId="197" fontId="10" fillId="0" borderId="0" xfId="0" applyNumberFormat="1" applyFont="1" applyAlignment="1">
      <alignment horizontal="centerContinuous" vertical="center"/>
    </xf>
    <xf numFmtId="196" fontId="10" fillId="0" borderId="0" xfId="40" applyNumberFormat="1" applyFont="1" applyAlignment="1" quotePrefix="1">
      <alignment horizontal="centerContinuous" vertical="center"/>
      <protection/>
    </xf>
    <xf numFmtId="194" fontId="10" fillId="0" borderId="0" xfId="0" applyNumberFormat="1" applyFont="1" applyAlignment="1">
      <alignment horizontal="centerContinuous" vertical="center"/>
    </xf>
    <xf numFmtId="0" fontId="12" fillId="0" borderId="0" xfId="40" applyFont="1" applyAlignment="1" quotePrefix="1">
      <alignment horizontal="left" vertical="center"/>
      <protection/>
    </xf>
    <xf numFmtId="0" fontId="12" fillId="0" borderId="0" xfId="40" applyFont="1" applyAlignment="1">
      <alignment vertical="center"/>
      <protection/>
    </xf>
    <xf numFmtId="0" fontId="12" fillId="0" borderId="0" xfId="40" applyFont="1" applyAlignment="1">
      <alignment horizontal="centerContinuous" vertical="center"/>
      <protection/>
    </xf>
    <xf numFmtId="0" fontId="12" fillId="0" borderId="0" xfId="40" applyFont="1" applyBorder="1" applyAlignment="1">
      <alignment vertical="center"/>
      <protection/>
    </xf>
    <xf numFmtId="200" fontId="10" fillId="0" borderId="0" xfId="40" applyNumberFormat="1" applyFont="1" applyBorder="1" applyAlignment="1">
      <alignment horizontal="centerContinuous" vertical="center"/>
      <protection/>
    </xf>
    <xf numFmtId="190" fontId="10" fillId="0" borderId="0" xfId="40" applyNumberFormat="1" applyFont="1" applyAlignment="1">
      <alignment horizontal="center" vertical="center"/>
      <protection/>
    </xf>
    <xf numFmtId="0" fontId="10" fillId="0" borderId="0" xfId="40" applyFont="1" applyFill="1" applyBorder="1" applyAlignment="1">
      <alignment horizontal="centerContinuous" vertical="center"/>
      <protection/>
    </xf>
    <xf numFmtId="0" fontId="12" fillId="0" borderId="0" xfId="40" applyFont="1" applyAlignment="1">
      <alignment horizontal="right" vertical="center"/>
      <protection/>
    </xf>
    <xf numFmtId="200" fontId="10" fillId="0" borderId="0" xfId="40" applyNumberFormat="1" applyFont="1" applyFill="1" applyBorder="1" applyAlignment="1">
      <alignment horizontal="left" vertical="center"/>
      <protection/>
    </xf>
    <xf numFmtId="200" fontId="10" fillId="0" borderId="0" xfId="40" applyNumberFormat="1" applyFont="1" applyFill="1" applyBorder="1" applyAlignment="1">
      <alignment horizontal="centerContinuous" vertical="center"/>
      <protection/>
    </xf>
    <xf numFmtId="198" fontId="10" fillId="0" borderId="0" xfId="0" applyNumberFormat="1" applyFont="1" applyAlignment="1">
      <alignment vertical="center"/>
    </xf>
    <xf numFmtId="196" fontId="10" fillId="0" borderId="0" xfId="40" applyNumberFormat="1" applyFont="1" applyFill="1" applyBorder="1" applyAlignment="1">
      <alignment horizontal="centerContinuous" vertical="center"/>
      <protection/>
    </xf>
    <xf numFmtId="199" fontId="10" fillId="0" borderId="0" xfId="0" applyNumberFormat="1" applyFont="1" applyAlignment="1">
      <alignment horizontal="left" vertical="center"/>
    </xf>
    <xf numFmtId="197" fontId="10" fillId="0" borderId="0" xfId="0" applyNumberFormat="1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185" fontId="10" fillId="0" borderId="0" xfId="0" applyNumberFormat="1" applyFont="1" applyFill="1" applyAlignment="1">
      <alignment horizontal="centerContinuous" vertical="center"/>
    </xf>
    <xf numFmtId="0" fontId="10" fillId="0" borderId="0" xfId="0" applyFont="1" applyFill="1" applyAlignment="1" quotePrefix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2" fillId="0" borderId="0" xfId="40" applyFont="1" applyFill="1" applyAlignment="1">
      <alignment vertical="center"/>
      <protection/>
    </xf>
    <xf numFmtId="0" fontId="12" fillId="0" borderId="0" xfId="40" applyFont="1" applyFill="1" applyBorder="1" applyAlignment="1">
      <alignment vertical="center"/>
      <protection/>
    </xf>
    <xf numFmtId="0" fontId="10" fillId="0" borderId="0" xfId="40" applyFont="1" applyFill="1" applyBorder="1" applyAlignment="1">
      <alignment vertical="center"/>
      <protection/>
    </xf>
    <xf numFmtId="0" fontId="12" fillId="0" borderId="0" xfId="40" applyFont="1" applyFill="1" applyAlignment="1">
      <alignment horizontal="centerContinuous" vertical="center"/>
      <protection/>
    </xf>
    <xf numFmtId="0" fontId="12" fillId="0" borderId="0" xfId="40" applyFont="1" applyFill="1" applyAlignment="1">
      <alignment horizontal="right" vertical="center"/>
      <protection/>
    </xf>
    <xf numFmtId="0" fontId="10" fillId="0" borderId="0" xfId="40" applyFont="1" applyAlignment="1">
      <alignment vertical="center"/>
      <protection/>
    </xf>
    <xf numFmtId="0" fontId="10" fillId="0" borderId="0" xfId="0" applyFont="1" applyAlignment="1">
      <alignment vertical="center"/>
    </xf>
    <xf numFmtId="0" fontId="9" fillId="0" borderId="0" xfId="40" applyFont="1" applyAlignment="1">
      <alignment horizontal="left" vertical="center"/>
      <protection/>
    </xf>
    <xf numFmtId="0" fontId="9" fillId="0" borderId="0" xfId="40" applyFont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195" fontId="10" fillId="0" borderId="0" xfId="40" applyNumberFormat="1" applyFont="1" applyAlignment="1" applyProtection="1">
      <alignment horizontal="center" vertical="center"/>
      <protection locked="0"/>
    </xf>
    <xf numFmtId="0" fontId="9" fillId="0" borderId="0" xfId="40" applyFont="1" applyAlignment="1" quotePrefix="1">
      <alignment horizontal="left" vertical="center"/>
      <protection/>
    </xf>
    <xf numFmtId="0" fontId="11" fillId="0" borderId="0" xfId="40" applyFont="1" applyFill="1" applyBorder="1" applyAlignment="1">
      <alignment horizontal="centerContinuous" vertical="center"/>
      <protection/>
    </xf>
    <xf numFmtId="0" fontId="11" fillId="0" borderId="0" xfId="40" applyFont="1" applyFill="1" applyBorder="1" applyAlignment="1">
      <alignment vertical="center"/>
      <protection/>
    </xf>
    <xf numFmtId="195" fontId="10" fillId="0" borderId="0" xfId="0" applyNumberFormat="1" applyFont="1" applyFill="1" applyAlignment="1">
      <alignment horizontal="centerContinuous" vertical="center"/>
    </xf>
    <xf numFmtId="197" fontId="10" fillId="0" borderId="0" xfId="40" applyNumberFormat="1" applyFont="1" applyFill="1" applyAlignment="1">
      <alignment horizontal="centerContinuous" vertical="center"/>
      <protection/>
    </xf>
    <xf numFmtId="0" fontId="10" fillId="0" borderId="0" xfId="40" applyFont="1" applyFill="1" applyAlignment="1">
      <alignment horizontal="center" vertical="center"/>
      <protection/>
    </xf>
    <xf numFmtId="0" fontId="10" fillId="0" borderId="0" xfId="40" applyFont="1" applyFill="1" applyAlignment="1">
      <alignment horizontal="centerContinuous" vertical="center"/>
      <protection/>
    </xf>
    <xf numFmtId="0" fontId="10" fillId="0" borderId="0" xfId="40" applyFont="1" applyFill="1" applyAlignment="1">
      <alignment horizontal="left" vertical="center"/>
      <protection/>
    </xf>
    <xf numFmtId="190" fontId="10" fillId="0" borderId="0" xfId="0" applyNumberFormat="1" applyFont="1" applyFill="1" applyAlignment="1">
      <alignment horizontal="centerContinuous" vertical="center"/>
    </xf>
    <xf numFmtId="185" fontId="10" fillId="0" borderId="0" xfId="0" applyNumberFormat="1" applyFont="1" applyFill="1" applyBorder="1" applyAlignment="1">
      <alignment horizontal="centerContinuous" vertical="center"/>
    </xf>
    <xf numFmtId="0" fontId="10" fillId="0" borderId="13" xfId="0" applyFont="1" applyFill="1" applyBorder="1" applyAlignment="1">
      <alignment vertical="center"/>
    </xf>
    <xf numFmtId="0" fontId="10" fillId="0" borderId="13" xfId="40" applyFont="1" applyFill="1" applyBorder="1" applyAlignment="1">
      <alignment vertical="center"/>
      <protection/>
    </xf>
    <xf numFmtId="0" fontId="10" fillId="0" borderId="13" xfId="40" applyFont="1" applyFill="1" applyBorder="1" applyAlignment="1">
      <alignment horizontal="center" vertical="center"/>
      <protection/>
    </xf>
    <xf numFmtId="185" fontId="10" fillId="0" borderId="13" xfId="0" applyNumberFormat="1" applyFont="1" applyFill="1" applyBorder="1" applyAlignment="1">
      <alignment horizontal="centerContinuous" vertical="center"/>
    </xf>
    <xf numFmtId="0" fontId="10" fillId="0" borderId="0" xfId="40" applyFont="1" applyFill="1" applyBorder="1" applyAlignment="1" quotePrefix="1">
      <alignment horizontal="centerContinuous" vertical="center"/>
      <protection/>
    </xf>
    <xf numFmtId="201" fontId="10" fillId="0" borderId="0" xfId="0" applyNumberFormat="1" applyFont="1" applyFill="1" applyAlignment="1">
      <alignment horizontal="centerContinuous" vertical="center"/>
    </xf>
    <xf numFmtId="185" fontId="10" fillId="0" borderId="0" xfId="0" applyNumberFormat="1" applyFont="1" applyFill="1" applyAlignment="1" quotePrefix="1">
      <alignment horizontal="centerContinuous" vertical="center"/>
    </xf>
    <xf numFmtId="195" fontId="10" fillId="0" borderId="0" xfId="40" applyNumberFormat="1" applyFont="1" applyFill="1" applyAlignment="1" applyProtection="1">
      <alignment horizontal="center" vertical="center"/>
      <protection locked="0"/>
    </xf>
    <xf numFmtId="0" fontId="12" fillId="0" borderId="0" xfId="40" applyFont="1" applyFill="1" applyAlignment="1" quotePrefix="1">
      <alignment horizontal="left" vertical="center"/>
      <protection/>
    </xf>
    <xf numFmtId="0" fontId="10" fillId="0" borderId="14" xfId="40" applyFont="1" applyBorder="1" applyAlignment="1">
      <alignment vertical="center"/>
      <protection/>
    </xf>
    <xf numFmtId="0" fontId="10" fillId="0" borderId="3" xfId="40" applyFont="1" applyBorder="1" applyAlignment="1">
      <alignment vertical="center"/>
      <protection/>
    </xf>
    <xf numFmtId="0" fontId="10" fillId="0" borderId="3" xfId="0" applyFont="1" applyBorder="1" applyAlignment="1">
      <alignment vertical="center"/>
    </xf>
    <xf numFmtId="0" fontId="10" fillId="0" borderId="3" xfId="40" applyFont="1" applyBorder="1" applyAlignment="1">
      <alignment horizontal="centerContinuous" vertical="center"/>
      <protection/>
    </xf>
    <xf numFmtId="184" fontId="10" fillId="0" borderId="3" xfId="40" applyNumberFormat="1" applyFont="1" applyBorder="1" applyAlignment="1">
      <alignment horizontal="centerContinuous" vertical="center"/>
      <protection/>
    </xf>
    <xf numFmtId="0" fontId="10" fillId="0" borderId="3" xfId="0" applyFont="1" applyBorder="1" applyAlignment="1">
      <alignment horizontal="centerContinuous" vertical="center"/>
    </xf>
    <xf numFmtId="184" fontId="10" fillId="0" borderId="14" xfId="40" applyNumberFormat="1" applyFont="1" applyBorder="1" applyAlignment="1">
      <alignment horizontal="centerContinuous" vertical="center"/>
      <protection/>
    </xf>
    <xf numFmtId="0" fontId="10" fillId="0" borderId="0" xfId="40" applyFont="1" applyFill="1" applyBorder="1" applyAlignment="1">
      <alignment horizontal="left" vertical="center"/>
      <protection/>
    </xf>
    <xf numFmtId="197" fontId="10" fillId="0" borderId="0" xfId="40" applyNumberFormat="1" applyFont="1" applyAlignment="1" quotePrefix="1">
      <alignment horizontal="centerContinuous" vertical="center"/>
      <protection/>
    </xf>
    <xf numFmtId="0" fontId="10" fillId="0" borderId="0" xfId="40" applyFont="1" applyFill="1" applyAlignment="1" quotePrefix="1">
      <alignment vertical="center"/>
      <protection/>
    </xf>
    <xf numFmtId="184" fontId="10" fillId="0" borderId="0" xfId="40" applyNumberFormat="1" applyFont="1" applyFill="1" applyAlignment="1">
      <alignment horizontal="centerContinuous" vertical="center"/>
      <protection/>
    </xf>
    <xf numFmtId="194" fontId="10" fillId="0" borderId="0" xfId="0" applyNumberFormat="1" applyFont="1" applyFill="1" applyAlignment="1">
      <alignment horizontal="centerContinuous" vertical="center"/>
    </xf>
    <xf numFmtId="190" fontId="10" fillId="0" borderId="0" xfId="40" applyNumberFormat="1" applyFont="1" applyFill="1" applyAlignment="1">
      <alignment horizontal="centerContinuous" vertical="center"/>
      <protection/>
    </xf>
    <xf numFmtId="190" fontId="10" fillId="0" borderId="0" xfId="40" applyNumberFormat="1" applyFont="1" applyFill="1" applyAlignment="1">
      <alignment horizontal="center" vertical="center"/>
      <protection/>
    </xf>
    <xf numFmtId="0" fontId="10" fillId="0" borderId="0" xfId="40" applyFont="1" applyFill="1" applyAlignment="1">
      <alignment horizontal="right" vertical="center"/>
      <protection/>
    </xf>
    <xf numFmtId="0" fontId="10" fillId="0" borderId="13" xfId="40" applyFont="1" applyBorder="1" applyAlignment="1">
      <alignment vertical="center"/>
      <protection/>
    </xf>
    <xf numFmtId="0" fontId="10" fillId="0" borderId="0" xfId="0" applyFont="1" applyFill="1" applyAlignment="1" quotePrefix="1">
      <alignment horizontal="centerContinuous" vertical="center"/>
    </xf>
    <xf numFmtId="0" fontId="10" fillId="0" borderId="0" xfId="0" applyFont="1" applyAlignment="1" quotePrefix="1">
      <alignment horizontal="center" vertical="center"/>
    </xf>
    <xf numFmtId="0" fontId="10" fillId="0" borderId="15" xfId="0" applyFont="1" applyBorder="1" applyAlignment="1">
      <alignment horizontal="center" vertical="center"/>
    </xf>
    <xf numFmtId="203" fontId="9" fillId="0" borderId="0" xfId="0" applyNumberFormat="1" applyFont="1" applyAlignment="1">
      <alignment vertical="center"/>
    </xf>
    <xf numFmtId="203" fontId="10" fillId="0" borderId="0" xfId="0" applyNumberFormat="1" applyFont="1" applyAlignment="1">
      <alignment vertical="center"/>
    </xf>
    <xf numFmtId="198" fontId="10" fillId="0" borderId="0" xfId="0" applyNumberFormat="1" applyFont="1" applyAlignment="1">
      <alignment horizontal="left" vertical="center"/>
    </xf>
    <xf numFmtId="198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207" fontId="10" fillId="0" borderId="0" xfId="0" applyNumberFormat="1" applyFont="1" applyAlignment="1">
      <alignment horizontal="center" vertical="center"/>
    </xf>
    <xf numFmtId="198" fontId="10" fillId="0" borderId="0" xfId="40" applyNumberFormat="1" applyFont="1" applyAlignment="1">
      <alignment horizontal="left" vertical="center"/>
      <protection/>
    </xf>
    <xf numFmtId="198" fontId="10" fillId="0" borderId="0" xfId="0" applyNumberFormat="1" applyFont="1" applyBorder="1" applyAlignment="1">
      <alignment vertical="center"/>
    </xf>
    <xf numFmtId="200" fontId="10" fillId="0" borderId="0" xfId="0" applyNumberFormat="1" applyFont="1" applyBorder="1" applyAlignment="1">
      <alignment horizontal="centerContinuous" vertical="center"/>
    </xf>
    <xf numFmtId="198" fontId="10" fillId="0" borderId="0" xfId="0" applyNumberFormat="1" applyFont="1" applyFill="1" applyAlignment="1">
      <alignment vertical="center"/>
    </xf>
    <xf numFmtId="195" fontId="10" fillId="0" borderId="0" xfId="0" applyNumberFormat="1" applyFont="1" applyFill="1" applyAlignment="1">
      <alignment horizontal="center" vertical="center"/>
    </xf>
    <xf numFmtId="198" fontId="10" fillId="0" borderId="0" xfId="0" applyNumberFormat="1" applyFont="1" applyFill="1" applyBorder="1" applyAlignment="1">
      <alignment vertical="center"/>
    </xf>
    <xf numFmtId="192" fontId="10" fillId="0" borderId="0" xfId="40" applyNumberFormat="1" applyFont="1" applyAlignment="1">
      <alignment horizontal="centerContinuous" vertical="center"/>
      <protection/>
    </xf>
    <xf numFmtId="2" fontId="10" fillId="0" borderId="0" xfId="40" applyNumberFormat="1" applyFont="1" applyAlignment="1" quotePrefix="1">
      <alignment horizontal="centerContinuous" vertical="center"/>
      <protection/>
    </xf>
    <xf numFmtId="197" fontId="10" fillId="0" borderId="1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93" fontId="10" fillId="0" borderId="0" xfId="0" applyNumberFormat="1" applyFont="1" applyAlignment="1">
      <alignment horizontal="centerContinuous" vertical="center"/>
    </xf>
    <xf numFmtId="199" fontId="10" fillId="0" borderId="0" xfId="0" applyNumberFormat="1" applyFont="1" applyAlignment="1">
      <alignment horizontal="center" vertical="center"/>
    </xf>
    <xf numFmtId="190" fontId="10" fillId="0" borderId="0" xfId="0" applyNumberFormat="1" applyFont="1" applyAlignment="1">
      <alignment horizontal="centerContinuous" vertical="center"/>
    </xf>
    <xf numFmtId="198" fontId="10" fillId="0" borderId="0" xfId="0" applyNumberFormat="1" applyFont="1" applyAlignment="1" quotePrefix="1">
      <alignment vertical="center"/>
    </xf>
    <xf numFmtId="198" fontId="10" fillId="0" borderId="0" xfId="40" applyNumberFormat="1" applyFont="1" applyAlignment="1">
      <alignment horizontal="left" vertical="center"/>
      <protection/>
    </xf>
    <xf numFmtId="198" fontId="10" fillId="0" borderId="0" xfId="40" applyNumberFormat="1" applyFont="1" applyFill="1" applyAlignment="1">
      <alignment horizontal="left" vertical="center"/>
      <protection/>
    </xf>
    <xf numFmtId="200" fontId="10" fillId="0" borderId="0" xfId="0" applyNumberFormat="1" applyFont="1" applyFill="1" applyBorder="1" applyAlignment="1">
      <alignment horizontal="centerContinuous" vertical="center"/>
    </xf>
    <xf numFmtId="195" fontId="10" fillId="0" borderId="0" xfId="0" applyNumberFormat="1" applyFont="1" applyAlignment="1">
      <alignment horizontal="center" vertical="center"/>
    </xf>
    <xf numFmtId="198" fontId="10" fillId="0" borderId="0" xfId="40" applyNumberFormat="1" applyFont="1" applyFill="1" applyAlignment="1">
      <alignment horizontal="left" vertical="center"/>
      <protection/>
    </xf>
    <xf numFmtId="195" fontId="10" fillId="0" borderId="0" xfId="40" applyNumberFormat="1" applyFont="1" applyFill="1" applyAlignment="1" applyProtection="1">
      <alignment horizontal="centerContinuous" vertical="center"/>
      <protection locked="0"/>
    </xf>
    <xf numFmtId="207" fontId="10" fillId="0" borderId="0" xfId="0" applyNumberFormat="1" applyFont="1" applyAlignment="1">
      <alignment horizontal="center" vertical="center"/>
    </xf>
    <xf numFmtId="198" fontId="10" fillId="0" borderId="0" xfId="0" applyNumberFormat="1" applyFont="1" applyAlignment="1">
      <alignment horizontal="center" vertical="center"/>
    </xf>
    <xf numFmtId="198" fontId="13" fillId="0" borderId="0" xfId="0" applyNumberFormat="1" applyFont="1" applyAlignment="1">
      <alignment horizontal="center" vertical="center" textRotation="90"/>
    </xf>
    <xf numFmtId="198" fontId="13" fillId="0" borderId="0" xfId="0" applyNumberFormat="1" applyFont="1" applyAlignment="1">
      <alignment horizontal="center" vertical="center" textRotation="90"/>
    </xf>
    <xf numFmtId="0" fontId="10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185" fontId="10" fillId="0" borderId="8" xfId="0" applyNumberFormat="1" applyFont="1" applyBorder="1" applyAlignment="1">
      <alignment horizontal="center" vertical="center"/>
    </xf>
    <xf numFmtId="185" fontId="10" fillId="0" borderId="2" xfId="0" applyNumberFormat="1" applyFont="1" applyBorder="1" applyAlignment="1">
      <alignment horizontal="center" vertical="center"/>
    </xf>
    <xf numFmtId="185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96" fontId="10" fillId="0" borderId="16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84" fontId="10" fillId="0" borderId="8" xfId="0" applyNumberFormat="1" applyFont="1" applyBorder="1" applyAlignment="1">
      <alignment horizontal="center" vertical="center"/>
    </xf>
    <xf numFmtId="184" fontId="10" fillId="0" borderId="2" xfId="0" applyNumberFormat="1" applyFont="1" applyBorder="1" applyAlignment="1">
      <alignment horizontal="center" vertical="center"/>
    </xf>
    <xf numFmtId="184" fontId="10" fillId="0" borderId="17" xfId="0" applyNumberFormat="1" applyFont="1" applyBorder="1" applyAlignment="1">
      <alignment horizontal="center" vertical="center"/>
    </xf>
    <xf numFmtId="0" fontId="10" fillId="0" borderId="0" xfId="40" applyFont="1" applyBorder="1" applyAlignment="1" applyProtection="1">
      <alignment horizontal="center" vertical="center"/>
      <protection locked="0"/>
    </xf>
    <xf numFmtId="0" fontId="10" fillId="0" borderId="23" xfId="40" applyFont="1" applyBorder="1" applyAlignment="1">
      <alignment horizontal="center" vertical="center"/>
      <protection/>
    </xf>
    <xf numFmtId="0" fontId="10" fillId="0" borderId="24" xfId="40" applyFont="1" applyBorder="1" applyAlignment="1">
      <alignment horizontal="center" vertical="center"/>
      <protection/>
    </xf>
    <xf numFmtId="0" fontId="10" fillId="0" borderId="25" xfId="40" applyFont="1" applyBorder="1" applyAlignment="1">
      <alignment horizontal="center" vertical="center"/>
      <protection/>
    </xf>
    <xf numFmtId="0" fontId="10" fillId="0" borderId="0" xfId="40" applyFont="1" applyBorder="1" applyAlignment="1">
      <alignment horizontal="center" vertical="center"/>
      <protection/>
    </xf>
    <xf numFmtId="0" fontId="10" fillId="0" borderId="15" xfId="40" applyFont="1" applyBorder="1" applyAlignment="1">
      <alignment horizontal="center" vertical="center"/>
      <protection/>
    </xf>
    <xf numFmtId="0" fontId="10" fillId="0" borderId="2" xfId="40" applyFont="1" applyBorder="1" applyAlignment="1">
      <alignment horizontal="center" vertical="center"/>
      <protection/>
    </xf>
    <xf numFmtId="0" fontId="10" fillId="0" borderId="17" xfId="40" applyFont="1" applyBorder="1" applyAlignment="1">
      <alignment horizontal="center" vertical="center"/>
      <protection/>
    </xf>
    <xf numFmtId="0" fontId="10" fillId="0" borderId="26" xfId="40" applyFont="1" applyBorder="1" applyAlignment="1">
      <alignment horizontal="center" vertical="center"/>
      <protection/>
    </xf>
    <xf numFmtId="0" fontId="10" fillId="0" borderId="27" xfId="40" applyFont="1" applyBorder="1" applyAlignment="1">
      <alignment horizontal="center" vertical="center"/>
      <protection/>
    </xf>
    <xf numFmtId="0" fontId="10" fillId="0" borderId="10" xfId="40" applyFont="1" applyBorder="1" applyAlignment="1">
      <alignment horizontal="center" vertical="center"/>
      <protection/>
    </xf>
    <xf numFmtId="0" fontId="10" fillId="0" borderId="28" xfId="40" applyFont="1" applyBorder="1" applyAlignment="1">
      <alignment horizontal="center" vertical="center"/>
      <protection/>
    </xf>
    <xf numFmtId="198" fontId="10" fillId="0" borderId="0" xfId="40" applyNumberFormat="1" applyFont="1" applyAlignment="1" applyProtection="1">
      <alignment horizontal="center" vertical="center"/>
      <protection locked="0"/>
    </xf>
    <xf numFmtId="0" fontId="10" fillId="0" borderId="4" xfId="40" applyFont="1" applyBorder="1" applyAlignment="1">
      <alignment horizontal="center" vertical="center"/>
      <protection/>
    </xf>
    <xf numFmtId="0" fontId="10" fillId="0" borderId="29" xfId="40" applyFont="1" applyBorder="1" applyAlignment="1">
      <alignment horizontal="center" vertical="center"/>
      <protection/>
    </xf>
    <xf numFmtId="198" fontId="10" fillId="0" borderId="0" xfId="40" applyNumberFormat="1" applyFont="1" applyAlignment="1">
      <alignment horizontal="center" vertical="center"/>
      <protection/>
    </xf>
    <xf numFmtId="195" fontId="10" fillId="0" borderId="0" xfId="40" applyNumberFormat="1" applyFont="1" applyAlignment="1" applyProtection="1">
      <alignment horizontal="center" vertical="center"/>
      <protection locked="0"/>
    </xf>
    <xf numFmtId="208" fontId="10" fillId="0" borderId="0" xfId="0" applyNumberFormat="1" applyFont="1" applyAlignment="1">
      <alignment horizontal="center" vertical="center"/>
    </xf>
    <xf numFmtId="207" fontId="10" fillId="0" borderId="0" xfId="40" applyNumberFormat="1" applyFont="1" applyFill="1" applyBorder="1" applyAlignment="1">
      <alignment horizontal="center" vertical="center"/>
      <protection/>
    </xf>
    <xf numFmtId="207" fontId="10" fillId="0" borderId="0" xfId="0" applyNumberFormat="1" applyFont="1" applyFill="1" applyAlignment="1">
      <alignment horizontal="center" vertical="center"/>
    </xf>
    <xf numFmtId="185" fontId="10" fillId="0" borderId="0" xfId="0" applyNumberFormat="1" applyFont="1" applyAlignment="1">
      <alignment horizontal="center" vertical="center"/>
    </xf>
    <xf numFmtId="0" fontId="10" fillId="0" borderId="0" xfId="4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>
      <alignment horizontal="center" vertical="center"/>
    </xf>
    <xf numFmtId="197" fontId="10" fillId="0" borderId="16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185" fontId="10" fillId="0" borderId="8" xfId="0" applyNumberFormat="1" applyFont="1" applyFill="1" applyBorder="1" applyAlignment="1">
      <alignment horizontal="center" vertical="center"/>
    </xf>
    <xf numFmtId="185" fontId="10" fillId="0" borderId="2" xfId="0" applyNumberFormat="1" applyFont="1" applyFill="1" applyBorder="1" applyAlignment="1">
      <alignment horizontal="center" vertical="center"/>
    </xf>
    <xf numFmtId="185" fontId="10" fillId="0" borderId="17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/>
    </xf>
    <xf numFmtId="185" fontId="10" fillId="0" borderId="16" xfId="0" applyNumberFormat="1" applyFont="1" applyFill="1" applyBorder="1" applyAlignment="1">
      <alignment horizontal="center" vertical="center"/>
    </xf>
    <xf numFmtId="184" fontId="10" fillId="0" borderId="8" xfId="0" applyNumberFormat="1" applyFont="1" applyFill="1" applyBorder="1" applyAlignment="1">
      <alignment horizontal="center" vertical="center"/>
    </xf>
    <xf numFmtId="184" fontId="10" fillId="0" borderId="2" xfId="0" applyNumberFormat="1" applyFont="1" applyFill="1" applyBorder="1" applyAlignment="1">
      <alignment horizontal="center" vertical="center"/>
    </xf>
    <xf numFmtId="184" fontId="10" fillId="0" borderId="17" xfId="0" applyNumberFormat="1" applyFont="1" applyFill="1" applyBorder="1" applyAlignment="1">
      <alignment horizontal="center" vertical="center"/>
    </xf>
    <xf numFmtId="198" fontId="10" fillId="0" borderId="8" xfId="0" applyNumberFormat="1" applyFont="1" applyFill="1" applyBorder="1" applyAlignment="1">
      <alignment horizontal="center" vertical="center"/>
    </xf>
    <xf numFmtId="198" fontId="10" fillId="0" borderId="2" xfId="0" applyNumberFormat="1" applyFont="1" applyFill="1" applyBorder="1" applyAlignment="1">
      <alignment horizontal="center" vertical="center"/>
    </xf>
    <xf numFmtId="198" fontId="10" fillId="0" borderId="1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98" fontId="10" fillId="0" borderId="0" xfId="40" applyNumberFormat="1" applyFont="1" applyFill="1" applyAlignment="1">
      <alignment horizontal="center" vertical="center"/>
      <protection/>
    </xf>
    <xf numFmtId="207" fontId="10" fillId="0" borderId="0" xfId="40" applyNumberFormat="1" applyFont="1" applyFill="1" applyAlignment="1" applyProtection="1">
      <alignment horizontal="center" vertical="center"/>
      <protection locked="0"/>
    </xf>
    <xf numFmtId="198" fontId="10" fillId="0" borderId="0" xfId="40" applyNumberFormat="1" applyFont="1" applyFill="1" applyAlignment="1" applyProtection="1">
      <alignment horizontal="center" vertical="center"/>
      <protection locked="0"/>
    </xf>
    <xf numFmtId="208" fontId="10" fillId="0" borderId="0" xfId="40" applyNumberFormat="1" applyFont="1" applyFill="1" applyAlignment="1" applyProtection="1">
      <alignment horizontal="center" vertical="center"/>
      <protection locked="0"/>
    </xf>
    <xf numFmtId="198" fontId="10" fillId="0" borderId="13" xfId="40" applyNumberFormat="1" applyFont="1" applyFill="1" applyBorder="1" applyAlignment="1" applyProtection="1">
      <alignment horizontal="center" vertical="center"/>
      <protection locked="0"/>
    </xf>
    <xf numFmtId="198" fontId="10" fillId="0" borderId="13" xfId="0" applyNumberFormat="1" applyFont="1" applyBorder="1" applyAlignment="1">
      <alignment horizontal="center" vertical="center"/>
    </xf>
    <xf numFmtId="208" fontId="10" fillId="0" borderId="13" xfId="40" applyNumberFormat="1" applyFont="1" applyFill="1" applyBorder="1" applyAlignment="1" applyProtection="1">
      <alignment horizontal="center" vertical="center"/>
      <protection locked="0"/>
    </xf>
    <xf numFmtId="208" fontId="10" fillId="0" borderId="13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195" fontId="10" fillId="0" borderId="0" xfId="40" applyNumberFormat="1" applyFont="1" applyFill="1" applyAlignment="1" applyProtection="1">
      <alignment horizontal="center" vertical="center"/>
      <protection locked="0"/>
    </xf>
  </cellXfs>
  <cellStyles count="27">
    <cellStyle name="Normal" xfId="0"/>
    <cellStyle name="Comma" xfId="15"/>
    <cellStyle name="Comma [0]_laroux" xfId="16"/>
    <cellStyle name="Comma_단면특성 (정) (2)" xfId="17"/>
    <cellStyle name="Currency" xfId="18"/>
    <cellStyle name="Currency [0]_laroux" xfId="19"/>
    <cellStyle name="Currency_단면특성 (정) (2)" xfId="20"/>
    <cellStyle name="Date" xfId="21"/>
    <cellStyle name="Fixed" xfId="22"/>
    <cellStyle name="Header1" xfId="23"/>
    <cellStyle name="Header2" xfId="24"/>
    <cellStyle name="Heading1" xfId="25"/>
    <cellStyle name="Heading2" xfId="26"/>
    <cellStyle name="Normal_Certs Q2" xfId="27"/>
    <cellStyle name="Percent" xfId="28"/>
    <cellStyle name="Total" xfId="29"/>
    <cellStyle name="Percent" xfId="30"/>
    <cellStyle name="Hyperlink" xfId="31"/>
    <cellStyle name="Comma [0]" xfId="32"/>
    <cellStyle name="Comma" xfId="33"/>
    <cellStyle name="Currency [0]" xfId="34"/>
    <cellStyle name="Currency" xfId="35"/>
    <cellStyle name="Followed Hyperlink" xfId="36"/>
    <cellStyle name="콤마 [0]_1061" xfId="37"/>
    <cellStyle name="콤마_1061" xfId="38"/>
    <cellStyle name="표준_DIAp" xfId="39"/>
    <cellStyle name="표준_상-보청천교-stb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Hangil IT\ASteelBox\_tmpw0.wm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Hangil IT\ASteelBox\_tmpw1.wmf" TargetMode="External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Hangil IT\ASteelBox\_tmpw2.wmf" TargetMode="External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Hangil IT\ASteelBox\_tmpw3.wmf" TargetMode="External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Hangil IT\ASteelBox\_tmpw4.wmf" TargetMode="External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247650</xdr:rowOff>
    </xdr:from>
    <xdr:to>
      <xdr:col>37</xdr:col>
      <xdr:colOff>66675</xdr:colOff>
      <xdr:row>25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95325" y="247650"/>
          <a:ext cx="5010150" cy="693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33</xdr:row>
      <xdr:rowOff>123825</xdr:rowOff>
    </xdr:from>
    <xdr:to>
      <xdr:col>39</xdr:col>
      <xdr:colOff>9525</xdr:colOff>
      <xdr:row>39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3124200" y="9553575"/>
          <a:ext cx="2828925" cy="1600200"/>
          <a:chOff x="343" y="2704"/>
          <a:chExt cx="297" cy="168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43" y="2704"/>
            <a:ext cx="297" cy="1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403" y="2734"/>
            <a:ext cx="109" cy="84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" name="Drawing 332"/>
          <xdr:cNvSpPr>
            <a:spLocks/>
          </xdr:cNvSpPr>
        </xdr:nvSpPr>
        <xdr:spPr>
          <a:xfrm>
            <a:off x="521" y="2734"/>
            <a:ext cx="100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Drawing 334"/>
          <xdr:cNvSpPr>
            <a:spLocks/>
          </xdr:cNvSpPr>
        </xdr:nvSpPr>
        <xdr:spPr>
          <a:xfrm>
            <a:off x="518" y="2818"/>
            <a:ext cx="104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Drawing 335"/>
          <xdr:cNvSpPr>
            <a:spLocks/>
          </xdr:cNvSpPr>
        </xdr:nvSpPr>
        <xdr:spPr>
          <a:xfrm>
            <a:off x="405" y="2811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502" y="280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441" y="280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Drawing 341"/>
          <xdr:cNvSpPr>
            <a:spLocks/>
          </xdr:cNvSpPr>
        </xdr:nvSpPr>
        <xdr:spPr>
          <a:xfrm>
            <a:off x="619" y="2734"/>
            <a:ext cx="0" cy="84"/>
          </a:xfrm>
          <a:custGeom>
            <a:pathLst>
              <a:path h="16384" w="16384">
                <a:moveTo>
                  <a:pt x="0" y="16384"/>
                </a:move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Drawing 346"/>
          <xdr:cNvSpPr>
            <a:spLocks/>
          </xdr:cNvSpPr>
        </xdr:nvSpPr>
        <xdr:spPr>
          <a:xfrm>
            <a:off x="486" y="2785"/>
            <a:ext cx="37" cy="25"/>
          </a:xfrm>
          <a:custGeom>
            <a:pathLst>
              <a:path h="16384" w="16384">
                <a:moveTo>
                  <a:pt x="0" y="16384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527" y="2769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As'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49" y="2837"/>
            <a:ext cx="38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b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570" y="2767"/>
            <a:ext cx="3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00" y="2771"/>
            <a:ext cx="3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h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536" y="2820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d'</a:t>
            </a:r>
          </a:p>
        </xdr:txBody>
      </xdr:sp>
      <xdr:sp>
        <xdr:nvSpPr>
          <xdr:cNvPr id="16" name="Oval 16"/>
          <xdr:cNvSpPr>
            <a:spLocks/>
          </xdr:cNvSpPr>
        </xdr:nvSpPr>
        <xdr:spPr>
          <a:xfrm>
            <a:off x="471" y="280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Drawing 333"/>
          <xdr:cNvSpPr>
            <a:spLocks/>
          </xdr:cNvSpPr>
        </xdr:nvSpPr>
        <xdr:spPr>
          <a:xfrm>
            <a:off x="519" y="2741"/>
            <a:ext cx="77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" name="Drawing 335"/>
          <xdr:cNvSpPr>
            <a:spLocks/>
          </xdr:cNvSpPr>
        </xdr:nvSpPr>
        <xdr:spPr>
          <a:xfrm>
            <a:off x="410" y="2741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502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456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425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485" y="273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>
            <a:off x="441" y="273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4" name="Oval 24"/>
          <xdr:cNvSpPr>
            <a:spLocks/>
          </xdr:cNvSpPr>
        </xdr:nvSpPr>
        <xdr:spPr>
          <a:xfrm>
            <a:off x="471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5" name="TextBox 25"/>
          <xdr:cNvSpPr txBox="1">
            <a:spLocks noChangeArrowheads="1"/>
          </xdr:cNvSpPr>
        </xdr:nvSpPr>
        <xdr:spPr>
          <a:xfrm>
            <a:off x="535" y="2708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d"
</a:t>
            </a:r>
          </a:p>
        </xdr:txBody>
      </xdr:sp>
      <xdr:sp>
        <xdr:nvSpPr>
          <xdr:cNvPr id="26" name="Oval 26"/>
          <xdr:cNvSpPr>
            <a:spLocks/>
          </xdr:cNvSpPr>
        </xdr:nvSpPr>
        <xdr:spPr>
          <a:xfrm>
            <a:off x="408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7" name="Oval 27"/>
          <xdr:cNvSpPr>
            <a:spLocks/>
          </xdr:cNvSpPr>
        </xdr:nvSpPr>
        <xdr:spPr>
          <a:xfrm>
            <a:off x="410" y="280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403" y="2857"/>
            <a:ext cx="10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9" name="Drawing 335"/>
          <xdr:cNvSpPr>
            <a:spLocks/>
          </xdr:cNvSpPr>
        </xdr:nvSpPr>
        <xdr:spPr>
          <a:xfrm>
            <a:off x="405" y="2790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H="1">
            <a:off x="367" y="2819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 flipH="1">
            <a:off x="367" y="2790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2" name="Drawing 335"/>
          <xdr:cNvSpPr>
            <a:spLocks/>
          </xdr:cNvSpPr>
        </xdr:nvSpPr>
        <xdr:spPr>
          <a:xfrm>
            <a:off x="405" y="2790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370" y="2790"/>
            <a:ext cx="0" cy="2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4" name="TextBox 34"/>
          <xdr:cNvSpPr txBox="1">
            <a:spLocks noChangeArrowheads="1"/>
          </xdr:cNvSpPr>
        </xdr:nvSpPr>
        <xdr:spPr>
          <a:xfrm>
            <a:off x="348" y="2799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l">
              <a:defRPr/>
            </a:pPr>
            <a:r>
              <a:rPr lang="en-US" cap="none" sz="1000" b="0" i="0" u="none" baseline="0"/>
              <a:t>x
x
</a:t>
            </a:r>
          </a:p>
        </xdr:txBody>
      </xdr:sp>
      <xdr:sp>
        <xdr:nvSpPr>
          <xdr:cNvPr id="35" name="TextBox 35"/>
          <xdr:cNvSpPr txBox="1">
            <a:spLocks noChangeArrowheads="1"/>
          </xdr:cNvSpPr>
        </xdr:nvSpPr>
        <xdr:spPr>
          <a:xfrm>
            <a:off x="523" y="2748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
</a:t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66" y="2742"/>
            <a:ext cx="56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 flipV="1">
            <a:off x="588" y="2741"/>
            <a:ext cx="0" cy="7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516" y="2811"/>
            <a:ext cx="4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556" y="2709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556" y="2810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403" y="2823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512" y="2822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33</xdr:row>
      <xdr:rowOff>123825</xdr:rowOff>
    </xdr:from>
    <xdr:to>
      <xdr:col>39</xdr:col>
      <xdr:colOff>9525</xdr:colOff>
      <xdr:row>39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3124200" y="9553575"/>
          <a:ext cx="2828925" cy="1600200"/>
          <a:chOff x="343" y="2704"/>
          <a:chExt cx="297" cy="168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43" y="2704"/>
            <a:ext cx="297" cy="1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403" y="2734"/>
            <a:ext cx="109" cy="84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" name="Drawing 332"/>
          <xdr:cNvSpPr>
            <a:spLocks/>
          </xdr:cNvSpPr>
        </xdr:nvSpPr>
        <xdr:spPr>
          <a:xfrm>
            <a:off x="521" y="2734"/>
            <a:ext cx="100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Drawing 334"/>
          <xdr:cNvSpPr>
            <a:spLocks/>
          </xdr:cNvSpPr>
        </xdr:nvSpPr>
        <xdr:spPr>
          <a:xfrm>
            <a:off x="518" y="2818"/>
            <a:ext cx="104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Drawing 335"/>
          <xdr:cNvSpPr>
            <a:spLocks/>
          </xdr:cNvSpPr>
        </xdr:nvSpPr>
        <xdr:spPr>
          <a:xfrm>
            <a:off x="405" y="2811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502" y="280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441" y="280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Drawing 341"/>
          <xdr:cNvSpPr>
            <a:spLocks/>
          </xdr:cNvSpPr>
        </xdr:nvSpPr>
        <xdr:spPr>
          <a:xfrm>
            <a:off x="619" y="2734"/>
            <a:ext cx="0" cy="84"/>
          </a:xfrm>
          <a:custGeom>
            <a:pathLst>
              <a:path h="16384" w="16384">
                <a:moveTo>
                  <a:pt x="0" y="16384"/>
                </a:move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Drawing 346"/>
          <xdr:cNvSpPr>
            <a:spLocks/>
          </xdr:cNvSpPr>
        </xdr:nvSpPr>
        <xdr:spPr>
          <a:xfrm>
            <a:off x="486" y="2785"/>
            <a:ext cx="37" cy="25"/>
          </a:xfrm>
          <a:custGeom>
            <a:pathLst>
              <a:path h="16384" w="16384">
                <a:moveTo>
                  <a:pt x="0" y="16384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527" y="2769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As'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49" y="2837"/>
            <a:ext cx="38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b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570" y="2767"/>
            <a:ext cx="3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00" y="2771"/>
            <a:ext cx="3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h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536" y="2820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d'</a:t>
            </a:r>
          </a:p>
        </xdr:txBody>
      </xdr:sp>
      <xdr:sp>
        <xdr:nvSpPr>
          <xdr:cNvPr id="16" name="Oval 16"/>
          <xdr:cNvSpPr>
            <a:spLocks/>
          </xdr:cNvSpPr>
        </xdr:nvSpPr>
        <xdr:spPr>
          <a:xfrm>
            <a:off x="471" y="280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Drawing 333"/>
          <xdr:cNvSpPr>
            <a:spLocks/>
          </xdr:cNvSpPr>
        </xdr:nvSpPr>
        <xdr:spPr>
          <a:xfrm>
            <a:off x="519" y="2741"/>
            <a:ext cx="77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" name="Drawing 335"/>
          <xdr:cNvSpPr>
            <a:spLocks/>
          </xdr:cNvSpPr>
        </xdr:nvSpPr>
        <xdr:spPr>
          <a:xfrm>
            <a:off x="410" y="2741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502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456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425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485" y="273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>
            <a:off x="441" y="273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4" name="Oval 24"/>
          <xdr:cNvSpPr>
            <a:spLocks/>
          </xdr:cNvSpPr>
        </xdr:nvSpPr>
        <xdr:spPr>
          <a:xfrm>
            <a:off x="471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5" name="TextBox 25"/>
          <xdr:cNvSpPr txBox="1">
            <a:spLocks noChangeArrowheads="1"/>
          </xdr:cNvSpPr>
        </xdr:nvSpPr>
        <xdr:spPr>
          <a:xfrm>
            <a:off x="535" y="2708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d"
</a:t>
            </a:r>
          </a:p>
        </xdr:txBody>
      </xdr:sp>
      <xdr:sp>
        <xdr:nvSpPr>
          <xdr:cNvPr id="26" name="Oval 26"/>
          <xdr:cNvSpPr>
            <a:spLocks/>
          </xdr:cNvSpPr>
        </xdr:nvSpPr>
        <xdr:spPr>
          <a:xfrm>
            <a:off x="408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7" name="Oval 27"/>
          <xdr:cNvSpPr>
            <a:spLocks/>
          </xdr:cNvSpPr>
        </xdr:nvSpPr>
        <xdr:spPr>
          <a:xfrm>
            <a:off x="410" y="280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403" y="2857"/>
            <a:ext cx="10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9" name="Drawing 335"/>
          <xdr:cNvSpPr>
            <a:spLocks/>
          </xdr:cNvSpPr>
        </xdr:nvSpPr>
        <xdr:spPr>
          <a:xfrm>
            <a:off x="405" y="2790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H="1">
            <a:off x="367" y="2819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 flipH="1">
            <a:off x="367" y="2790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2" name="Drawing 335"/>
          <xdr:cNvSpPr>
            <a:spLocks/>
          </xdr:cNvSpPr>
        </xdr:nvSpPr>
        <xdr:spPr>
          <a:xfrm>
            <a:off x="405" y="2790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370" y="2790"/>
            <a:ext cx="0" cy="2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4" name="TextBox 34"/>
          <xdr:cNvSpPr txBox="1">
            <a:spLocks noChangeArrowheads="1"/>
          </xdr:cNvSpPr>
        </xdr:nvSpPr>
        <xdr:spPr>
          <a:xfrm>
            <a:off x="348" y="2799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l">
              <a:defRPr/>
            </a:pPr>
            <a:r>
              <a:rPr lang="en-US" cap="none" sz="1000" b="0" i="0" u="none" baseline="0"/>
              <a:t>x
x
</a:t>
            </a:r>
          </a:p>
        </xdr:txBody>
      </xdr:sp>
      <xdr:sp>
        <xdr:nvSpPr>
          <xdr:cNvPr id="35" name="TextBox 35"/>
          <xdr:cNvSpPr txBox="1">
            <a:spLocks noChangeArrowheads="1"/>
          </xdr:cNvSpPr>
        </xdr:nvSpPr>
        <xdr:spPr>
          <a:xfrm>
            <a:off x="523" y="2748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
</a:t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66" y="2742"/>
            <a:ext cx="56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 flipV="1">
            <a:off x="588" y="2741"/>
            <a:ext cx="0" cy="7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516" y="2811"/>
            <a:ext cx="4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556" y="2709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556" y="2810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403" y="2823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512" y="2822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73</xdr:row>
      <xdr:rowOff>104775</xdr:rowOff>
    </xdr:from>
    <xdr:to>
      <xdr:col>40</xdr:col>
      <xdr:colOff>0</xdr:colOff>
      <xdr:row>79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3267075" y="20964525"/>
          <a:ext cx="2828925" cy="1600200"/>
          <a:chOff x="343" y="2704"/>
          <a:chExt cx="297" cy="168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43" y="2704"/>
            <a:ext cx="297" cy="1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403" y="2734"/>
            <a:ext cx="109" cy="84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" name="Drawing 332"/>
          <xdr:cNvSpPr>
            <a:spLocks/>
          </xdr:cNvSpPr>
        </xdr:nvSpPr>
        <xdr:spPr>
          <a:xfrm>
            <a:off x="521" y="2734"/>
            <a:ext cx="100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Drawing 334"/>
          <xdr:cNvSpPr>
            <a:spLocks/>
          </xdr:cNvSpPr>
        </xdr:nvSpPr>
        <xdr:spPr>
          <a:xfrm>
            <a:off x="518" y="2818"/>
            <a:ext cx="104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Drawing 335"/>
          <xdr:cNvSpPr>
            <a:spLocks/>
          </xdr:cNvSpPr>
        </xdr:nvSpPr>
        <xdr:spPr>
          <a:xfrm>
            <a:off x="405" y="2811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502" y="280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441" y="280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Drawing 341"/>
          <xdr:cNvSpPr>
            <a:spLocks/>
          </xdr:cNvSpPr>
        </xdr:nvSpPr>
        <xdr:spPr>
          <a:xfrm>
            <a:off x="619" y="2734"/>
            <a:ext cx="0" cy="84"/>
          </a:xfrm>
          <a:custGeom>
            <a:pathLst>
              <a:path h="16384" w="16384">
                <a:moveTo>
                  <a:pt x="0" y="16384"/>
                </a:move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Drawing 346"/>
          <xdr:cNvSpPr>
            <a:spLocks/>
          </xdr:cNvSpPr>
        </xdr:nvSpPr>
        <xdr:spPr>
          <a:xfrm>
            <a:off x="486" y="2785"/>
            <a:ext cx="37" cy="25"/>
          </a:xfrm>
          <a:custGeom>
            <a:pathLst>
              <a:path h="16384" w="16384">
                <a:moveTo>
                  <a:pt x="0" y="16384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527" y="2769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As'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49" y="2837"/>
            <a:ext cx="38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b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570" y="2767"/>
            <a:ext cx="3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00" y="2771"/>
            <a:ext cx="3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h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536" y="2820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d'</a:t>
            </a:r>
          </a:p>
        </xdr:txBody>
      </xdr:sp>
      <xdr:sp>
        <xdr:nvSpPr>
          <xdr:cNvPr id="16" name="Oval 16"/>
          <xdr:cNvSpPr>
            <a:spLocks/>
          </xdr:cNvSpPr>
        </xdr:nvSpPr>
        <xdr:spPr>
          <a:xfrm>
            <a:off x="471" y="280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Drawing 333"/>
          <xdr:cNvSpPr>
            <a:spLocks/>
          </xdr:cNvSpPr>
        </xdr:nvSpPr>
        <xdr:spPr>
          <a:xfrm>
            <a:off x="519" y="2741"/>
            <a:ext cx="77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" name="Drawing 335"/>
          <xdr:cNvSpPr>
            <a:spLocks/>
          </xdr:cNvSpPr>
        </xdr:nvSpPr>
        <xdr:spPr>
          <a:xfrm>
            <a:off x="410" y="2741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502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456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425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485" y="273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>
            <a:off x="441" y="273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4" name="Oval 24"/>
          <xdr:cNvSpPr>
            <a:spLocks/>
          </xdr:cNvSpPr>
        </xdr:nvSpPr>
        <xdr:spPr>
          <a:xfrm>
            <a:off x="471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5" name="TextBox 25"/>
          <xdr:cNvSpPr txBox="1">
            <a:spLocks noChangeArrowheads="1"/>
          </xdr:cNvSpPr>
        </xdr:nvSpPr>
        <xdr:spPr>
          <a:xfrm>
            <a:off x="535" y="2708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d"
</a:t>
            </a:r>
          </a:p>
        </xdr:txBody>
      </xdr:sp>
      <xdr:sp>
        <xdr:nvSpPr>
          <xdr:cNvPr id="26" name="Oval 26"/>
          <xdr:cNvSpPr>
            <a:spLocks/>
          </xdr:cNvSpPr>
        </xdr:nvSpPr>
        <xdr:spPr>
          <a:xfrm>
            <a:off x="408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7" name="Oval 27"/>
          <xdr:cNvSpPr>
            <a:spLocks/>
          </xdr:cNvSpPr>
        </xdr:nvSpPr>
        <xdr:spPr>
          <a:xfrm>
            <a:off x="410" y="280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403" y="2857"/>
            <a:ext cx="10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9" name="Drawing 335"/>
          <xdr:cNvSpPr>
            <a:spLocks/>
          </xdr:cNvSpPr>
        </xdr:nvSpPr>
        <xdr:spPr>
          <a:xfrm>
            <a:off x="405" y="2790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H="1">
            <a:off x="367" y="2819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 flipH="1">
            <a:off x="367" y="2790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2" name="Drawing 335"/>
          <xdr:cNvSpPr>
            <a:spLocks/>
          </xdr:cNvSpPr>
        </xdr:nvSpPr>
        <xdr:spPr>
          <a:xfrm>
            <a:off x="405" y="2790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370" y="2790"/>
            <a:ext cx="0" cy="2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4" name="TextBox 34"/>
          <xdr:cNvSpPr txBox="1">
            <a:spLocks noChangeArrowheads="1"/>
          </xdr:cNvSpPr>
        </xdr:nvSpPr>
        <xdr:spPr>
          <a:xfrm>
            <a:off x="348" y="2799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l">
              <a:defRPr/>
            </a:pPr>
            <a:r>
              <a:rPr lang="en-US" cap="none" sz="1000" b="0" i="0" u="none" baseline="0"/>
              <a:t>x
x
</a:t>
            </a:r>
          </a:p>
        </xdr:txBody>
      </xdr:sp>
      <xdr:sp>
        <xdr:nvSpPr>
          <xdr:cNvPr id="35" name="TextBox 35"/>
          <xdr:cNvSpPr txBox="1">
            <a:spLocks noChangeArrowheads="1"/>
          </xdr:cNvSpPr>
        </xdr:nvSpPr>
        <xdr:spPr>
          <a:xfrm>
            <a:off x="523" y="2748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
</a:t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66" y="2742"/>
            <a:ext cx="56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 flipV="1">
            <a:off x="588" y="2741"/>
            <a:ext cx="0" cy="7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516" y="2811"/>
            <a:ext cx="4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556" y="2709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556" y="2810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403" y="2823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512" y="2822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109</xdr:row>
      <xdr:rowOff>161925</xdr:rowOff>
    </xdr:from>
    <xdr:to>
      <xdr:col>38</xdr:col>
      <xdr:colOff>95250</xdr:colOff>
      <xdr:row>115</xdr:row>
      <xdr:rowOff>161925</xdr:rowOff>
    </xdr:to>
    <xdr:grpSp>
      <xdr:nvGrpSpPr>
        <xdr:cNvPr id="43" name="Group 43"/>
        <xdr:cNvGrpSpPr>
          <a:grpSpLocks/>
        </xdr:cNvGrpSpPr>
      </xdr:nvGrpSpPr>
      <xdr:grpSpPr>
        <a:xfrm>
          <a:off x="3057525" y="29794200"/>
          <a:ext cx="2828925" cy="1600200"/>
          <a:chOff x="727" y="3835"/>
          <a:chExt cx="297" cy="168"/>
        </a:xfrm>
        <a:solidFill>
          <a:srgbClr val="FFFFFF"/>
        </a:solidFill>
      </xdr:grpSpPr>
      <xdr:sp>
        <xdr:nvSpPr>
          <xdr:cNvPr id="44" name="TextBox 44"/>
          <xdr:cNvSpPr txBox="1">
            <a:spLocks noChangeArrowheads="1"/>
          </xdr:cNvSpPr>
        </xdr:nvSpPr>
        <xdr:spPr>
          <a:xfrm>
            <a:off x="727" y="3835"/>
            <a:ext cx="297" cy="1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5" name="Rectangle 45"/>
          <xdr:cNvSpPr>
            <a:spLocks/>
          </xdr:cNvSpPr>
        </xdr:nvSpPr>
        <xdr:spPr>
          <a:xfrm>
            <a:off x="787" y="3866"/>
            <a:ext cx="109" cy="84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6" name="Drawing 332"/>
          <xdr:cNvSpPr>
            <a:spLocks/>
          </xdr:cNvSpPr>
        </xdr:nvSpPr>
        <xdr:spPr>
          <a:xfrm>
            <a:off x="905" y="3865"/>
            <a:ext cx="100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7" name="Drawing 334"/>
          <xdr:cNvSpPr>
            <a:spLocks/>
          </xdr:cNvSpPr>
        </xdr:nvSpPr>
        <xdr:spPr>
          <a:xfrm>
            <a:off x="902" y="3949"/>
            <a:ext cx="104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8" name="Drawing 335"/>
          <xdr:cNvSpPr>
            <a:spLocks/>
          </xdr:cNvSpPr>
        </xdr:nvSpPr>
        <xdr:spPr>
          <a:xfrm>
            <a:off x="789" y="3935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9" name="Oval 49"/>
          <xdr:cNvSpPr>
            <a:spLocks/>
          </xdr:cNvSpPr>
        </xdr:nvSpPr>
        <xdr:spPr>
          <a:xfrm>
            <a:off x="886" y="393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0" name="Oval 50"/>
          <xdr:cNvSpPr>
            <a:spLocks/>
          </xdr:cNvSpPr>
        </xdr:nvSpPr>
        <xdr:spPr>
          <a:xfrm>
            <a:off x="825" y="3933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1" name="Drawing 341"/>
          <xdr:cNvSpPr>
            <a:spLocks/>
          </xdr:cNvSpPr>
        </xdr:nvSpPr>
        <xdr:spPr>
          <a:xfrm>
            <a:off x="1003" y="3865"/>
            <a:ext cx="0" cy="84"/>
          </a:xfrm>
          <a:custGeom>
            <a:pathLst>
              <a:path h="16384" w="16384">
                <a:moveTo>
                  <a:pt x="0" y="16384"/>
                </a:move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911" y="3900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As'</a:t>
            </a:r>
          </a:p>
        </xdr:txBody>
      </xdr:sp>
      <xdr:sp>
        <xdr:nvSpPr>
          <xdr:cNvPr id="53" name="TextBox 53"/>
          <xdr:cNvSpPr txBox="1">
            <a:spLocks noChangeArrowheads="1"/>
          </xdr:cNvSpPr>
        </xdr:nvSpPr>
        <xdr:spPr>
          <a:xfrm>
            <a:off x="833" y="3968"/>
            <a:ext cx="38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b</a:t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953" y="3904"/>
            <a:ext cx="3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984" y="3902"/>
            <a:ext cx="3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h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920" y="3951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d'</a:t>
            </a:r>
          </a:p>
        </xdr:txBody>
      </xdr:sp>
      <xdr:sp>
        <xdr:nvSpPr>
          <xdr:cNvPr id="57" name="Oval 57"/>
          <xdr:cNvSpPr>
            <a:spLocks/>
          </xdr:cNvSpPr>
        </xdr:nvSpPr>
        <xdr:spPr>
          <a:xfrm>
            <a:off x="855" y="393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8" name="Drawing 333"/>
          <xdr:cNvSpPr>
            <a:spLocks/>
          </xdr:cNvSpPr>
        </xdr:nvSpPr>
        <xdr:spPr>
          <a:xfrm>
            <a:off x="902" y="3880"/>
            <a:ext cx="77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9" name="Drawing 335"/>
          <xdr:cNvSpPr>
            <a:spLocks/>
          </xdr:cNvSpPr>
        </xdr:nvSpPr>
        <xdr:spPr>
          <a:xfrm>
            <a:off x="793" y="3880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0" name="Oval 60"/>
          <xdr:cNvSpPr>
            <a:spLocks/>
          </xdr:cNvSpPr>
        </xdr:nvSpPr>
        <xdr:spPr>
          <a:xfrm>
            <a:off x="885" y="3878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1" name="Oval 61"/>
          <xdr:cNvSpPr>
            <a:spLocks/>
          </xdr:cNvSpPr>
        </xdr:nvSpPr>
        <xdr:spPr>
          <a:xfrm>
            <a:off x="839" y="3878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2" name="Oval 62"/>
          <xdr:cNvSpPr>
            <a:spLocks/>
          </xdr:cNvSpPr>
        </xdr:nvSpPr>
        <xdr:spPr>
          <a:xfrm>
            <a:off x="808" y="3878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3" name="Oval 63"/>
          <xdr:cNvSpPr>
            <a:spLocks/>
          </xdr:cNvSpPr>
        </xdr:nvSpPr>
        <xdr:spPr>
          <a:xfrm>
            <a:off x="868" y="3878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4" name="Oval 64"/>
          <xdr:cNvSpPr>
            <a:spLocks/>
          </xdr:cNvSpPr>
        </xdr:nvSpPr>
        <xdr:spPr>
          <a:xfrm>
            <a:off x="824" y="3878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5" name="Oval 65"/>
          <xdr:cNvSpPr>
            <a:spLocks/>
          </xdr:cNvSpPr>
        </xdr:nvSpPr>
        <xdr:spPr>
          <a:xfrm>
            <a:off x="854" y="3878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6" name="TextBox 66"/>
          <xdr:cNvSpPr txBox="1">
            <a:spLocks noChangeArrowheads="1"/>
          </xdr:cNvSpPr>
        </xdr:nvSpPr>
        <xdr:spPr>
          <a:xfrm>
            <a:off x="919" y="3839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d"
</a:t>
            </a:r>
          </a:p>
        </xdr:txBody>
      </xdr:sp>
      <xdr:sp>
        <xdr:nvSpPr>
          <xdr:cNvPr id="67" name="Oval 67"/>
          <xdr:cNvSpPr>
            <a:spLocks/>
          </xdr:cNvSpPr>
        </xdr:nvSpPr>
        <xdr:spPr>
          <a:xfrm>
            <a:off x="791" y="3878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8" name="Oval 68"/>
          <xdr:cNvSpPr>
            <a:spLocks/>
          </xdr:cNvSpPr>
        </xdr:nvSpPr>
        <xdr:spPr>
          <a:xfrm>
            <a:off x="794" y="3933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787" y="3988"/>
            <a:ext cx="10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0" name="Drawing 335"/>
          <xdr:cNvSpPr>
            <a:spLocks/>
          </xdr:cNvSpPr>
        </xdr:nvSpPr>
        <xdr:spPr>
          <a:xfrm>
            <a:off x="789" y="3916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 flipH="1">
            <a:off x="751" y="3950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 flipH="1">
            <a:off x="751" y="3916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3" name="Drawing 335"/>
          <xdr:cNvSpPr>
            <a:spLocks/>
          </xdr:cNvSpPr>
        </xdr:nvSpPr>
        <xdr:spPr>
          <a:xfrm>
            <a:off x="789" y="3916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V="1">
            <a:off x="754" y="3917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5" name="TextBox 75"/>
          <xdr:cNvSpPr txBox="1">
            <a:spLocks noChangeArrowheads="1"/>
          </xdr:cNvSpPr>
        </xdr:nvSpPr>
        <xdr:spPr>
          <a:xfrm>
            <a:off x="732" y="3925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l">
              <a:defRPr/>
            </a:pPr>
            <a:r>
              <a:rPr lang="en-US" cap="none" sz="1000" b="0" i="0" u="none" baseline="0"/>
              <a:t>x
x
</a:t>
            </a:r>
          </a:p>
        </xdr:txBody>
      </xdr:sp>
      <xdr:sp>
        <xdr:nvSpPr>
          <xdr:cNvPr id="76" name="TextBox 76"/>
          <xdr:cNvSpPr txBox="1">
            <a:spLocks noChangeArrowheads="1"/>
          </xdr:cNvSpPr>
        </xdr:nvSpPr>
        <xdr:spPr>
          <a:xfrm>
            <a:off x="906" y="3887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
</a:t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849" y="3881"/>
            <a:ext cx="56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 flipV="1">
            <a:off x="972" y="3880"/>
            <a:ext cx="0" cy="7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900" y="3935"/>
            <a:ext cx="4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787" y="3954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896" y="3953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 flipV="1">
            <a:off x="868" y="3914"/>
            <a:ext cx="44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787" y="3939"/>
            <a:ext cx="109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787" y="3875"/>
            <a:ext cx="109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 flipV="1">
            <a:off x="941" y="3839"/>
            <a:ext cx="0" cy="4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>
            <a:off x="940" y="3935"/>
            <a:ext cx="0" cy="3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972" y="394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 editAs="oneCell">
    <xdr:from>
      <xdr:col>8</xdr:col>
      <xdr:colOff>47625</xdr:colOff>
      <xdr:row>1</xdr:row>
      <xdr:rowOff>9525</xdr:rowOff>
    </xdr:from>
    <xdr:to>
      <xdr:col>24</xdr:col>
      <xdr:colOff>76200</xdr:colOff>
      <xdr:row>11</xdr:row>
      <xdr:rowOff>209550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66825" y="295275"/>
          <a:ext cx="24669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73</xdr:row>
      <xdr:rowOff>104775</xdr:rowOff>
    </xdr:from>
    <xdr:to>
      <xdr:col>40</xdr:col>
      <xdr:colOff>0</xdr:colOff>
      <xdr:row>79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3267075" y="20964525"/>
          <a:ext cx="2828925" cy="1600200"/>
          <a:chOff x="343" y="2704"/>
          <a:chExt cx="297" cy="168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43" y="2704"/>
            <a:ext cx="297" cy="1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403" y="2734"/>
            <a:ext cx="109" cy="84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" name="Drawing 332"/>
          <xdr:cNvSpPr>
            <a:spLocks/>
          </xdr:cNvSpPr>
        </xdr:nvSpPr>
        <xdr:spPr>
          <a:xfrm>
            <a:off x="521" y="2734"/>
            <a:ext cx="100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Drawing 334"/>
          <xdr:cNvSpPr>
            <a:spLocks/>
          </xdr:cNvSpPr>
        </xdr:nvSpPr>
        <xdr:spPr>
          <a:xfrm>
            <a:off x="518" y="2818"/>
            <a:ext cx="104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Drawing 335"/>
          <xdr:cNvSpPr>
            <a:spLocks/>
          </xdr:cNvSpPr>
        </xdr:nvSpPr>
        <xdr:spPr>
          <a:xfrm>
            <a:off x="405" y="2811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502" y="280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441" y="280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Drawing 341"/>
          <xdr:cNvSpPr>
            <a:spLocks/>
          </xdr:cNvSpPr>
        </xdr:nvSpPr>
        <xdr:spPr>
          <a:xfrm>
            <a:off x="619" y="2734"/>
            <a:ext cx="0" cy="84"/>
          </a:xfrm>
          <a:custGeom>
            <a:pathLst>
              <a:path h="16384" w="16384">
                <a:moveTo>
                  <a:pt x="0" y="16384"/>
                </a:move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Drawing 346"/>
          <xdr:cNvSpPr>
            <a:spLocks/>
          </xdr:cNvSpPr>
        </xdr:nvSpPr>
        <xdr:spPr>
          <a:xfrm>
            <a:off x="486" y="2785"/>
            <a:ext cx="37" cy="25"/>
          </a:xfrm>
          <a:custGeom>
            <a:pathLst>
              <a:path h="16384" w="16384">
                <a:moveTo>
                  <a:pt x="0" y="16384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527" y="2769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As'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49" y="2837"/>
            <a:ext cx="38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b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570" y="2767"/>
            <a:ext cx="3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00" y="2771"/>
            <a:ext cx="3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h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536" y="2820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d'</a:t>
            </a:r>
          </a:p>
        </xdr:txBody>
      </xdr:sp>
      <xdr:sp>
        <xdr:nvSpPr>
          <xdr:cNvPr id="16" name="Oval 16"/>
          <xdr:cNvSpPr>
            <a:spLocks/>
          </xdr:cNvSpPr>
        </xdr:nvSpPr>
        <xdr:spPr>
          <a:xfrm>
            <a:off x="471" y="280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Drawing 333"/>
          <xdr:cNvSpPr>
            <a:spLocks/>
          </xdr:cNvSpPr>
        </xdr:nvSpPr>
        <xdr:spPr>
          <a:xfrm>
            <a:off x="519" y="2741"/>
            <a:ext cx="77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" name="Drawing 335"/>
          <xdr:cNvSpPr>
            <a:spLocks/>
          </xdr:cNvSpPr>
        </xdr:nvSpPr>
        <xdr:spPr>
          <a:xfrm>
            <a:off x="410" y="2741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502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456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425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485" y="273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>
            <a:off x="441" y="273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4" name="Oval 24"/>
          <xdr:cNvSpPr>
            <a:spLocks/>
          </xdr:cNvSpPr>
        </xdr:nvSpPr>
        <xdr:spPr>
          <a:xfrm>
            <a:off x="471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5" name="TextBox 25"/>
          <xdr:cNvSpPr txBox="1">
            <a:spLocks noChangeArrowheads="1"/>
          </xdr:cNvSpPr>
        </xdr:nvSpPr>
        <xdr:spPr>
          <a:xfrm>
            <a:off x="535" y="2708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d"
</a:t>
            </a:r>
          </a:p>
        </xdr:txBody>
      </xdr:sp>
      <xdr:sp>
        <xdr:nvSpPr>
          <xdr:cNvPr id="26" name="Oval 26"/>
          <xdr:cNvSpPr>
            <a:spLocks/>
          </xdr:cNvSpPr>
        </xdr:nvSpPr>
        <xdr:spPr>
          <a:xfrm>
            <a:off x="408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7" name="Oval 27"/>
          <xdr:cNvSpPr>
            <a:spLocks/>
          </xdr:cNvSpPr>
        </xdr:nvSpPr>
        <xdr:spPr>
          <a:xfrm>
            <a:off x="410" y="280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403" y="2857"/>
            <a:ext cx="10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9" name="Drawing 335"/>
          <xdr:cNvSpPr>
            <a:spLocks/>
          </xdr:cNvSpPr>
        </xdr:nvSpPr>
        <xdr:spPr>
          <a:xfrm>
            <a:off x="405" y="2790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H="1">
            <a:off x="367" y="2819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 flipH="1">
            <a:off x="367" y="2790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2" name="Drawing 335"/>
          <xdr:cNvSpPr>
            <a:spLocks/>
          </xdr:cNvSpPr>
        </xdr:nvSpPr>
        <xdr:spPr>
          <a:xfrm>
            <a:off x="405" y="2790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370" y="2790"/>
            <a:ext cx="0" cy="2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4" name="TextBox 34"/>
          <xdr:cNvSpPr txBox="1">
            <a:spLocks noChangeArrowheads="1"/>
          </xdr:cNvSpPr>
        </xdr:nvSpPr>
        <xdr:spPr>
          <a:xfrm>
            <a:off x="348" y="2799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l">
              <a:defRPr/>
            </a:pPr>
            <a:r>
              <a:rPr lang="en-US" cap="none" sz="1000" b="0" i="0" u="none" baseline="0"/>
              <a:t>x
x
</a:t>
            </a:r>
          </a:p>
        </xdr:txBody>
      </xdr:sp>
      <xdr:sp>
        <xdr:nvSpPr>
          <xdr:cNvPr id="35" name="TextBox 35"/>
          <xdr:cNvSpPr txBox="1">
            <a:spLocks noChangeArrowheads="1"/>
          </xdr:cNvSpPr>
        </xdr:nvSpPr>
        <xdr:spPr>
          <a:xfrm>
            <a:off x="523" y="2748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
</a:t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66" y="2742"/>
            <a:ext cx="56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 flipV="1">
            <a:off x="588" y="2741"/>
            <a:ext cx="0" cy="7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516" y="2811"/>
            <a:ext cx="4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556" y="2709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556" y="2810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403" y="2823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512" y="2822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109</xdr:row>
      <xdr:rowOff>161925</xdr:rowOff>
    </xdr:from>
    <xdr:to>
      <xdr:col>38</xdr:col>
      <xdr:colOff>95250</xdr:colOff>
      <xdr:row>115</xdr:row>
      <xdr:rowOff>161925</xdr:rowOff>
    </xdr:to>
    <xdr:grpSp>
      <xdr:nvGrpSpPr>
        <xdr:cNvPr id="43" name="Group 43"/>
        <xdr:cNvGrpSpPr>
          <a:grpSpLocks/>
        </xdr:cNvGrpSpPr>
      </xdr:nvGrpSpPr>
      <xdr:grpSpPr>
        <a:xfrm>
          <a:off x="3057525" y="29794200"/>
          <a:ext cx="2828925" cy="1600200"/>
          <a:chOff x="727" y="3835"/>
          <a:chExt cx="297" cy="168"/>
        </a:xfrm>
        <a:solidFill>
          <a:srgbClr val="FFFFFF"/>
        </a:solidFill>
      </xdr:grpSpPr>
      <xdr:sp>
        <xdr:nvSpPr>
          <xdr:cNvPr id="44" name="TextBox 44"/>
          <xdr:cNvSpPr txBox="1">
            <a:spLocks noChangeArrowheads="1"/>
          </xdr:cNvSpPr>
        </xdr:nvSpPr>
        <xdr:spPr>
          <a:xfrm>
            <a:off x="727" y="3835"/>
            <a:ext cx="297" cy="1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5" name="Rectangle 45"/>
          <xdr:cNvSpPr>
            <a:spLocks/>
          </xdr:cNvSpPr>
        </xdr:nvSpPr>
        <xdr:spPr>
          <a:xfrm>
            <a:off x="787" y="3866"/>
            <a:ext cx="109" cy="84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6" name="Drawing 332"/>
          <xdr:cNvSpPr>
            <a:spLocks/>
          </xdr:cNvSpPr>
        </xdr:nvSpPr>
        <xdr:spPr>
          <a:xfrm>
            <a:off x="905" y="3865"/>
            <a:ext cx="100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7" name="Drawing 334"/>
          <xdr:cNvSpPr>
            <a:spLocks/>
          </xdr:cNvSpPr>
        </xdr:nvSpPr>
        <xdr:spPr>
          <a:xfrm>
            <a:off x="902" y="3949"/>
            <a:ext cx="104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8" name="Drawing 335"/>
          <xdr:cNvSpPr>
            <a:spLocks/>
          </xdr:cNvSpPr>
        </xdr:nvSpPr>
        <xdr:spPr>
          <a:xfrm>
            <a:off x="789" y="3935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9" name="Oval 49"/>
          <xdr:cNvSpPr>
            <a:spLocks/>
          </xdr:cNvSpPr>
        </xdr:nvSpPr>
        <xdr:spPr>
          <a:xfrm>
            <a:off x="886" y="393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0" name="Oval 50"/>
          <xdr:cNvSpPr>
            <a:spLocks/>
          </xdr:cNvSpPr>
        </xdr:nvSpPr>
        <xdr:spPr>
          <a:xfrm>
            <a:off x="825" y="3933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1" name="Drawing 341"/>
          <xdr:cNvSpPr>
            <a:spLocks/>
          </xdr:cNvSpPr>
        </xdr:nvSpPr>
        <xdr:spPr>
          <a:xfrm>
            <a:off x="1003" y="3865"/>
            <a:ext cx="0" cy="84"/>
          </a:xfrm>
          <a:custGeom>
            <a:pathLst>
              <a:path h="16384" w="16384">
                <a:moveTo>
                  <a:pt x="0" y="16384"/>
                </a:move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911" y="3900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As'</a:t>
            </a:r>
          </a:p>
        </xdr:txBody>
      </xdr:sp>
      <xdr:sp>
        <xdr:nvSpPr>
          <xdr:cNvPr id="53" name="TextBox 53"/>
          <xdr:cNvSpPr txBox="1">
            <a:spLocks noChangeArrowheads="1"/>
          </xdr:cNvSpPr>
        </xdr:nvSpPr>
        <xdr:spPr>
          <a:xfrm>
            <a:off x="833" y="3968"/>
            <a:ext cx="38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b</a:t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953" y="3904"/>
            <a:ext cx="3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984" y="3902"/>
            <a:ext cx="3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h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920" y="3951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d'</a:t>
            </a:r>
          </a:p>
        </xdr:txBody>
      </xdr:sp>
      <xdr:sp>
        <xdr:nvSpPr>
          <xdr:cNvPr id="57" name="Oval 57"/>
          <xdr:cNvSpPr>
            <a:spLocks/>
          </xdr:cNvSpPr>
        </xdr:nvSpPr>
        <xdr:spPr>
          <a:xfrm>
            <a:off x="855" y="393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8" name="Drawing 333"/>
          <xdr:cNvSpPr>
            <a:spLocks/>
          </xdr:cNvSpPr>
        </xdr:nvSpPr>
        <xdr:spPr>
          <a:xfrm>
            <a:off x="902" y="3880"/>
            <a:ext cx="77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9" name="Drawing 335"/>
          <xdr:cNvSpPr>
            <a:spLocks/>
          </xdr:cNvSpPr>
        </xdr:nvSpPr>
        <xdr:spPr>
          <a:xfrm>
            <a:off x="793" y="3880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0" name="Oval 60"/>
          <xdr:cNvSpPr>
            <a:spLocks/>
          </xdr:cNvSpPr>
        </xdr:nvSpPr>
        <xdr:spPr>
          <a:xfrm>
            <a:off x="885" y="3878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1" name="Oval 61"/>
          <xdr:cNvSpPr>
            <a:spLocks/>
          </xdr:cNvSpPr>
        </xdr:nvSpPr>
        <xdr:spPr>
          <a:xfrm>
            <a:off x="839" y="3878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2" name="Oval 62"/>
          <xdr:cNvSpPr>
            <a:spLocks/>
          </xdr:cNvSpPr>
        </xdr:nvSpPr>
        <xdr:spPr>
          <a:xfrm>
            <a:off x="808" y="3878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3" name="Oval 63"/>
          <xdr:cNvSpPr>
            <a:spLocks/>
          </xdr:cNvSpPr>
        </xdr:nvSpPr>
        <xdr:spPr>
          <a:xfrm>
            <a:off x="868" y="3878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4" name="Oval 64"/>
          <xdr:cNvSpPr>
            <a:spLocks/>
          </xdr:cNvSpPr>
        </xdr:nvSpPr>
        <xdr:spPr>
          <a:xfrm>
            <a:off x="824" y="3878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5" name="Oval 65"/>
          <xdr:cNvSpPr>
            <a:spLocks/>
          </xdr:cNvSpPr>
        </xdr:nvSpPr>
        <xdr:spPr>
          <a:xfrm>
            <a:off x="854" y="3878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6" name="TextBox 66"/>
          <xdr:cNvSpPr txBox="1">
            <a:spLocks noChangeArrowheads="1"/>
          </xdr:cNvSpPr>
        </xdr:nvSpPr>
        <xdr:spPr>
          <a:xfrm>
            <a:off x="919" y="3839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d"
</a:t>
            </a:r>
          </a:p>
        </xdr:txBody>
      </xdr:sp>
      <xdr:sp>
        <xdr:nvSpPr>
          <xdr:cNvPr id="67" name="Oval 67"/>
          <xdr:cNvSpPr>
            <a:spLocks/>
          </xdr:cNvSpPr>
        </xdr:nvSpPr>
        <xdr:spPr>
          <a:xfrm>
            <a:off x="791" y="3878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8" name="Oval 68"/>
          <xdr:cNvSpPr>
            <a:spLocks/>
          </xdr:cNvSpPr>
        </xdr:nvSpPr>
        <xdr:spPr>
          <a:xfrm>
            <a:off x="794" y="3933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787" y="3988"/>
            <a:ext cx="10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0" name="Drawing 335"/>
          <xdr:cNvSpPr>
            <a:spLocks/>
          </xdr:cNvSpPr>
        </xdr:nvSpPr>
        <xdr:spPr>
          <a:xfrm>
            <a:off x="789" y="3916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 flipH="1">
            <a:off x="751" y="3950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 flipH="1">
            <a:off x="751" y="3916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3" name="Drawing 335"/>
          <xdr:cNvSpPr>
            <a:spLocks/>
          </xdr:cNvSpPr>
        </xdr:nvSpPr>
        <xdr:spPr>
          <a:xfrm>
            <a:off x="789" y="3916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V="1">
            <a:off x="754" y="3917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5" name="TextBox 75"/>
          <xdr:cNvSpPr txBox="1">
            <a:spLocks noChangeArrowheads="1"/>
          </xdr:cNvSpPr>
        </xdr:nvSpPr>
        <xdr:spPr>
          <a:xfrm>
            <a:off x="732" y="3925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l">
              <a:defRPr/>
            </a:pPr>
            <a:r>
              <a:rPr lang="en-US" cap="none" sz="1000" b="0" i="0" u="none" baseline="0"/>
              <a:t>x
x
</a:t>
            </a:r>
          </a:p>
        </xdr:txBody>
      </xdr:sp>
      <xdr:sp>
        <xdr:nvSpPr>
          <xdr:cNvPr id="76" name="TextBox 76"/>
          <xdr:cNvSpPr txBox="1">
            <a:spLocks noChangeArrowheads="1"/>
          </xdr:cNvSpPr>
        </xdr:nvSpPr>
        <xdr:spPr>
          <a:xfrm>
            <a:off x="906" y="3887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
</a:t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849" y="3881"/>
            <a:ext cx="56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 flipV="1">
            <a:off x="972" y="3880"/>
            <a:ext cx="0" cy="7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900" y="3935"/>
            <a:ext cx="4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787" y="3954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896" y="3953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 flipV="1">
            <a:off x="868" y="3914"/>
            <a:ext cx="44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787" y="3939"/>
            <a:ext cx="109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787" y="3875"/>
            <a:ext cx="109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 flipV="1">
            <a:off x="941" y="3839"/>
            <a:ext cx="0" cy="4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>
            <a:off x="940" y="3935"/>
            <a:ext cx="0" cy="3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972" y="394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 editAs="oneCell">
    <xdr:from>
      <xdr:col>8</xdr:col>
      <xdr:colOff>47625</xdr:colOff>
      <xdr:row>1</xdr:row>
      <xdr:rowOff>9525</xdr:rowOff>
    </xdr:from>
    <xdr:to>
      <xdr:col>24</xdr:col>
      <xdr:colOff>76200</xdr:colOff>
      <xdr:row>11</xdr:row>
      <xdr:rowOff>209550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66825" y="295275"/>
          <a:ext cx="24669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73</xdr:row>
      <xdr:rowOff>104775</xdr:rowOff>
    </xdr:from>
    <xdr:to>
      <xdr:col>40</xdr:col>
      <xdr:colOff>0</xdr:colOff>
      <xdr:row>79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3267075" y="20964525"/>
          <a:ext cx="2828925" cy="1600200"/>
          <a:chOff x="343" y="2704"/>
          <a:chExt cx="297" cy="168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43" y="2704"/>
            <a:ext cx="297" cy="1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403" y="2734"/>
            <a:ext cx="109" cy="84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" name="Drawing 332"/>
          <xdr:cNvSpPr>
            <a:spLocks/>
          </xdr:cNvSpPr>
        </xdr:nvSpPr>
        <xdr:spPr>
          <a:xfrm>
            <a:off x="521" y="2734"/>
            <a:ext cx="100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Drawing 334"/>
          <xdr:cNvSpPr>
            <a:spLocks/>
          </xdr:cNvSpPr>
        </xdr:nvSpPr>
        <xdr:spPr>
          <a:xfrm>
            <a:off x="518" y="2818"/>
            <a:ext cx="104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Drawing 335"/>
          <xdr:cNvSpPr>
            <a:spLocks/>
          </xdr:cNvSpPr>
        </xdr:nvSpPr>
        <xdr:spPr>
          <a:xfrm>
            <a:off x="405" y="2811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502" y="280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441" y="280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Drawing 341"/>
          <xdr:cNvSpPr>
            <a:spLocks/>
          </xdr:cNvSpPr>
        </xdr:nvSpPr>
        <xdr:spPr>
          <a:xfrm>
            <a:off x="619" y="2734"/>
            <a:ext cx="0" cy="84"/>
          </a:xfrm>
          <a:custGeom>
            <a:pathLst>
              <a:path h="16384" w="16384">
                <a:moveTo>
                  <a:pt x="0" y="16384"/>
                </a:move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Drawing 346"/>
          <xdr:cNvSpPr>
            <a:spLocks/>
          </xdr:cNvSpPr>
        </xdr:nvSpPr>
        <xdr:spPr>
          <a:xfrm>
            <a:off x="486" y="2785"/>
            <a:ext cx="37" cy="25"/>
          </a:xfrm>
          <a:custGeom>
            <a:pathLst>
              <a:path h="16384" w="16384">
                <a:moveTo>
                  <a:pt x="0" y="16384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527" y="2769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As'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49" y="2837"/>
            <a:ext cx="38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b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570" y="2767"/>
            <a:ext cx="3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00" y="2771"/>
            <a:ext cx="3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h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536" y="2820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d'</a:t>
            </a:r>
          </a:p>
        </xdr:txBody>
      </xdr:sp>
      <xdr:sp>
        <xdr:nvSpPr>
          <xdr:cNvPr id="16" name="Oval 16"/>
          <xdr:cNvSpPr>
            <a:spLocks/>
          </xdr:cNvSpPr>
        </xdr:nvSpPr>
        <xdr:spPr>
          <a:xfrm>
            <a:off x="471" y="280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Drawing 333"/>
          <xdr:cNvSpPr>
            <a:spLocks/>
          </xdr:cNvSpPr>
        </xdr:nvSpPr>
        <xdr:spPr>
          <a:xfrm>
            <a:off x="519" y="2741"/>
            <a:ext cx="77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" name="Drawing 335"/>
          <xdr:cNvSpPr>
            <a:spLocks/>
          </xdr:cNvSpPr>
        </xdr:nvSpPr>
        <xdr:spPr>
          <a:xfrm>
            <a:off x="410" y="2741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502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456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425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485" y="273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>
            <a:off x="441" y="273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4" name="Oval 24"/>
          <xdr:cNvSpPr>
            <a:spLocks/>
          </xdr:cNvSpPr>
        </xdr:nvSpPr>
        <xdr:spPr>
          <a:xfrm>
            <a:off x="471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5" name="TextBox 25"/>
          <xdr:cNvSpPr txBox="1">
            <a:spLocks noChangeArrowheads="1"/>
          </xdr:cNvSpPr>
        </xdr:nvSpPr>
        <xdr:spPr>
          <a:xfrm>
            <a:off x="535" y="2708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d"
</a:t>
            </a:r>
          </a:p>
        </xdr:txBody>
      </xdr:sp>
      <xdr:sp>
        <xdr:nvSpPr>
          <xdr:cNvPr id="26" name="Oval 26"/>
          <xdr:cNvSpPr>
            <a:spLocks/>
          </xdr:cNvSpPr>
        </xdr:nvSpPr>
        <xdr:spPr>
          <a:xfrm>
            <a:off x="408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7" name="Oval 27"/>
          <xdr:cNvSpPr>
            <a:spLocks/>
          </xdr:cNvSpPr>
        </xdr:nvSpPr>
        <xdr:spPr>
          <a:xfrm>
            <a:off x="410" y="280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403" y="2857"/>
            <a:ext cx="10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9" name="Drawing 335"/>
          <xdr:cNvSpPr>
            <a:spLocks/>
          </xdr:cNvSpPr>
        </xdr:nvSpPr>
        <xdr:spPr>
          <a:xfrm>
            <a:off x="405" y="2790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H="1">
            <a:off x="367" y="2819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 flipH="1">
            <a:off x="367" y="2790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2" name="Drawing 335"/>
          <xdr:cNvSpPr>
            <a:spLocks/>
          </xdr:cNvSpPr>
        </xdr:nvSpPr>
        <xdr:spPr>
          <a:xfrm>
            <a:off x="405" y="2790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370" y="2790"/>
            <a:ext cx="0" cy="2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4" name="TextBox 34"/>
          <xdr:cNvSpPr txBox="1">
            <a:spLocks noChangeArrowheads="1"/>
          </xdr:cNvSpPr>
        </xdr:nvSpPr>
        <xdr:spPr>
          <a:xfrm>
            <a:off x="348" y="2799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l">
              <a:defRPr/>
            </a:pPr>
            <a:r>
              <a:rPr lang="en-US" cap="none" sz="1000" b="0" i="0" u="none" baseline="0"/>
              <a:t>x
x
</a:t>
            </a:r>
          </a:p>
        </xdr:txBody>
      </xdr:sp>
      <xdr:sp>
        <xdr:nvSpPr>
          <xdr:cNvPr id="35" name="TextBox 35"/>
          <xdr:cNvSpPr txBox="1">
            <a:spLocks noChangeArrowheads="1"/>
          </xdr:cNvSpPr>
        </xdr:nvSpPr>
        <xdr:spPr>
          <a:xfrm>
            <a:off x="523" y="2748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
</a:t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66" y="2742"/>
            <a:ext cx="56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 flipV="1">
            <a:off x="588" y="2741"/>
            <a:ext cx="0" cy="7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516" y="2811"/>
            <a:ext cx="4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556" y="2709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556" y="2810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403" y="2823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512" y="2822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109</xdr:row>
      <xdr:rowOff>161925</xdr:rowOff>
    </xdr:from>
    <xdr:to>
      <xdr:col>38</xdr:col>
      <xdr:colOff>95250</xdr:colOff>
      <xdr:row>115</xdr:row>
      <xdr:rowOff>161925</xdr:rowOff>
    </xdr:to>
    <xdr:grpSp>
      <xdr:nvGrpSpPr>
        <xdr:cNvPr id="43" name="Group 43"/>
        <xdr:cNvGrpSpPr>
          <a:grpSpLocks/>
        </xdr:cNvGrpSpPr>
      </xdr:nvGrpSpPr>
      <xdr:grpSpPr>
        <a:xfrm>
          <a:off x="3057525" y="29794200"/>
          <a:ext cx="2828925" cy="1600200"/>
          <a:chOff x="727" y="3835"/>
          <a:chExt cx="297" cy="168"/>
        </a:xfrm>
        <a:solidFill>
          <a:srgbClr val="FFFFFF"/>
        </a:solidFill>
      </xdr:grpSpPr>
      <xdr:sp>
        <xdr:nvSpPr>
          <xdr:cNvPr id="44" name="TextBox 44"/>
          <xdr:cNvSpPr txBox="1">
            <a:spLocks noChangeArrowheads="1"/>
          </xdr:cNvSpPr>
        </xdr:nvSpPr>
        <xdr:spPr>
          <a:xfrm>
            <a:off x="727" y="3835"/>
            <a:ext cx="297" cy="1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5" name="Rectangle 45"/>
          <xdr:cNvSpPr>
            <a:spLocks/>
          </xdr:cNvSpPr>
        </xdr:nvSpPr>
        <xdr:spPr>
          <a:xfrm>
            <a:off x="787" y="3866"/>
            <a:ext cx="109" cy="84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6" name="Drawing 332"/>
          <xdr:cNvSpPr>
            <a:spLocks/>
          </xdr:cNvSpPr>
        </xdr:nvSpPr>
        <xdr:spPr>
          <a:xfrm>
            <a:off x="905" y="3865"/>
            <a:ext cx="100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7" name="Drawing 334"/>
          <xdr:cNvSpPr>
            <a:spLocks/>
          </xdr:cNvSpPr>
        </xdr:nvSpPr>
        <xdr:spPr>
          <a:xfrm>
            <a:off x="902" y="3949"/>
            <a:ext cx="104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8" name="Drawing 335"/>
          <xdr:cNvSpPr>
            <a:spLocks/>
          </xdr:cNvSpPr>
        </xdr:nvSpPr>
        <xdr:spPr>
          <a:xfrm>
            <a:off x="789" y="3935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9" name="Oval 49"/>
          <xdr:cNvSpPr>
            <a:spLocks/>
          </xdr:cNvSpPr>
        </xdr:nvSpPr>
        <xdr:spPr>
          <a:xfrm>
            <a:off x="886" y="393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0" name="Oval 50"/>
          <xdr:cNvSpPr>
            <a:spLocks/>
          </xdr:cNvSpPr>
        </xdr:nvSpPr>
        <xdr:spPr>
          <a:xfrm>
            <a:off x="825" y="3933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1" name="Drawing 341"/>
          <xdr:cNvSpPr>
            <a:spLocks/>
          </xdr:cNvSpPr>
        </xdr:nvSpPr>
        <xdr:spPr>
          <a:xfrm>
            <a:off x="1003" y="3865"/>
            <a:ext cx="0" cy="84"/>
          </a:xfrm>
          <a:custGeom>
            <a:pathLst>
              <a:path h="16384" w="16384">
                <a:moveTo>
                  <a:pt x="0" y="16384"/>
                </a:move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911" y="3900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As'</a:t>
            </a:r>
          </a:p>
        </xdr:txBody>
      </xdr:sp>
      <xdr:sp>
        <xdr:nvSpPr>
          <xdr:cNvPr id="53" name="TextBox 53"/>
          <xdr:cNvSpPr txBox="1">
            <a:spLocks noChangeArrowheads="1"/>
          </xdr:cNvSpPr>
        </xdr:nvSpPr>
        <xdr:spPr>
          <a:xfrm>
            <a:off x="833" y="3968"/>
            <a:ext cx="38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b</a:t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953" y="3904"/>
            <a:ext cx="3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984" y="3902"/>
            <a:ext cx="3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h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920" y="3951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d'</a:t>
            </a:r>
          </a:p>
        </xdr:txBody>
      </xdr:sp>
      <xdr:sp>
        <xdr:nvSpPr>
          <xdr:cNvPr id="57" name="Oval 57"/>
          <xdr:cNvSpPr>
            <a:spLocks/>
          </xdr:cNvSpPr>
        </xdr:nvSpPr>
        <xdr:spPr>
          <a:xfrm>
            <a:off x="855" y="393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8" name="Drawing 333"/>
          <xdr:cNvSpPr>
            <a:spLocks/>
          </xdr:cNvSpPr>
        </xdr:nvSpPr>
        <xdr:spPr>
          <a:xfrm>
            <a:off x="902" y="3880"/>
            <a:ext cx="77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9" name="Drawing 335"/>
          <xdr:cNvSpPr>
            <a:spLocks/>
          </xdr:cNvSpPr>
        </xdr:nvSpPr>
        <xdr:spPr>
          <a:xfrm>
            <a:off x="793" y="3880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0" name="Oval 60"/>
          <xdr:cNvSpPr>
            <a:spLocks/>
          </xdr:cNvSpPr>
        </xdr:nvSpPr>
        <xdr:spPr>
          <a:xfrm>
            <a:off x="885" y="3878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1" name="Oval 61"/>
          <xdr:cNvSpPr>
            <a:spLocks/>
          </xdr:cNvSpPr>
        </xdr:nvSpPr>
        <xdr:spPr>
          <a:xfrm>
            <a:off x="839" y="3878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2" name="Oval 62"/>
          <xdr:cNvSpPr>
            <a:spLocks/>
          </xdr:cNvSpPr>
        </xdr:nvSpPr>
        <xdr:spPr>
          <a:xfrm>
            <a:off x="808" y="3878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3" name="Oval 63"/>
          <xdr:cNvSpPr>
            <a:spLocks/>
          </xdr:cNvSpPr>
        </xdr:nvSpPr>
        <xdr:spPr>
          <a:xfrm>
            <a:off x="868" y="3878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4" name="Oval 64"/>
          <xdr:cNvSpPr>
            <a:spLocks/>
          </xdr:cNvSpPr>
        </xdr:nvSpPr>
        <xdr:spPr>
          <a:xfrm>
            <a:off x="824" y="3878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5" name="Oval 65"/>
          <xdr:cNvSpPr>
            <a:spLocks/>
          </xdr:cNvSpPr>
        </xdr:nvSpPr>
        <xdr:spPr>
          <a:xfrm>
            <a:off x="854" y="3878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6" name="TextBox 66"/>
          <xdr:cNvSpPr txBox="1">
            <a:spLocks noChangeArrowheads="1"/>
          </xdr:cNvSpPr>
        </xdr:nvSpPr>
        <xdr:spPr>
          <a:xfrm>
            <a:off x="919" y="3839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d"
</a:t>
            </a:r>
          </a:p>
        </xdr:txBody>
      </xdr:sp>
      <xdr:sp>
        <xdr:nvSpPr>
          <xdr:cNvPr id="67" name="Oval 67"/>
          <xdr:cNvSpPr>
            <a:spLocks/>
          </xdr:cNvSpPr>
        </xdr:nvSpPr>
        <xdr:spPr>
          <a:xfrm>
            <a:off x="791" y="3878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8" name="Oval 68"/>
          <xdr:cNvSpPr>
            <a:spLocks/>
          </xdr:cNvSpPr>
        </xdr:nvSpPr>
        <xdr:spPr>
          <a:xfrm>
            <a:off x="794" y="3933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787" y="3988"/>
            <a:ext cx="10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0" name="Drawing 335"/>
          <xdr:cNvSpPr>
            <a:spLocks/>
          </xdr:cNvSpPr>
        </xdr:nvSpPr>
        <xdr:spPr>
          <a:xfrm>
            <a:off x="789" y="3916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 flipH="1">
            <a:off x="751" y="3950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 flipH="1">
            <a:off x="751" y="3916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3" name="Drawing 335"/>
          <xdr:cNvSpPr>
            <a:spLocks/>
          </xdr:cNvSpPr>
        </xdr:nvSpPr>
        <xdr:spPr>
          <a:xfrm>
            <a:off x="789" y="3916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V="1">
            <a:off x="754" y="3917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5" name="TextBox 75"/>
          <xdr:cNvSpPr txBox="1">
            <a:spLocks noChangeArrowheads="1"/>
          </xdr:cNvSpPr>
        </xdr:nvSpPr>
        <xdr:spPr>
          <a:xfrm>
            <a:off x="732" y="3925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l">
              <a:defRPr/>
            </a:pPr>
            <a:r>
              <a:rPr lang="en-US" cap="none" sz="1000" b="0" i="0" u="none" baseline="0"/>
              <a:t>x
x
</a:t>
            </a:r>
          </a:p>
        </xdr:txBody>
      </xdr:sp>
      <xdr:sp>
        <xdr:nvSpPr>
          <xdr:cNvPr id="76" name="TextBox 76"/>
          <xdr:cNvSpPr txBox="1">
            <a:spLocks noChangeArrowheads="1"/>
          </xdr:cNvSpPr>
        </xdr:nvSpPr>
        <xdr:spPr>
          <a:xfrm>
            <a:off x="906" y="3887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
</a:t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849" y="3881"/>
            <a:ext cx="56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 flipV="1">
            <a:off x="972" y="3880"/>
            <a:ext cx="0" cy="7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900" y="3935"/>
            <a:ext cx="4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787" y="3954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896" y="3953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 flipV="1">
            <a:off x="868" y="3914"/>
            <a:ext cx="44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787" y="3939"/>
            <a:ext cx="109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787" y="3875"/>
            <a:ext cx="109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 flipV="1">
            <a:off x="941" y="3839"/>
            <a:ext cx="0" cy="4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>
            <a:off x="940" y="3935"/>
            <a:ext cx="0" cy="3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972" y="394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 editAs="oneCell">
    <xdr:from>
      <xdr:col>8</xdr:col>
      <xdr:colOff>47625</xdr:colOff>
      <xdr:row>1</xdr:row>
      <xdr:rowOff>9525</xdr:rowOff>
    </xdr:from>
    <xdr:to>
      <xdr:col>24</xdr:col>
      <xdr:colOff>76200</xdr:colOff>
      <xdr:row>11</xdr:row>
      <xdr:rowOff>209550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66825" y="295275"/>
          <a:ext cx="24669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73</xdr:row>
      <xdr:rowOff>104775</xdr:rowOff>
    </xdr:from>
    <xdr:to>
      <xdr:col>40</xdr:col>
      <xdr:colOff>0</xdr:colOff>
      <xdr:row>79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3267075" y="20964525"/>
          <a:ext cx="2828925" cy="1600200"/>
          <a:chOff x="343" y="2704"/>
          <a:chExt cx="297" cy="168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43" y="2704"/>
            <a:ext cx="297" cy="1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403" y="2734"/>
            <a:ext cx="109" cy="84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" name="Drawing 332"/>
          <xdr:cNvSpPr>
            <a:spLocks/>
          </xdr:cNvSpPr>
        </xdr:nvSpPr>
        <xdr:spPr>
          <a:xfrm>
            <a:off x="521" y="2734"/>
            <a:ext cx="100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Drawing 334"/>
          <xdr:cNvSpPr>
            <a:spLocks/>
          </xdr:cNvSpPr>
        </xdr:nvSpPr>
        <xdr:spPr>
          <a:xfrm>
            <a:off x="518" y="2818"/>
            <a:ext cx="104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Drawing 335"/>
          <xdr:cNvSpPr>
            <a:spLocks/>
          </xdr:cNvSpPr>
        </xdr:nvSpPr>
        <xdr:spPr>
          <a:xfrm>
            <a:off x="405" y="2811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502" y="280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441" y="280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Drawing 341"/>
          <xdr:cNvSpPr>
            <a:spLocks/>
          </xdr:cNvSpPr>
        </xdr:nvSpPr>
        <xdr:spPr>
          <a:xfrm>
            <a:off x="619" y="2734"/>
            <a:ext cx="0" cy="84"/>
          </a:xfrm>
          <a:custGeom>
            <a:pathLst>
              <a:path h="16384" w="16384">
                <a:moveTo>
                  <a:pt x="0" y="16384"/>
                </a:move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Drawing 346"/>
          <xdr:cNvSpPr>
            <a:spLocks/>
          </xdr:cNvSpPr>
        </xdr:nvSpPr>
        <xdr:spPr>
          <a:xfrm>
            <a:off x="486" y="2785"/>
            <a:ext cx="37" cy="25"/>
          </a:xfrm>
          <a:custGeom>
            <a:pathLst>
              <a:path h="16384" w="16384">
                <a:moveTo>
                  <a:pt x="0" y="16384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527" y="2769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As'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49" y="2837"/>
            <a:ext cx="38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b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570" y="2767"/>
            <a:ext cx="3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00" y="2771"/>
            <a:ext cx="3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h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536" y="2820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d'</a:t>
            </a:r>
          </a:p>
        </xdr:txBody>
      </xdr:sp>
      <xdr:sp>
        <xdr:nvSpPr>
          <xdr:cNvPr id="16" name="Oval 16"/>
          <xdr:cNvSpPr>
            <a:spLocks/>
          </xdr:cNvSpPr>
        </xdr:nvSpPr>
        <xdr:spPr>
          <a:xfrm>
            <a:off x="471" y="280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Drawing 333"/>
          <xdr:cNvSpPr>
            <a:spLocks/>
          </xdr:cNvSpPr>
        </xdr:nvSpPr>
        <xdr:spPr>
          <a:xfrm>
            <a:off x="519" y="2741"/>
            <a:ext cx="77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" name="Drawing 335"/>
          <xdr:cNvSpPr>
            <a:spLocks/>
          </xdr:cNvSpPr>
        </xdr:nvSpPr>
        <xdr:spPr>
          <a:xfrm>
            <a:off x="410" y="2741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502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456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425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485" y="273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>
            <a:off x="441" y="273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4" name="Oval 24"/>
          <xdr:cNvSpPr>
            <a:spLocks/>
          </xdr:cNvSpPr>
        </xdr:nvSpPr>
        <xdr:spPr>
          <a:xfrm>
            <a:off x="471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5" name="TextBox 25"/>
          <xdr:cNvSpPr txBox="1">
            <a:spLocks noChangeArrowheads="1"/>
          </xdr:cNvSpPr>
        </xdr:nvSpPr>
        <xdr:spPr>
          <a:xfrm>
            <a:off x="535" y="2708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d"
</a:t>
            </a:r>
          </a:p>
        </xdr:txBody>
      </xdr:sp>
      <xdr:sp>
        <xdr:nvSpPr>
          <xdr:cNvPr id="26" name="Oval 26"/>
          <xdr:cNvSpPr>
            <a:spLocks/>
          </xdr:cNvSpPr>
        </xdr:nvSpPr>
        <xdr:spPr>
          <a:xfrm>
            <a:off x="408" y="273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7" name="Oval 27"/>
          <xdr:cNvSpPr>
            <a:spLocks/>
          </xdr:cNvSpPr>
        </xdr:nvSpPr>
        <xdr:spPr>
          <a:xfrm>
            <a:off x="410" y="280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403" y="2857"/>
            <a:ext cx="10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9" name="Drawing 335"/>
          <xdr:cNvSpPr>
            <a:spLocks/>
          </xdr:cNvSpPr>
        </xdr:nvSpPr>
        <xdr:spPr>
          <a:xfrm>
            <a:off x="405" y="2790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H="1">
            <a:off x="367" y="2819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 flipH="1">
            <a:off x="367" y="2790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2" name="Drawing 335"/>
          <xdr:cNvSpPr>
            <a:spLocks/>
          </xdr:cNvSpPr>
        </xdr:nvSpPr>
        <xdr:spPr>
          <a:xfrm>
            <a:off x="405" y="2790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370" y="2790"/>
            <a:ext cx="0" cy="2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4" name="TextBox 34"/>
          <xdr:cNvSpPr txBox="1">
            <a:spLocks noChangeArrowheads="1"/>
          </xdr:cNvSpPr>
        </xdr:nvSpPr>
        <xdr:spPr>
          <a:xfrm>
            <a:off x="348" y="2799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l">
              <a:defRPr/>
            </a:pPr>
            <a:r>
              <a:rPr lang="en-US" cap="none" sz="1000" b="0" i="0" u="none" baseline="0"/>
              <a:t>x
x
</a:t>
            </a:r>
          </a:p>
        </xdr:txBody>
      </xdr:sp>
      <xdr:sp>
        <xdr:nvSpPr>
          <xdr:cNvPr id="35" name="TextBox 35"/>
          <xdr:cNvSpPr txBox="1">
            <a:spLocks noChangeArrowheads="1"/>
          </xdr:cNvSpPr>
        </xdr:nvSpPr>
        <xdr:spPr>
          <a:xfrm>
            <a:off x="523" y="2748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
</a:t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66" y="2742"/>
            <a:ext cx="56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 flipV="1">
            <a:off x="588" y="2741"/>
            <a:ext cx="0" cy="7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516" y="2811"/>
            <a:ext cx="4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556" y="2709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556" y="2810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403" y="2823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512" y="2822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109</xdr:row>
      <xdr:rowOff>161925</xdr:rowOff>
    </xdr:from>
    <xdr:to>
      <xdr:col>38</xdr:col>
      <xdr:colOff>95250</xdr:colOff>
      <xdr:row>115</xdr:row>
      <xdr:rowOff>161925</xdr:rowOff>
    </xdr:to>
    <xdr:grpSp>
      <xdr:nvGrpSpPr>
        <xdr:cNvPr id="43" name="Group 43"/>
        <xdr:cNvGrpSpPr>
          <a:grpSpLocks/>
        </xdr:cNvGrpSpPr>
      </xdr:nvGrpSpPr>
      <xdr:grpSpPr>
        <a:xfrm>
          <a:off x="3057525" y="29794200"/>
          <a:ext cx="2828925" cy="1600200"/>
          <a:chOff x="727" y="3835"/>
          <a:chExt cx="297" cy="168"/>
        </a:xfrm>
        <a:solidFill>
          <a:srgbClr val="FFFFFF"/>
        </a:solidFill>
      </xdr:grpSpPr>
      <xdr:sp>
        <xdr:nvSpPr>
          <xdr:cNvPr id="44" name="TextBox 44"/>
          <xdr:cNvSpPr txBox="1">
            <a:spLocks noChangeArrowheads="1"/>
          </xdr:cNvSpPr>
        </xdr:nvSpPr>
        <xdr:spPr>
          <a:xfrm>
            <a:off x="727" y="3835"/>
            <a:ext cx="297" cy="1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5" name="Rectangle 45"/>
          <xdr:cNvSpPr>
            <a:spLocks/>
          </xdr:cNvSpPr>
        </xdr:nvSpPr>
        <xdr:spPr>
          <a:xfrm>
            <a:off x="787" y="3866"/>
            <a:ext cx="109" cy="84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6" name="Drawing 332"/>
          <xdr:cNvSpPr>
            <a:spLocks/>
          </xdr:cNvSpPr>
        </xdr:nvSpPr>
        <xdr:spPr>
          <a:xfrm>
            <a:off x="905" y="3865"/>
            <a:ext cx="100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7" name="Drawing 334"/>
          <xdr:cNvSpPr>
            <a:spLocks/>
          </xdr:cNvSpPr>
        </xdr:nvSpPr>
        <xdr:spPr>
          <a:xfrm>
            <a:off x="902" y="3949"/>
            <a:ext cx="104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8" name="Drawing 335"/>
          <xdr:cNvSpPr>
            <a:spLocks/>
          </xdr:cNvSpPr>
        </xdr:nvSpPr>
        <xdr:spPr>
          <a:xfrm>
            <a:off x="789" y="3935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9" name="Oval 49"/>
          <xdr:cNvSpPr>
            <a:spLocks/>
          </xdr:cNvSpPr>
        </xdr:nvSpPr>
        <xdr:spPr>
          <a:xfrm>
            <a:off x="886" y="393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0" name="Oval 50"/>
          <xdr:cNvSpPr>
            <a:spLocks/>
          </xdr:cNvSpPr>
        </xdr:nvSpPr>
        <xdr:spPr>
          <a:xfrm>
            <a:off x="825" y="3933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1" name="Drawing 341"/>
          <xdr:cNvSpPr>
            <a:spLocks/>
          </xdr:cNvSpPr>
        </xdr:nvSpPr>
        <xdr:spPr>
          <a:xfrm>
            <a:off x="1003" y="3865"/>
            <a:ext cx="0" cy="84"/>
          </a:xfrm>
          <a:custGeom>
            <a:pathLst>
              <a:path h="16384" w="16384">
                <a:moveTo>
                  <a:pt x="0" y="16384"/>
                </a:move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911" y="3900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As'</a:t>
            </a:r>
          </a:p>
        </xdr:txBody>
      </xdr:sp>
      <xdr:sp>
        <xdr:nvSpPr>
          <xdr:cNvPr id="53" name="TextBox 53"/>
          <xdr:cNvSpPr txBox="1">
            <a:spLocks noChangeArrowheads="1"/>
          </xdr:cNvSpPr>
        </xdr:nvSpPr>
        <xdr:spPr>
          <a:xfrm>
            <a:off x="833" y="3968"/>
            <a:ext cx="38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b</a:t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953" y="3904"/>
            <a:ext cx="3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984" y="3902"/>
            <a:ext cx="3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h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920" y="3951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d'</a:t>
            </a:r>
          </a:p>
        </xdr:txBody>
      </xdr:sp>
      <xdr:sp>
        <xdr:nvSpPr>
          <xdr:cNvPr id="57" name="Oval 57"/>
          <xdr:cNvSpPr>
            <a:spLocks/>
          </xdr:cNvSpPr>
        </xdr:nvSpPr>
        <xdr:spPr>
          <a:xfrm>
            <a:off x="855" y="393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8" name="Drawing 333"/>
          <xdr:cNvSpPr>
            <a:spLocks/>
          </xdr:cNvSpPr>
        </xdr:nvSpPr>
        <xdr:spPr>
          <a:xfrm>
            <a:off x="902" y="3880"/>
            <a:ext cx="77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9" name="Drawing 335"/>
          <xdr:cNvSpPr>
            <a:spLocks/>
          </xdr:cNvSpPr>
        </xdr:nvSpPr>
        <xdr:spPr>
          <a:xfrm>
            <a:off x="793" y="3880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0" name="Oval 60"/>
          <xdr:cNvSpPr>
            <a:spLocks/>
          </xdr:cNvSpPr>
        </xdr:nvSpPr>
        <xdr:spPr>
          <a:xfrm>
            <a:off x="885" y="3878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1" name="Oval 61"/>
          <xdr:cNvSpPr>
            <a:spLocks/>
          </xdr:cNvSpPr>
        </xdr:nvSpPr>
        <xdr:spPr>
          <a:xfrm>
            <a:off x="839" y="3878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2" name="Oval 62"/>
          <xdr:cNvSpPr>
            <a:spLocks/>
          </xdr:cNvSpPr>
        </xdr:nvSpPr>
        <xdr:spPr>
          <a:xfrm>
            <a:off x="808" y="3878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3" name="Oval 63"/>
          <xdr:cNvSpPr>
            <a:spLocks/>
          </xdr:cNvSpPr>
        </xdr:nvSpPr>
        <xdr:spPr>
          <a:xfrm>
            <a:off x="868" y="3878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4" name="Oval 64"/>
          <xdr:cNvSpPr>
            <a:spLocks/>
          </xdr:cNvSpPr>
        </xdr:nvSpPr>
        <xdr:spPr>
          <a:xfrm>
            <a:off x="824" y="3878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5" name="Oval 65"/>
          <xdr:cNvSpPr>
            <a:spLocks/>
          </xdr:cNvSpPr>
        </xdr:nvSpPr>
        <xdr:spPr>
          <a:xfrm>
            <a:off x="854" y="3878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6" name="TextBox 66"/>
          <xdr:cNvSpPr txBox="1">
            <a:spLocks noChangeArrowheads="1"/>
          </xdr:cNvSpPr>
        </xdr:nvSpPr>
        <xdr:spPr>
          <a:xfrm>
            <a:off x="919" y="3839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d"
</a:t>
            </a:r>
          </a:p>
        </xdr:txBody>
      </xdr:sp>
      <xdr:sp>
        <xdr:nvSpPr>
          <xdr:cNvPr id="67" name="Oval 67"/>
          <xdr:cNvSpPr>
            <a:spLocks/>
          </xdr:cNvSpPr>
        </xdr:nvSpPr>
        <xdr:spPr>
          <a:xfrm>
            <a:off x="791" y="3878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8" name="Oval 68"/>
          <xdr:cNvSpPr>
            <a:spLocks/>
          </xdr:cNvSpPr>
        </xdr:nvSpPr>
        <xdr:spPr>
          <a:xfrm>
            <a:off x="794" y="3933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787" y="3988"/>
            <a:ext cx="10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0" name="Drawing 335"/>
          <xdr:cNvSpPr>
            <a:spLocks/>
          </xdr:cNvSpPr>
        </xdr:nvSpPr>
        <xdr:spPr>
          <a:xfrm>
            <a:off x="789" y="3916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 flipH="1">
            <a:off x="751" y="3950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 flipH="1">
            <a:off x="751" y="3916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3" name="Drawing 335"/>
          <xdr:cNvSpPr>
            <a:spLocks/>
          </xdr:cNvSpPr>
        </xdr:nvSpPr>
        <xdr:spPr>
          <a:xfrm>
            <a:off x="789" y="3916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V="1">
            <a:off x="754" y="3917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5" name="TextBox 75"/>
          <xdr:cNvSpPr txBox="1">
            <a:spLocks noChangeArrowheads="1"/>
          </xdr:cNvSpPr>
        </xdr:nvSpPr>
        <xdr:spPr>
          <a:xfrm>
            <a:off x="732" y="3925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l">
              <a:defRPr/>
            </a:pPr>
            <a:r>
              <a:rPr lang="en-US" cap="none" sz="1000" b="0" i="0" u="none" baseline="0"/>
              <a:t>x
x
</a:t>
            </a:r>
          </a:p>
        </xdr:txBody>
      </xdr:sp>
      <xdr:sp>
        <xdr:nvSpPr>
          <xdr:cNvPr id="76" name="TextBox 76"/>
          <xdr:cNvSpPr txBox="1">
            <a:spLocks noChangeArrowheads="1"/>
          </xdr:cNvSpPr>
        </xdr:nvSpPr>
        <xdr:spPr>
          <a:xfrm>
            <a:off x="906" y="3887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
</a:t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849" y="3881"/>
            <a:ext cx="56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 flipV="1">
            <a:off x="972" y="3880"/>
            <a:ext cx="0" cy="7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900" y="3935"/>
            <a:ext cx="4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787" y="3954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896" y="3953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 flipV="1">
            <a:off x="868" y="3914"/>
            <a:ext cx="44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787" y="3939"/>
            <a:ext cx="109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787" y="3875"/>
            <a:ext cx="109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 flipV="1">
            <a:off x="941" y="3839"/>
            <a:ext cx="0" cy="4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>
            <a:off x="940" y="3935"/>
            <a:ext cx="0" cy="3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972" y="394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 editAs="oneCell">
    <xdr:from>
      <xdr:col>8</xdr:col>
      <xdr:colOff>47625</xdr:colOff>
      <xdr:row>1</xdr:row>
      <xdr:rowOff>9525</xdr:rowOff>
    </xdr:from>
    <xdr:to>
      <xdr:col>24</xdr:col>
      <xdr:colOff>76200</xdr:colOff>
      <xdr:row>11</xdr:row>
      <xdr:rowOff>209550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66825" y="295275"/>
          <a:ext cx="24669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69</xdr:row>
      <xdr:rowOff>171450</xdr:rowOff>
    </xdr:from>
    <xdr:to>
      <xdr:col>38</xdr:col>
      <xdr:colOff>95250</xdr:colOff>
      <xdr:row>75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3057525" y="18278475"/>
          <a:ext cx="2828925" cy="1590675"/>
          <a:chOff x="321" y="2452"/>
          <a:chExt cx="297" cy="168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21" y="2452"/>
            <a:ext cx="297" cy="1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381" y="2483"/>
            <a:ext cx="109" cy="84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" name="Drawing 332"/>
          <xdr:cNvSpPr>
            <a:spLocks/>
          </xdr:cNvSpPr>
        </xdr:nvSpPr>
        <xdr:spPr>
          <a:xfrm>
            <a:off x="499" y="2482"/>
            <a:ext cx="100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Drawing 334"/>
          <xdr:cNvSpPr>
            <a:spLocks/>
          </xdr:cNvSpPr>
        </xdr:nvSpPr>
        <xdr:spPr>
          <a:xfrm>
            <a:off x="496" y="2566"/>
            <a:ext cx="104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Drawing 335"/>
          <xdr:cNvSpPr>
            <a:spLocks/>
          </xdr:cNvSpPr>
        </xdr:nvSpPr>
        <xdr:spPr>
          <a:xfrm>
            <a:off x="383" y="2552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480" y="2550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419" y="2550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Drawing 341"/>
          <xdr:cNvSpPr>
            <a:spLocks/>
          </xdr:cNvSpPr>
        </xdr:nvSpPr>
        <xdr:spPr>
          <a:xfrm>
            <a:off x="597" y="2482"/>
            <a:ext cx="0" cy="84"/>
          </a:xfrm>
          <a:custGeom>
            <a:pathLst>
              <a:path h="16384" w="16384">
                <a:moveTo>
                  <a:pt x="0" y="16384"/>
                </a:move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505" y="2517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27" y="2585"/>
            <a:ext cx="38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b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546" y="2509"/>
            <a:ext cx="3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578" y="2519"/>
            <a:ext cx="3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h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514" y="2568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d"</a:t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449" y="2550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" name="Drawing 333"/>
          <xdr:cNvSpPr>
            <a:spLocks/>
          </xdr:cNvSpPr>
        </xdr:nvSpPr>
        <xdr:spPr>
          <a:xfrm>
            <a:off x="496" y="2552"/>
            <a:ext cx="77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Drawing 335"/>
          <xdr:cNvSpPr>
            <a:spLocks/>
          </xdr:cNvSpPr>
        </xdr:nvSpPr>
        <xdr:spPr>
          <a:xfrm>
            <a:off x="382" y="2497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" name="Oval 18"/>
          <xdr:cNvSpPr>
            <a:spLocks/>
          </xdr:cNvSpPr>
        </xdr:nvSpPr>
        <xdr:spPr>
          <a:xfrm>
            <a:off x="479" y="2495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434" y="2550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403" y="2550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462" y="2550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418" y="2495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>
            <a:off x="448" y="2495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4" name="TextBox 24"/>
          <xdr:cNvSpPr txBox="1">
            <a:spLocks noChangeArrowheads="1"/>
          </xdr:cNvSpPr>
        </xdr:nvSpPr>
        <xdr:spPr>
          <a:xfrm>
            <a:off x="513" y="2456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d'
</a:t>
            </a:r>
          </a:p>
        </xdr:txBody>
      </xdr:sp>
      <xdr:sp>
        <xdr:nvSpPr>
          <xdr:cNvPr id="25" name="Oval 25"/>
          <xdr:cNvSpPr>
            <a:spLocks/>
          </xdr:cNvSpPr>
        </xdr:nvSpPr>
        <xdr:spPr>
          <a:xfrm>
            <a:off x="385" y="2495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6" name="Oval 26"/>
          <xdr:cNvSpPr>
            <a:spLocks/>
          </xdr:cNvSpPr>
        </xdr:nvSpPr>
        <xdr:spPr>
          <a:xfrm>
            <a:off x="388" y="2550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381" y="2605"/>
            <a:ext cx="10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8" name="Drawing 335"/>
          <xdr:cNvSpPr>
            <a:spLocks/>
          </xdr:cNvSpPr>
        </xdr:nvSpPr>
        <xdr:spPr>
          <a:xfrm>
            <a:off x="383" y="2514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H="1">
            <a:off x="345" y="2483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H="1">
            <a:off x="345" y="2514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1" name="Drawing 335"/>
          <xdr:cNvSpPr>
            <a:spLocks/>
          </xdr:cNvSpPr>
        </xdr:nvSpPr>
        <xdr:spPr>
          <a:xfrm>
            <a:off x="383" y="2514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V="1">
            <a:off x="348" y="2483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3" name="TextBox 33"/>
          <xdr:cNvSpPr txBox="1">
            <a:spLocks noChangeArrowheads="1"/>
          </xdr:cNvSpPr>
        </xdr:nvSpPr>
        <xdr:spPr>
          <a:xfrm>
            <a:off x="326" y="2493"/>
            <a:ext cx="21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l">
              <a:defRPr/>
            </a:pPr>
            <a:r>
              <a:rPr lang="en-US" cap="none" sz="1000" b="0" i="0" u="none" baseline="0"/>
              <a:t>x
x
</a:t>
            </a:r>
          </a:p>
        </xdr:txBody>
      </xdr:sp>
      <xdr:sp>
        <xdr:nvSpPr>
          <xdr:cNvPr id="34" name="TextBox 34"/>
          <xdr:cNvSpPr txBox="1">
            <a:spLocks noChangeArrowheads="1"/>
          </xdr:cNvSpPr>
        </xdr:nvSpPr>
        <xdr:spPr>
          <a:xfrm>
            <a:off x="500" y="2504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As'
</a:t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443" y="2498"/>
            <a:ext cx="56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V="1">
            <a:off x="566" y="2482"/>
            <a:ext cx="0" cy="7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496" y="2497"/>
            <a:ext cx="4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381" y="2571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90" y="2570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462" y="2531"/>
            <a:ext cx="44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381" y="2556"/>
            <a:ext cx="109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381" y="2492"/>
            <a:ext cx="109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535" y="2456"/>
            <a:ext cx="0" cy="4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534" y="2552"/>
            <a:ext cx="0" cy="3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566" y="2566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20</xdr:col>
      <xdr:colOff>123825</xdr:colOff>
      <xdr:row>36</xdr:row>
      <xdr:rowOff>76200</xdr:rowOff>
    </xdr:from>
    <xdr:to>
      <xdr:col>39</xdr:col>
      <xdr:colOff>57150</xdr:colOff>
      <xdr:row>42</xdr:row>
      <xdr:rowOff>95250</xdr:rowOff>
    </xdr:to>
    <xdr:grpSp>
      <xdr:nvGrpSpPr>
        <xdr:cNvPr id="46" name="Group 46"/>
        <xdr:cNvGrpSpPr>
          <a:grpSpLocks/>
        </xdr:cNvGrpSpPr>
      </xdr:nvGrpSpPr>
      <xdr:grpSpPr>
        <a:xfrm>
          <a:off x="3171825" y="10363200"/>
          <a:ext cx="2828925" cy="1619250"/>
          <a:chOff x="674" y="1684"/>
          <a:chExt cx="297" cy="170"/>
        </a:xfrm>
        <a:solidFill>
          <a:srgbClr val="FFFFFF"/>
        </a:solidFill>
      </xdr:grpSpPr>
      <xdr:sp>
        <xdr:nvSpPr>
          <xdr:cNvPr id="47" name="TextBox 47"/>
          <xdr:cNvSpPr txBox="1">
            <a:spLocks noChangeArrowheads="1"/>
          </xdr:cNvSpPr>
        </xdr:nvSpPr>
        <xdr:spPr>
          <a:xfrm>
            <a:off x="674" y="1686"/>
            <a:ext cx="297" cy="1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8" name="Rectangle 48"/>
          <xdr:cNvSpPr>
            <a:spLocks/>
          </xdr:cNvSpPr>
        </xdr:nvSpPr>
        <xdr:spPr>
          <a:xfrm>
            <a:off x="734" y="1717"/>
            <a:ext cx="109" cy="84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9" name="Drawing 332"/>
          <xdr:cNvSpPr>
            <a:spLocks/>
          </xdr:cNvSpPr>
        </xdr:nvSpPr>
        <xdr:spPr>
          <a:xfrm>
            <a:off x="852" y="1716"/>
            <a:ext cx="100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0" name="Drawing 334"/>
          <xdr:cNvSpPr>
            <a:spLocks/>
          </xdr:cNvSpPr>
        </xdr:nvSpPr>
        <xdr:spPr>
          <a:xfrm>
            <a:off x="849" y="1800"/>
            <a:ext cx="104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1" name="Drawing 335"/>
          <xdr:cNvSpPr>
            <a:spLocks/>
          </xdr:cNvSpPr>
        </xdr:nvSpPr>
        <xdr:spPr>
          <a:xfrm>
            <a:off x="736" y="1791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2" name="Oval 52"/>
          <xdr:cNvSpPr>
            <a:spLocks/>
          </xdr:cNvSpPr>
        </xdr:nvSpPr>
        <xdr:spPr>
          <a:xfrm>
            <a:off x="833" y="178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3" name="Oval 53"/>
          <xdr:cNvSpPr>
            <a:spLocks/>
          </xdr:cNvSpPr>
        </xdr:nvSpPr>
        <xdr:spPr>
          <a:xfrm>
            <a:off x="772" y="178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4" name="Drawing 341"/>
          <xdr:cNvSpPr>
            <a:spLocks/>
          </xdr:cNvSpPr>
        </xdr:nvSpPr>
        <xdr:spPr>
          <a:xfrm>
            <a:off x="950" y="1716"/>
            <a:ext cx="0" cy="84"/>
          </a:xfrm>
          <a:custGeom>
            <a:pathLst>
              <a:path h="16384" w="16384">
                <a:moveTo>
                  <a:pt x="0" y="16384"/>
                </a:move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858" y="1761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780" y="1819"/>
            <a:ext cx="38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b</a:t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899" y="1743"/>
            <a:ext cx="3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</a:t>
            </a:r>
          </a:p>
        </xdr:txBody>
      </xdr:sp>
      <xdr:sp>
        <xdr:nvSpPr>
          <xdr:cNvPr id="58" name="TextBox 58"/>
          <xdr:cNvSpPr txBox="1">
            <a:spLocks noChangeArrowheads="1"/>
          </xdr:cNvSpPr>
        </xdr:nvSpPr>
        <xdr:spPr>
          <a:xfrm>
            <a:off x="931" y="1753"/>
            <a:ext cx="3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h</a:t>
            </a:r>
          </a:p>
        </xdr:txBody>
      </xdr:sp>
      <xdr:sp>
        <xdr:nvSpPr>
          <xdr:cNvPr id="59" name="TextBox 59"/>
          <xdr:cNvSpPr txBox="1">
            <a:spLocks noChangeArrowheads="1"/>
          </xdr:cNvSpPr>
        </xdr:nvSpPr>
        <xdr:spPr>
          <a:xfrm>
            <a:off x="867" y="1807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d"</a:t>
            </a:r>
          </a:p>
        </xdr:txBody>
      </xdr:sp>
      <xdr:sp>
        <xdr:nvSpPr>
          <xdr:cNvPr id="60" name="Oval 60"/>
          <xdr:cNvSpPr>
            <a:spLocks/>
          </xdr:cNvSpPr>
        </xdr:nvSpPr>
        <xdr:spPr>
          <a:xfrm>
            <a:off x="802" y="178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1" name="Drawing 333"/>
          <xdr:cNvSpPr>
            <a:spLocks/>
          </xdr:cNvSpPr>
        </xdr:nvSpPr>
        <xdr:spPr>
          <a:xfrm>
            <a:off x="849" y="1791"/>
            <a:ext cx="77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2" name="Drawing 335"/>
          <xdr:cNvSpPr>
            <a:spLocks/>
          </xdr:cNvSpPr>
        </xdr:nvSpPr>
        <xdr:spPr>
          <a:xfrm>
            <a:off x="735" y="1725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3" name="Oval 63"/>
          <xdr:cNvSpPr>
            <a:spLocks/>
          </xdr:cNvSpPr>
        </xdr:nvSpPr>
        <xdr:spPr>
          <a:xfrm>
            <a:off x="832" y="172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4" name="Oval 64"/>
          <xdr:cNvSpPr>
            <a:spLocks/>
          </xdr:cNvSpPr>
        </xdr:nvSpPr>
        <xdr:spPr>
          <a:xfrm>
            <a:off x="787" y="178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5" name="Oval 65"/>
          <xdr:cNvSpPr>
            <a:spLocks/>
          </xdr:cNvSpPr>
        </xdr:nvSpPr>
        <xdr:spPr>
          <a:xfrm>
            <a:off x="756" y="178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6" name="Oval 66"/>
          <xdr:cNvSpPr>
            <a:spLocks/>
          </xdr:cNvSpPr>
        </xdr:nvSpPr>
        <xdr:spPr>
          <a:xfrm>
            <a:off x="815" y="178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7" name="Oval 67"/>
          <xdr:cNvSpPr>
            <a:spLocks/>
          </xdr:cNvSpPr>
        </xdr:nvSpPr>
        <xdr:spPr>
          <a:xfrm>
            <a:off x="771" y="1723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8" name="Oval 68"/>
          <xdr:cNvSpPr>
            <a:spLocks/>
          </xdr:cNvSpPr>
        </xdr:nvSpPr>
        <xdr:spPr>
          <a:xfrm>
            <a:off x="801" y="172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9" name="TextBox 69"/>
          <xdr:cNvSpPr txBox="1">
            <a:spLocks noChangeArrowheads="1"/>
          </xdr:cNvSpPr>
        </xdr:nvSpPr>
        <xdr:spPr>
          <a:xfrm>
            <a:off x="866" y="1684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d'
</a:t>
            </a:r>
          </a:p>
        </xdr:txBody>
      </xdr:sp>
      <xdr:sp>
        <xdr:nvSpPr>
          <xdr:cNvPr id="70" name="Oval 70"/>
          <xdr:cNvSpPr>
            <a:spLocks/>
          </xdr:cNvSpPr>
        </xdr:nvSpPr>
        <xdr:spPr>
          <a:xfrm>
            <a:off x="738" y="172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1" name="Oval 71"/>
          <xdr:cNvSpPr>
            <a:spLocks/>
          </xdr:cNvSpPr>
        </xdr:nvSpPr>
        <xdr:spPr>
          <a:xfrm>
            <a:off x="741" y="178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734" y="1839"/>
            <a:ext cx="10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3" name="Drawing 335"/>
          <xdr:cNvSpPr>
            <a:spLocks/>
          </xdr:cNvSpPr>
        </xdr:nvSpPr>
        <xdr:spPr>
          <a:xfrm>
            <a:off x="736" y="1748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H="1">
            <a:off x="698" y="1717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 flipH="1">
            <a:off x="698" y="1748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6" name="Drawing 335"/>
          <xdr:cNvSpPr>
            <a:spLocks/>
          </xdr:cNvSpPr>
        </xdr:nvSpPr>
        <xdr:spPr>
          <a:xfrm>
            <a:off x="736" y="1748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 flipV="1">
            <a:off x="701" y="1717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8" name="TextBox 78"/>
          <xdr:cNvSpPr txBox="1">
            <a:spLocks noChangeArrowheads="1"/>
          </xdr:cNvSpPr>
        </xdr:nvSpPr>
        <xdr:spPr>
          <a:xfrm>
            <a:off x="679" y="1727"/>
            <a:ext cx="21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l">
              <a:defRPr/>
            </a:pPr>
            <a:r>
              <a:rPr lang="en-US" cap="none" sz="1000" b="0" i="0" u="none" baseline="0"/>
              <a:t>x
x
</a:t>
            </a:r>
          </a:p>
        </xdr:txBody>
      </xdr:sp>
      <xdr:sp>
        <xdr:nvSpPr>
          <xdr:cNvPr id="79" name="TextBox 79"/>
          <xdr:cNvSpPr txBox="1">
            <a:spLocks noChangeArrowheads="1"/>
          </xdr:cNvSpPr>
        </xdr:nvSpPr>
        <xdr:spPr>
          <a:xfrm>
            <a:off x="854" y="1733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As'
</a:t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796" y="1726"/>
            <a:ext cx="56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 flipV="1">
            <a:off x="919" y="1716"/>
            <a:ext cx="0" cy="7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849" y="1725"/>
            <a:ext cx="4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734" y="1805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843" y="1804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 flipV="1">
            <a:off x="815" y="1770"/>
            <a:ext cx="44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 flipV="1">
            <a:off x="888" y="1684"/>
            <a:ext cx="0" cy="4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887" y="1791"/>
            <a:ext cx="0" cy="3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919" y="180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69</xdr:row>
      <xdr:rowOff>171450</xdr:rowOff>
    </xdr:from>
    <xdr:to>
      <xdr:col>38</xdr:col>
      <xdr:colOff>95250</xdr:colOff>
      <xdr:row>75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3057525" y="18278475"/>
          <a:ext cx="2828925" cy="1590675"/>
          <a:chOff x="321" y="2452"/>
          <a:chExt cx="297" cy="168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21" y="2452"/>
            <a:ext cx="297" cy="1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381" y="2483"/>
            <a:ext cx="109" cy="84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" name="Drawing 332"/>
          <xdr:cNvSpPr>
            <a:spLocks/>
          </xdr:cNvSpPr>
        </xdr:nvSpPr>
        <xdr:spPr>
          <a:xfrm>
            <a:off x="499" y="2482"/>
            <a:ext cx="100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Drawing 334"/>
          <xdr:cNvSpPr>
            <a:spLocks/>
          </xdr:cNvSpPr>
        </xdr:nvSpPr>
        <xdr:spPr>
          <a:xfrm>
            <a:off x="496" y="2566"/>
            <a:ext cx="104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Drawing 335"/>
          <xdr:cNvSpPr>
            <a:spLocks/>
          </xdr:cNvSpPr>
        </xdr:nvSpPr>
        <xdr:spPr>
          <a:xfrm>
            <a:off x="383" y="2552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480" y="2550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419" y="2550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Drawing 341"/>
          <xdr:cNvSpPr>
            <a:spLocks/>
          </xdr:cNvSpPr>
        </xdr:nvSpPr>
        <xdr:spPr>
          <a:xfrm>
            <a:off x="597" y="2482"/>
            <a:ext cx="0" cy="84"/>
          </a:xfrm>
          <a:custGeom>
            <a:pathLst>
              <a:path h="16384" w="16384">
                <a:moveTo>
                  <a:pt x="0" y="16384"/>
                </a:move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505" y="2517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27" y="2585"/>
            <a:ext cx="38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b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546" y="2509"/>
            <a:ext cx="3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578" y="2519"/>
            <a:ext cx="3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h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514" y="2568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d"</a:t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449" y="2550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" name="Drawing 333"/>
          <xdr:cNvSpPr>
            <a:spLocks/>
          </xdr:cNvSpPr>
        </xdr:nvSpPr>
        <xdr:spPr>
          <a:xfrm>
            <a:off x="496" y="2552"/>
            <a:ext cx="77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Drawing 335"/>
          <xdr:cNvSpPr>
            <a:spLocks/>
          </xdr:cNvSpPr>
        </xdr:nvSpPr>
        <xdr:spPr>
          <a:xfrm>
            <a:off x="382" y="2497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" name="Oval 18"/>
          <xdr:cNvSpPr>
            <a:spLocks/>
          </xdr:cNvSpPr>
        </xdr:nvSpPr>
        <xdr:spPr>
          <a:xfrm>
            <a:off x="479" y="2495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434" y="2550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403" y="2550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462" y="2550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418" y="2495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>
            <a:off x="448" y="2495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4" name="TextBox 24"/>
          <xdr:cNvSpPr txBox="1">
            <a:spLocks noChangeArrowheads="1"/>
          </xdr:cNvSpPr>
        </xdr:nvSpPr>
        <xdr:spPr>
          <a:xfrm>
            <a:off x="513" y="2456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d'
</a:t>
            </a:r>
          </a:p>
        </xdr:txBody>
      </xdr:sp>
      <xdr:sp>
        <xdr:nvSpPr>
          <xdr:cNvPr id="25" name="Oval 25"/>
          <xdr:cNvSpPr>
            <a:spLocks/>
          </xdr:cNvSpPr>
        </xdr:nvSpPr>
        <xdr:spPr>
          <a:xfrm>
            <a:off x="385" y="2495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6" name="Oval 26"/>
          <xdr:cNvSpPr>
            <a:spLocks/>
          </xdr:cNvSpPr>
        </xdr:nvSpPr>
        <xdr:spPr>
          <a:xfrm>
            <a:off x="388" y="2550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381" y="2605"/>
            <a:ext cx="10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8" name="Drawing 335"/>
          <xdr:cNvSpPr>
            <a:spLocks/>
          </xdr:cNvSpPr>
        </xdr:nvSpPr>
        <xdr:spPr>
          <a:xfrm>
            <a:off x="383" y="2514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H="1">
            <a:off x="345" y="2483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H="1">
            <a:off x="345" y="2514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1" name="Drawing 335"/>
          <xdr:cNvSpPr>
            <a:spLocks/>
          </xdr:cNvSpPr>
        </xdr:nvSpPr>
        <xdr:spPr>
          <a:xfrm>
            <a:off x="383" y="2514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V="1">
            <a:off x="348" y="2483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3" name="TextBox 33"/>
          <xdr:cNvSpPr txBox="1">
            <a:spLocks noChangeArrowheads="1"/>
          </xdr:cNvSpPr>
        </xdr:nvSpPr>
        <xdr:spPr>
          <a:xfrm>
            <a:off x="326" y="2493"/>
            <a:ext cx="21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l">
              <a:defRPr/>
            </a:pPr>
            <a:r>
              <a:rPr lang="en-US" cap="none" sz="1000" b="0" i="0" u="none" baseline="0"/>
              <a:t>x
x
</a:t>
            </a:r>
          </a:p>
        </xdr:txBody>
      </xdr:sp>
      <xdr:sp>
        <xdr:nvSpPr>
          <xdr:cNvPr id="34" name="TextBox 34"/>
          <xdr:cNvSpPr txBox="1">
            <a:spLocks noChangeArrowheads="1"/>
          </xdr:cNvSpPr>
        </xdr:nvSpPr>
        <xdr:spPr>
          <a:xfrm>
            <a:off x="500" y="2504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As'
</a:t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443" y="2498"/>
            <a:ext cx="56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V="1">
            <a:off x="566" y="2482"/>
            <a:ext cx="0" cy="7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496" y="2497"/>
            <a:ext cx="4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381" y="2571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90" y="2570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462" y="2531"/>
            <a:ext cx="44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381" y="2556"/>
            <a:ext cx="109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381" y="2492"/>
            <a:ext cx="109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535" y="2456"/>
            <a:ext cx="0" cy="4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534" y="2552"/>
            <a:ext cx="0" cy="3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566" y="2566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20</xdr:col>
      <xdr:colOff>123825</xdr:colOff>
      <xdr:row>36</xdr:row>
      <xdr:rowOff>76200</xdr:rowOff>
    </xdr:from>
    <xdr:to>
      <xdr:col>39</xdr:col>
      <xdr:colOff>57150</xdr:colOff>
      <xdr:row>42</xdr:row>
      <xdr:rowOff>95250</xdr:rowOff>
    </xdr:to>
    <xdr:grpSp>
      <xdr:nvGrpSpPr>
        <xdr:cNvPr id="46" name="Group 46"/>
        <xdr:cNvGrpSpPr>
          <a:grpSpLocks/>
        </xdr:cNvGrpSpPr>
      </xdr:nvGrpSpPr>
      <xdr:grpSpPr>
        <a:xfrm>
          <a:off x="3171825" y="10363200"/>
          <a:ext cx="2828925" cy="1619250"/>
          <a:chOff x="674" y="1684"/>
          <a:chExt cx="297" cy="170"/>
        </a:xfrm>
        <a:solidFill>
          <a:srgbClr val="FFFFFF"/>
        </a:solidFill>
      </xdr:grpSpPr>
      <xdr:sp>
        <xdr:nvSpPr>
          <xdr:cNvPr id="47" name="TextBox 47"/>
          <xdr:cNvSpPr txBox="1">
            <a:spLocks noChangeArrowheads="1"/>
          </xdr:cNvSpPr>
        </xdr:nvSpPr>
        <xdr:spPr>
          <a:xfrm>
            <a:off x="674" y="1686"/>
            <a:ext cx="297" cy="1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8" name="Rectangle 48"/>
          <xdr:cNvSpPr>
            <a:spLocks/>
          </xdr:cNvSpPr>
        </xdr:nvSpPr>
        <xdr:spPr>
          <a:xfrm>
            <a:off x="734" y="1717"/>
            <a:ext cx="109" cy="84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9" name="Drawing 332"/>
          <xdr:cNvSpPr>
            <a:spLocks/>
          </xdr:cNvSpPr>
        </xdr:nvSpPr>
        <xdr:spPr>
          <a:xfrm>
            <a:off x="852" y="1716"/>
            <a:ext cx="100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0" name="Drawing 334"/>
          <xdr:cNvSpPr>
            <a:spLocks/>
          </xdr:cNvSpPr>
        </xdr:nvSpPr>
        <xdr:spPr>
          <a:xfrm>
            <a:off x="849" y="1800"/>
            <a:ext cx="104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1" name="Drawing 335"/>
          <xdr:cNvSpPr>
            <a:spLocks/>
          </xdr:cNvSpPr>
        </xdr:nvSpPr>
        <xdr:spPr>
          <a:xfrm>
            <a:off x="736" y="1791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2" name="Oval 52"/>
          <xdr:cNvSpPr>
            <a:spLocks/>
          </xdr:cNvSpPr>
        </xdr:nvSpPr>
        <xdr:spPr>
          <a:xfrm>
            <a:off x="833" y="178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3" name="Oval 53"/>
          <xdr:cNvSpPr>
            <a:spLocks/>
          </xdr:cNvSpPr>
        </xdr:nvSpPr>
        <xdr:spPr>
          <a:xfrm>
            <a:off x="772" y="178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4" name="Drawing 341"/>
          <xdr:cNvSpPr>
            <a:spLocks/>
          </xdr:cNvSpPr>
        </xdr:nvSpPr>
        <xdr:spPr>
          <a:xfrm>
            <a:off x="950" y="1716"/>
            <a:ext cx="0" cy="84"/>
          </a:xfrm>
          <a:custGeom>
            <a:pathLst>
              <a:path h="16384" w="16384">
                <a:moveTo>
                  <a:pt x="0" y="16384"/>
                </a:move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858" y="1761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780" y="1819"/>
            <a:ext cx="38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b</a:t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899" y="1743"/>
            <a:ext cx="3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</a:t>
            </a:r>
          </a:p>
        </xdr:txBody>
      </xdr:sp>
      <xdr:sp>
        <xdr:nvSpPr>
          <xdr:cNvPr id="58" name="TextBox 58"/>
          <xdr:cNvSpPr txBox="1">
            <a:spLocks noChangeArrowheads="1"/>
          </xdr:cNvSpPr>
        </xdr:nvSpPr>
        <xdr:spPr>
          <a:xfrm>
            <a:off x="931" y="1753"/>
            <a:ext cx="3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h</a:t>
            </a:r>
          </a:p>
        </xdr:txBody>
      </xdr:sp>
      <xdr:sp>
        <xdr:nvSpPr>
          <xdr:cNvPr id="59" name="TextBox 59"/>
          <xdr:cNvSpPr txBox="1">
            <a:spLocks noChangeArrowheads="1"/>
          </xdr:cNvSpPr>
        </xdr:nvSpPr>
        <xdr:spPr>
          <a:xfrm>
            <a:off x="867" y="1807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d"</a:t>
            </a:r>
          </a:p>
        </xdr:txBody>
      </xdr:sp>
      <xdr:sp>
        <xdr:nvSpPr>
          <xdr:cNvPr id="60" name="Oval 60"/>
          <xdr:cNvSpPr>
            <a:spLocks/>
          </xdr:cNvSpPr>
        </xdr:nvSpPr>
        <xdr:spPr>
          <a:xfrm>
            <a:off x="802" y="178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1" name="Drawing 333"/>
          <xdr:cNvSpPr>
            <a:spLocks/>
          </xdr:cNvSpPr>
        </xdr:nvSpPr>
        <xdr:spPr>
          <a:xfrm>
            <a:off x="849" y="1791"/>
            <a:ext cx="77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2" name="Drawing 335"/>
          <xdr:cNvSpPr>
            <a:spLocks/>
          </xdr:cNvSpPr>
        </xdr:nvSpPr>
        <xdr:spPr>
          <a:xfrm>
            <a:off x="735" y="1725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3" name="Oval 63"/>
          <xdr:cNvSpPr>
            <a:spLocks/>
          </xdr:cNvSpPr>
        </xdr:nvSpPr>
        <xdr:spPr>
          <a:xfrm>
            <a:off x="832" y="172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4" name="Oval 64"/>
          <xdr:cNvSpPr>
            <a:spLocks/>
          </xdr:cNvSpPr>
        </xdr:nvSpPr>
        <xdr:spPr>
          <a:xfrm>
            <a:off x="787" y="178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5" name="Oval 65"/>
          <xdr:cNvSpPr>
            <a:spLocks/>
          </xdr:cNvSpPr>
        </xdr:nvSpPr>
        <xdr:spPr>
          <a:xfrm>
            <a:off x="756" y="178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6" name="Oval 66"/>
          <xdr:cNvSpPr>
            <a:spLocks/>
          </xdr:cNvSpPr>
        </xdr:nvSpPr>
        <xdr:spPr>
          <a:xfrm>
            <a:off x="815" y="178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7" name="Oval 67"/>
          <xdr:cNvSpPr>
            <a:spLocks/>
          </xdr:cNvSpPr>
        </xdr:nvSpPr>
        <xdr:spPr>
          <a:xfrm>
            <a:off x="771" y="1723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8" name="Oval 68"/>
          <xdr:cNvSpPr>
            <a:spLocks/>
          </xdr:cNvSpPr>
        </xdr:nvSpPr>
        <xdr:spPr>
          <a:xfrm>
            <a:off x="801" y="172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9" name="TextBox 69"/>
          <xdr:cNvSpPr txBox="1">
            <a:spLocks noChangeArrowheads="1"/>
          </xdr:cNvSpPr>
        </xdr:nvSpPr>
        <xdr:spPr>
          <a:xfrm>
            <a:off x="866" y="1684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d'
</a:t>
            </a:r>
          </a:p>
        </xdr:txBody>
      </xdr:sp>
      <xdr:sp>
        <xdr:nvSpPr>
          <xdr:cNvPr id="70" name="Oval 70"/>
          <xdr:cNvSpPr>
            <a:spLocks/>
          </xdr:cNvSpPr>
        </xdr:nvSpPr>
        <xdr:spPr>
          <a:xfrm>
            <a:off x="738" y="172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1" name="Oval 71"/>
          <xdr:cNvSpPr>
            <a:spLocks/>
          </xdr:cNvSpPr>
        </xdr:nvSpPr>
        <xdr:spPr>
          <a:xfrm>
            <a:off x="741" y="178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734" y="1839"/>
            <a:ext cx="10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3" name="Drawing 335"/>
          <xdr:cNvSpPr>
            <a:spLocks/>
          </xdr:cNvSpPr>
        </xdr:nvSpPr>
        <xdr:spPr>
          <a:xfrm>
            <a:off x="736" y="1748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H="1">
            <a:off x="698" y="1717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 flipH="1">
            <a:off x="698" y="1748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6" name="Drawing 335"/>
          <xdr:cNvSpPr>
            <a:spLocks/>
          </xdr:cNvSpPr>
        </xdr:nvSpPr>
        <xdr:spPr>
          <a:xfrm>
            <a:off x="736" y="1748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 flipV="1">
            <a:off x="701" y="1717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8" name="TextBox 78"/>
          <xdr:cNvSpPr txBox="1">
            <a:spLocks noChangeArrowheads="1"/>
          </xdr:cNvSpPr>
        </xdr:nvSpPr>
        <xdr:spPr>
          <a:xfrm>
            <a:off x="679" y="1727"/>
            <a:ext cx="21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l">
              <a:defRPr/>
            </a:pPr>
            <a:r>
              <a:rPr lang="en-US" cap="none" sz="1000" b="0" i="0" u="none" baseline="0"/>
              <a:t>x
x
</a:t>
            </a:r>
          </a:p>
        </xdr:txBody>
      </xdr:sp>
      <xdr:sp>
        <xdr:nvSpPr>
          <xdr:cNvPr id="79" name="TextBox 79"/>
          <xdr:cNvSpPr txBox="1">
            <a:spLocks noChangeArrowheads="1"/>
          </xdr:cNvSpPr>
        </xdr:nvSpPr>
        <xdr:spPr>
          <a:xfrm>
            <a:off x="854" y="1733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As'
</a:t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796" y="1726"/>
            <a:ext cx="56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 flipV="1">
            <a:off x="919" y="1716"/>
            <a:ext cx="0" cy="7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849" y="1725"/>
            <a:ext cx="4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734" y="1805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843" y="1804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 flipV="1">
            <a:off x="815" y="1770"/>
            <a:ext cx="44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 flipV="1">
            <a:off x="888" y="1684"/>
            <a:ext cx="0" cy="4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887" y="1791"/>
            <a:ext cx="0" cy="3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919" y="180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67</xdr:row>
      <xdr:rowOff>171450</xdr:rowOff>
    </xdr:from>
    <xdr:to>
      <xdr:col>38</xdr:col>
      <xdr:colOff>95250</xdr:colOff>
      <xdr:row>73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3057525" y="17802225"/>
          <a:ext cx="2828925" cy="1590675"/>
          <a:chOff x="321" y="2452"/>
          <a:chExt cx="297" cy="168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21" y="2452"/>
            <a:ext cx="297" cy="1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381" y="2483"/>
            <a:ext cx="109" cy="84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" name="Drawing 332"/>
          <xdr:cNvSpPr>
            <a:spLocks/>
          </xdr:cNvSpPr>
        </xdr:nvSpPr>
        <xdr:spPr>
          <a:xfrm>
            <a:off x="499" y="2482"/>
            <a:ext cx="100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Drawing 334"/>
          <xdr:cNvSpPr>
            <a:spLocks/>
          </xdr:cNvSpPr>
        </xdr:nvSpPr>
        <xdr:spPr>
          <a:xfrm>
            <a:off x="496" y="2566"/>
            <a:ext cx="104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Drawing 335"/>
          <xdr:cNvSpPr>
            <a:spLocks/>
          </xdr:cNvSpPr>
        </xdr:nvSpPr>
        <xdr:spPr>
          <a:xfrm>
            <a:off x="383" y="2552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480" y="2550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419" y="2550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Drawing 341"/>
          <xdr:cNvSpPr>
            <a:spLocks/>
          </xdr:cNvSpPr>
        </xdr:nvSpPr>
        <xdr:spPr>
          <a:xfrm>
            <a:off x="597" y="2482"/>
            <a:ext cx="0" cy="84"/>
          </a:xfrm>
          <a:custGeom>
            <a:pathLst>
              <a:path h="16384" w="16384">
                <a:moveTo>
                  <a:pt x="0" y="16384"/>
                </a:move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505" y="2517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27" y="2585"/>
            <a:ext cx="38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b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546" y="2509"/>
            <a:ext cx="3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578" y="2519"/>
            <a:ext cx="3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h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514" y="2568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d"</a:t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449" y="2550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" name="Drawing 333"/>
          <xdr:cNvSpPr>
            <a:spLocks/>
          </xdr:cNvSpPr>
        </xdr:nvSpPr>
        <xdr:spPr>
          <a:xfrm>
            <a:off x="496" y="2552"/>
            <a:ext cx="77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Drawing 335"/>
          <xdr:cNvSpPr>
            <a:spLocks/>
          </xdr:cNvSpPr>
        </xdr:nvSpPr>
        <xdr:spPr>
          <a:xfrm>
            <a:off x="382" y="2497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" name="Oval 18"/>
          <xdr:cNvSpPr>
            <a:spLocks/>
          </xdr:cNvSpPr>
        </xdr:nvSpPr>
        <xdr:spPr>
          <a:xfrm>
            <a:off x="479" y="2495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434" y="2550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403" y="2550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462" y="2550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418" y="2495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>
            <a:off x="448" y="2495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4" name="TextBox 24"/>
          <xdr:cNvSpPr txBox="1">
            <a:spLocks noChangeArrowheads="1"/>
          </xdr:cNvSpPr>
        </xdr:nvSpPr>
        <xdr:spPr>
          <a:xfrm>
            <a:off x="513" y="2456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d'
</a:t>
            </a:r>
          </a:p>
        </xdr:txBody>
      </xdr:sp>
      <xdr:sp>
        <xdr:nvSpPr>
          <xdr:cNvPr id="25" name="Oval 25"/>
          <xdr:cNvSpPr>
            <a:spLocks/>
          </xdr:cNvSpPr>
        </xdr:nvSpPr>
        <xdr:spPr>
          <a:xfrm>
            <a:off x="385" y="2495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6" name="Oval 26"/>
          <xdr:cNvSpPr>
            <a:spLocks/>
          </xdr:cNvSpPr>
        </xdr:nvSpPr>
        <xdr:spPr>
          <a:xfrm>
            <a:off x="388" y="2550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381" y="2605"/>
            <a:ext cx="10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8" name="Drawing 335"/>
          <xdr:cNvSpPr>
            <a:spLocks/>
          </xdr:cNvSpPr>
        </xdr:nvSpPr>
        <xdr:spPr>
          <a:xfrm>
            <a:off x="383" y="2514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H="1">
            <a:off x="345" y="2483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H="1">
            <a:off x="345" y="2514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1" name="Drawing 335"/>
          <xdr:cNvSpPr>
            <a:spLocks/>
          </xdr:cNvSpPr>
        </xdr:nvSpPr>
        <xdr:spPr>
          <a:xfrm>
            <a:off x="383" y="2514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V="1">
            <a:off x="348" y="2483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3" name="TextBox 33"/>
          <xdr:cNvSpPr txBox="1">
            <a:spLocks noChangeArrowheads="1"/>
          </xdr:cNvSpPr>
        </xdr:nvSpPr>
        <xdr:spPr>
          <a:xfrm>
            <a:off x="326" y="2493"/>
            <a:ext cx="21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l">
              <a:defRPr/>
            </a:pPr>
            <a:r>
              <a:rPr lang="en-US" cap="none" sz="1000" b="0" i="0" u="none" baseline="0"/>
              <a:t>x
x
</a:t>
            </a:r>
          </a:p>
        </xdr:txBody>
      </xdr:sp>
      <xdr:sp>
        <xdr:nvSpPr>
          <xdr:cNvPr id="34" name="TextBox 34"/>
          <xdr:cNvSpPr txBox="1">
            <a:spLocks noChangeArrowheads="1"/>
          </xdr:cNvSpPr>
        </xdr:nvSpPr>
        <xdr:spPr>
          <a:xfrm>
            <a:off x="500" y="2504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As'
</a:t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443" y="2498"/>
            <a:ext cx="56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V="1">
            <a:off x="566" y="2482"/>
            <a:ext cx="0" cy="7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496" y="2497"/>
            <a:ext cx="4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381" y="2571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90" y="2570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462" y="2531"/>
            <a:ext cx="44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381" y="2556"/>
            <a:ext cx="109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381" y="2492"/>
            <a:ext cx="109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535" y="2456"/>
            <a:ext cx="0" cy="4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534" y="2552"/>
            <a:ext cx="0" cy="3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566" y="2566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20</xdr:col>
      <xdr:colOff>123825</xdr:colOff>
      <xdr:row>36</xdr:row>
      <xdr:rowOff>76200</xdr:rowOff>
    </xdr:from>
    <xdr:to>
      <xdr:col>39</xdr:col>
      <xdr:colOff>57150</xdr:colOff>
      <xdr:row>42</xdr:row>
      <xdr:rowOff>95250</xdr:rowOff>
    </xdr:to>
    <xdr:grpSp>
      <xdr:nvGrpSpPr>
        <xdr:cNvPr id="46" name="Group 46"/>
        <xdr:cNvGrpSpPr>
          <a:grpSpLocks/>
        </xdr:cNvGrpSpPr>
      </xdr:nvGrpSpPr>
      <xdr:grpSpPr>
        <a:xfrm>
          <a:off x="3171825" y="10363200"/>
          <a:ext cx="2828925" cy="1619250"/>
          <a:chOff x="674" y="1684"/>
          <a:chExt cx="297" cy="170"/>
        </a:xfrm>
        <a:solidFill>
          <a:srgbClr val="FFFFFF"/>
        </a:solidFill>
      </xdr:grpSpPr>
      <xdr:sp>
        <xdr:nvSpPr>
          <xdr:cNvPr id="47" name="TextBox 47"/>
          <xdr:cNvSpPr txBox="1">
            <a:spLocks noChangeArrowheads="1"/>
          </xdr:cNvSpPr>
        </xdr:nvSpPr>
        <xdr:spPr>
          <a:xfrm>
            <a:off x="674" y="1686"/>
            <a:ext cx="297" cy="1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8" name="Rectangle 48"/>
          <xdr:cNvSpPr>
            <a:spLocks/>
          </xdr:cNvSpPr>
        </xdr:nvSpPr>
        <xdr:spPr>
          <a:xfrm>
            <a:off x="734" y="1717"/>
            <a:ext cx="109" cy="84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9" name="Drawing 332"/>
          <xdr:cNvSpPr>
            <a:spLocks/>
          </xdr:cNvSpPr>
        </xdr:nvSpPr>
        <xdr:spPr>
          <a:xfrm>
            <a:off x="852" y="1716"/>
            <a:ext cx="100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0" name="Drawing 334"/>
          <xdr:cNvSpPr>
            <a:spLocks/>
          </xdr:cNvSpPr>
        </xdr:nvSpPr>
        <xdr:spPr>
          <a:xfrm>
            <a:off x="849" y="1800"/>
            <a:ext cx="104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1" name="Drawing 335"/>
          <xdr:cNvSpPr>
            <a:spLocks/>
          </xdr:cNvSpPr>
        </xdr:nvSpPr>
        <xdr:spPr>
          <a:xfrm>
            <a:off x="736" y="1791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2" name="Oval 52"/>
          <xdr:cNvSpPr>
            <a:spLocks/>
          </xdr:cNvSpPr>
        </xdr:nvSpPr>
        <xdr:spPr>
          <a:xfrm>
            <a:off x="833" y="178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3" name="Oval 53"/>
          <xdr:cNvSpPr>
            <a:spLocks/>
          </xdr:cNvSpPr>
        </xdr:nvSpPr>
        <xdr:spPr>
          <a:xfrm>
            <a:off x="772" y="178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4" name="Drawing 341"/>
          <xdr:cNvSpPr>
            <a:spLocks/>
          </xdr:cNvSpPr>
        </xdr:nvSpPr>
        <xdr:spPr>
          <a:xfrm>
            <a:off x="950" y="1716"/>
            <a:ext cx="0" cy="84"/>
          </a:xfrm>
          <a:custGeom>
            <a:pathLst>
              <a:path h="16384" w="16384">
                <a:moveTo>
                  <a:pt x="0" y="16384"/>
                </a:move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858" y="1761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780" y="1819"/>
            <a:ext cx="38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b</a:t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899" y="1743"/>
            <a:ext cx="3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</a:t>
            </a:r>
          </a:p>
        </xdr:txBody>
      </xdr:sp>
      <xdr:sp>
        <xdr:nvSpPr>
          <xdr:cNvPr id="58" name="TextBox 58"/>
          <xdr:cNvSpPr txBox="1">
            <a:spLocks noChangeArrowheads="1"/>
          </xdr:cNvSpPr>
        </xdr:nvSpPr>
        <xdr:spPr>
          <a:xfrm>
            <a:off x="931" y="1753"/>
            <a:ext cx="3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h</a:t>
            </a:r>
          </a:p>
        </xdr:txBody>
      </xdr:sp>
      <xdr:sp>
        <xdr:nvSpPr>
          <xdr:cNvPr id="59" name="TextBox 59"/>
          <xdr:cNvSpPr txBox="1">
            <a:spLocks noChangeArrowheads="1"/>
          </xdr:cNvSpPr>
        </xdr:nvSpPr>
        <xdr:spPr>
          <a:xfrm>
            <a:off x="867" y="1807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d"</a:t>
            </a:r>
          </a:p>
        </xdr:txBody>
      </xdr:sp>
      <xdr:sp>
        <xdr:nvSpPr>
          <xdr:cNvPr id="60" name="Oval 60"/>
          <xdr:cNvSpPr>
            <a:spLocks/>
          </xdr:cNvSpPr>
        </xdr:nvSpPr>
        <xdr:spPr>
          <a:xfrm>
            <a:off x="802" y="178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1" name="Drawing 333"/>
          <xdr:cNvSpPr>
            <a:spLocks/>
          </xdr:cNvSpPr>
        </xdr:nvSpPr>
        <xdr:spPr>
          <a:xfrm>
            <a:off x="849" y="1791"/>
            <a:ext cx="77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2" name="Drawing 335"/>
          <xdr:cNvSpPr>
            <a:spLocks/>
          </xdr:cNvSpPr>
        </xdr:nvSpPr>
        <xdr:spPr>
          <a:xfrm>
            <a:off x="735" y="1725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3" name="Oval 63"/>
          <xdr:cNvSpPr>
            <a:spLocks/>
          </xdr:cNvSpPr>
        </xdr:nvSpPr>
        <xdr:spPr>
          <a:xfrm>
            <a:off x="832" y="172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4" name="Oval 64"/>
          <xdr:cNvSpPr>
            <a:spLocks/>
          </xdr:cNvSpPr>
        </xdr:nvSpPr>
        <xdr:spPr>
          <a:xfrm>
            <a:off x="787" y="178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5" name="Oval 65"/>
          <xdr:cNvSpPr>
            <a:spLocks/>
          </xdr:cNvSpPr>
        </xdr:nvSpPr>
        <xdr:spPr>
          <a:xfrm>
            <a:off x="756" y="178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6" name="Oval 66"/>
          <xdr:cNvSpPr>
            <a:spLocks/>
          </xdr:cNvSpPr>
        </xdr:nvSpPr>
        <xdr:spPr>
          <a:xfrm>
            <a:off x="815" y="178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7" name="Oval 67"/>
          <xdr:cNvSpPr>
            <a:spLocks/>
          </xdr:cNvSpPr>
        </xdr:nvSpPr>
        <xdr:spPr>
          <a:xfrm>
            <a:off x="771" y="1723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8" name="Oval 68"/>
          <xdr:cNvSpPr>
            <a:spLocks/>
          </xdr:cNvSpPr>
        </xdr:nvSpPr>
        <xdr:spPr>
          <a:xfrm>
            <a:off x="801" y="172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9" name="TextBox 69"/>
          <xdr:cNvSpPr txBox="1">
            <a:spLocks noChangeArrowheads="1"/>
          </xdr:cNvSpPr>
        </xdr:nvSpPr>
        <xdr:spPr>
          <a:xfrm>
            <a:off x="866" y="1684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d'
</a:t>
            </a:r>
          </a:p>
        </xdr:txBody>
      </xdr:sp>
      <xdr:sp>
        <xdr:nvSpPr>
          <xdr:cNvPr id="70" name="Oval 70"/>
          <xdr:cNvSpPr>
            <a:spLocks/>
          </xdr:cNvSpPr>
        </xdr:nvSpPr>
        <xdr:spPr>
          <a:xfrm>
            <a:off x="738" y="172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1" name="Oval 71"/>
          <xdr:cNvSpPr>
            <a:spLocks/>
          </xdr:cNvSpPr>
        </xdr:nvSpPr>
        <xdr:spPr>
          <a:xfrm>
            <a:off x="741" y="178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734" y="1839"/>
            <a:ext cx="10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3" name="Drawing 335"/>
          <xdr:cNvSpPr>
            <a:spLocks/>
          </xdr:cNvSpPr>
        </xdr:nvSpPr>
        <xdr:spPr>
          <a:xfrm>
            <a:off x="736" y="1748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H="1">
            <a:off x="698" y="1717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 flipH="1">
            <a:off x="698" y="1748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6" name="Drawing 335"/>
          <xdr:cNvSpPr>
            <a:spLocks/>
          </xdr:cNvSpPr>
        </xdr:nvSpPr>
        <xdr:spPr>
          <a:xfrm>
            <a:off x="736" y="1748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 flipV="1">
            <a:off x="701" y="1717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8" name="TextBox 78"/>
          <xdr:cNvSpPr txBox="1">
            <a:spLocks noChangeArrowheads="1"/>
          </xdr:cNvSpPr>
        </xdr:nvSpPr>
        <xdr:spPr>
          <a:xfrm>
            <a:off x="679" y="1727"/>
            <a:ext cx="21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l">
              <a:defRPr/>
            </a:pPr>
            <a:r>
              <a:rPr lang="en-US" cap="none" sz="1000" b="0" i="0" u="none" baseline="0"/>
              <a:t>x
x
</a:t>
            </a:r>
          </a:p>
        </xdr:txBody>
      </xdr:sp>
      <xdr:sp>
        <xdr:nvSpPr>
          <xdr:cNvPr id="79" name="TextBox 79"/>
          <xdr:cNvSpPr txBox="1">
            <a:spLocks noChangeArrowheads="1"/>
          </xdr:cNvSpPr>
        </xdr:nvSpPr>
        <xdr:spPr>
          <a:xfrm>
            <a:off x="854" y="1733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As'
</a:t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796" y="1726"/>
            <a:ext cx="56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 flipV="1">
            <a:off x="919" y="1716"/>
            <a:ext cx="0" cy="7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849" y="1725"/>
            <a:ext cx="4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734" y="1805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843" y="1804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 flipV="1">
            <a:off x="815" y="1770"/>
            <a:ext cx="44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 flipV="1">
            <a:off x="888" y="1684"/>
            <a:ext cx="0" cy="4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887" y="1791"/>
            <a:ext cx="0" cy="3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919" y="180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67</xdr:row>
      <xdr:rowOff>171450</xdr:rowOff>
    </xdr:from>
    <xdr:to>
      <xdr:col>38</xdr:col>
      <xdr:colOff>95250</xdr:colOff>
      <xdr:row>73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3057525" y="17802225"/>
          <a:ext cx="2828925" cy="1590675"/>
          <a:chOff x="321" y="2452"/>
          <a:chExt cx="297" cy="168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21" y="2452"/>
            <a:ext cx="297" cy="1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381" y="2483"/>
            <a:ext cx="109" cy="84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" name="Drawing 332"/>
          <xdr:cNvSpPr>
            <a:spLocks/>
          </xdr:cNvSpPr>
        </xdr:nvSpPr>
        <xdr:spPr>
          <a:xfrm>
            <a:off x="499" y="2482"/>
            <a:ext cx="100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Drawing 334"/>
          <xdr:cNvSpPr>
            <a:spLocks/>
          </xdr:cNvSpPr>
        </xdr:nvSpPr>
        <xdr:spPr>
          <a:xfrm>
            <a:off x="496" y="2566"/>
            <a:ext cx="104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Drawing 335"/>
          <xdr:cNvSpPr>
            <a:spLocks/>
          </xdr:cNvSpPr>
        </xdr:nvSpPr>
        <xdr:spPr>
          <a:xfrm>
            <a:off x="383" y="2552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480" y="2550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419" y="2550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Drawing 341"/>
          <xdr:cNvSpPr>
            <a:spLocks/>
          </xdr:cNvSpPr>
        </xdr:nvSpPr>
        <xdr:spPr>
          <a:xfrm>
            <a:off x="597" y="2482"/>
            <a:ext cx="0" cy="84"/>
          </a:xfrm>
          <a:custGeom>
            <a:pathLst>
              <a:path h="16384" w="16384">
                <a:moveTo>
                  <a:pt x="0" y="16384"/>
                </a:move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505" y="2517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27" y="2585"/>
            <a:ext cx="38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b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546" y="2509"/>
            <a:ext cx="3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578" y="2519"/>
            <a:ext cx="3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h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514" y="2568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d"</a:t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449" y="2550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" name="Drawing 333"/>
          <xdr:cNvSpPr>
            <a:spLocks/>
          </xdr:cNvSpPr>
        </xdr:nvSpPr>
        <xdr:spPr>
          <a:xfrm>
            <a:off x="496" y="2552"/>
            <a:ext cx="77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Drawing 335"/>
          <xdr:cNvSpPr>
            <a:spLocks/>
          </xdr:cNvSpPr>
        </xdr:nvSpPr>
        <xdr:spPr>
          <a:xfrm>
            <a:off x="382" y="2497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" name="Oval 18"/>
          <xdr:cNvSpPr>
            <a:spLocks/>
          </xdr:cNvSpPr>
        </xdr:nvSpPr>
        <xdr:spPr>
          <a:xfrm>
            <a:off x="479" y="2495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434" y="2550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403" y="2550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462" y="2550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418" y="2495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>
            <a:off x="448" y="2495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4" name="TextBox 24"/>
          <xdr:cNvSpPr txBox="1">
            <a:spLocks noChangeArrowheads="1"/>
          </xdr:cNvSpPr>
        </xdr:nvSpPr>
        <xdr:spPr>
          <a:xfrm>
            <a:off x="513" y="2456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d'
</a:t>
            </a:r>
          </a:p>
        </xdr:txBody>
      </xdr:sp>
      <xdr:sp>
        <xdr:nvSpPr>
          <xdr:cNvPr id="25" name="Oval 25"/>
          <xdr:cNvSpPr>
            <a:spLocks/>
          </xdr:cNvSpPr>
        </xdr:nvSpPr>
        <xdr:spPr>
          <a:xfrm>
            <a:off x="385" y="2495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6" name="Oval 26"/>
          <xdr:cNvSpPr>
            <a:spLocks/>
          </xdr:cNvSpPr>
        </xdr:nvSpPr>
        <xdr:spPr>
          <a:xfrm>
            <a:off x="388" y="2550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381" y="2605"/>
            <a:ext cx="10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8" name="Drawing 335"/>
          <xdr:cNvSpPr>
            <a:spLocks/>
          </xdr:cNvSpPr>
        </xdr:nvSpPr>
        <xdr:spPr>
          <a:xfrm>
            <a:off x="383" y="2514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H="1">
            <a:off x="345" y="2483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H="1">
            <a:off x="345" y="2514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1" name="Drawing 335"/>
          <xdr:cNvSpPr>
            <a:spLocks/>
          </xdr:cNvSpPr>
        </xdr:nvSpPr>
        <xdr:spPr>
          <a:xfrm>
            <a:off x="383" y="2514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V="1">
            <a:off x="348" y="2483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3" name="TextBox 33"/>
          <xdr:cNvSpPr txBox="1">
            <a:spLocks noChangeArrowheads="1"/>
          </xdr:cNvSpPr>
        </xdr:nvSpPr>
        <xdr:spPr>
          <a:xfrm>
            <a:off x="326" y="2493"/>
            <a:ext cx="21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l">
              <a:defRPr/>
            </a:pPr>
            <a:r>
              <a:rPr lang="en-US" cap="none" sz="1000" b="0" i="0" u="none" baseline="0"/>
              <a:t>x
x
</a:t>
            </a:r>
          </a:p>
        </xdr:txBody>
      </xdr:sp>
      <xdr:sp>
        <xdr:nvSpPr>
          <xdr:cNvPr id="34" name="TextBox 34"/>
          <xdr:cNvSpPr txBox="1">
            <a:spLocks noChangeArrowheads="1"/>
          </xdr:cNvSpPr>
        </xdr:nvSpPr>
        <xdr:spPr>
          <a:xfrm>
            <a:off x="500" y="2504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As'
</a:t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443" y="2498"/>
            <a:ext cx="56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V="1">
            <a:off x="566" y="2482"/>
            <a:ext cx="0" cy="7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496" y="2497"/>
            <a:ext cx="4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381" y="2571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90" y="2570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462" y="2531"/>
            <a:ext cx="44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381" y="2556"/>
            <a:ext cx="109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381" y="2492"/>
            <a:ext cx="109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535" y="2456"/>
            <a:ext cx="0" cy="4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534" y="2552"/>
            <a:ext cx="0" cy="3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566" y="2566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20</xdr:col>
      <xdr:colOff>123825</xdr:colOff>
      <xdr:row>36</xdr:row>
      <xdr:rowOff>76200</xdr:rowOff>
    </xdr:from>
    <xdr:to>
      <xdr:col>39</xdr:col>
      <xdr:colOff>57150</xdr:colOff>
      <xdr:row>42</xdr:row>
      <xdr:rowOff>95250</xdr:rowOff>
    </xdr:to>
    <xdr:grpSp>
      <xdr:nvGrpSpPr>
        <xdr:cNvPr id="46" name="Group 46"/>
        <xdr:cNvGrpSpPr>
          <a:grpSpLocks/>
        </xdr:cNvGrpSpPr>
      </xdr:nvGrpSpPr>
      <xdr:grpSpPr>
        <a:xfrm>
          <a:off x="3171825" y="10363200"/>
          <a:ext cx="2828925" cy="1619250"/>
          <a:chOff x="674" y="1684"/>
          <a:chExt cx="297" cy="170"/>
        </a:xfrm>
        <a:solidFill>
          <a:srgbClr val="FFFFFF"/>
        </a:solidFill>
      </xdr:grpSpPr>
      <xdr:sp>
        <xdr:nvSpPr>
          <xdr:cNvPr id="47" name="TextBox 47"/>
          <xdr:cNvSpPr txBox="1">
            <a:spLocks noChangeArrowheads="1"/>
          </xdr:cNvSpPr>
        </xdr:nvSpPr>
        <xdr:spPr>
          <a:xfrm>
            <a:off x="674" y="1686"/>
            <a:ext cx="297" cy="1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8" name="Rectangle 48"/>
          <xdr:cNvSpPr>
            <a:spLocks/>
          </xdr:cNvSpPr>
        </xdr:nvSpPr>
        <xdr:spPr>
          <a:xfrm>
            <a:off x="734" y="1717"/>
            <a:ext cx="109" cy="84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9" name="Drawing 332"/>
          <xdr:cNvSpPr>
            <a:spLocks/>
          </xdr:cNvSpPr>
        </xdr:nvSpPr>
        <xdr:spPr>
          <a:xfrm>
            <a:off x="852" y="1716"/>
            <a:ext cx="100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0" name="Drawing 334"/>
          <xdr:cNvSpPr>
            <a:spLocks/>
          </xdr:cNvSpPr>
        </xdr:nvSpPr>
        <xdr:spPr>
          <a:xfrm>
            <a:off x="849" y="1800"/>
            <a:ext cx="104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1" name="Drawing 335"/>
          <xdr:cNvSpPr>
            <a:spLocks/>
          </xdr:cNvSpPr>
        </xdr:nvSpPr>
        <xdr:spPr>
          <a:xfrm>
            <a:off x="736" y="1791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2" name="Oval 52"/>
          <xdr:cNvSpPr>
            <a:spLocks/>
          </xdr:cNvSpPr>
        </xdr:nvSpPr>
        <xdr:spPr>
          <a:xfrm>
            <a:off x="833" y="178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3" name="Oval 53"/>
          <xdr:cNvSpPr>
            <a:spLocks/>
          </xdr:cNvSpPr>
        </xdr:nvSpPr>
        <xdr:spPr>
          <a:xfrm>
            <a:off x="772" y="178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4" name="Drawing 341"/>
          <xdr:cNvSpPr>
            <a:spLocks/>
          </xdr:cNvSpPr>
        </xdr:nvSpPr>
        <xdr:spPr>
          <a:xfrm>
            <a:off x="950" y="1716"/>
            <a:ext cx="0" cy="84"/>
          </a:xfrm>
          <a:custGeom>
            <a:pathLst>
              <a:path h="16384" w="16384">
                <a:moveTo>
                  <a:pt x="0" y="16384"/>
                </a:move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858" y="1761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780" y="1819"/>
            <a:ext cx="38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b</a:t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899" y="1743"/>
            <a:ext cx="3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</a:t>
            </a:r>
          </a:p>
        </xdr:txBody>
      </xdr:sp>
      <xdr:sp>
        <xdr:nvSpPr>
          <xdr:cNvPr id="58" name="TextBox 58"/>
          <xdr:cNvSpPr txBox="1">
            <a:spLocks noChangeArrowheads="1"/>
          </xdr:cNvSpPr>
        </xdr:nvSpPr>
        <xdr:spPr>
          <a:xfrm>
            <a:off x="931" y="1753"/>
            <a:ext cx="3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h</a:t>
            </a:r>
          </a:p>
        </xdr:txBody>
      </xdr:sp>
      <xdr:sp>
        <xdr:nvSpPr>
          <xdr:cNvPr id="59" name="TextBox 59"/>
          <xdr:cNvSpPr txBox="1">
            <a:spLocks noChangeArrowheads="1"/>
          </xdr:cNvSpPr>
        </xdr:nvSpPr>
        <xdr:spPr>
          <a:xfrm>
            <a:off x="867" y="1807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d"</a:t>
            </a:r>
          </a:p>
        </xdr:txBody>
      </xdr:sp>
      <xdr:sp>
        <xdr:nvSpPr>
          <xdr:cNvPr id="60" name="Oval 60"/>
          <xdr:cNvSpPr>
            <a:spLocks/>
          </xdr:cNvSpPr>
        </xdr:nvSpPr>
        <xdr:spPr>
          <a:xfrm>
            <a:off x="802" y="178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1" name="Drawing 333"/>
          <xdr:cNvSpPr>
            <a:spLocks/>
          </xdr:cNvSpPr>
        </xdr:nvSpPr>
        <xdr:spPr>
          <a:xfrm>
            <a:off x="849" y="1791"/>
            <a:ext cx="77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2" name="Drawing 335"/>
          <xdr:cNvSpPr>
            <a:spLocks/>
          </xdr:cNvSpPr>
        </xdr:nvSpPr>
        <xdr:spPr>
          <a:xfrm>
            <a:off x="735" y="1725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3" name="Oval 63"/>
          <xdr:cNvSpPr>
            <a:spLocks/>
          </xdr:cNvSpPr>
        </xdr:nvSpPr>
        <xdr:spPr>
          <a:xfrm>
            <a:off x="832" y="172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4" name="Oval 64"/>
          <xdr:cNvSpPr>
            <a:spLocks/>
          </xdr:cNvSpPr>
        </xdr:nvSpPr>
        <xdr:spPr>
          <a:xfrm>
            <a:off x="787" y="178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5" name="Oval 65"/>
          <xdr:cNvSpPr>
            <a:spLocks/>
          </xdr:cNvSpPr>
        </xdr:nvSpPr>
        <xdr:spPr>
          <a:xfrm>
            <a:off x="756" y="178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6" name="Oval 66"/>
          <xdr:cNvSpPr>
            <a:spLocks/>
          </xdr:cNvSpPr>
        </xdr:nvSpPr>
        <xdr:spPr>
          <a:xfrm>
            <a:off x="815" y="178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7" name="Oval 67"/>
          <xdr:cNvSpPr>
            <a:spLocks/>
          </xdr:cNvSpPr>
        </xdr:nvSpPr>
        <xdr:spPr>
          <a:xfrm>
            <a:off x="771" y="1723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8" name="Oval 68"/>
          <xdr:cNvSpPr>
            <a:spLocks/>
          </xdr:cNvSpPr>
        </xdr:nvSpPr>
        <xdr:spPr>
          <a:xfrm>
            <a:off x="801" y="172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9" name="TextBox 69"/>
          <xdr:cNvSpPr txBox="1">
            <a:spLocks noChangeArrowheads="1"/>
          </xdr:cNvSpPr>
        </xdr:nvSpPr>
        <xdr:spPr>
          <a:xfrm>
            <a:off x="866" y="1684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/>
              <a:t>d'
</a:t>
            </a:r>
          </a:p>
        </xdr:txBody>
      </xdr:sp>
      <xdr:sp>
        <xdr:nvSpPr>
          <xdr:cNvPr id="70" name="Oval 70"/>
          <xdr:cNvSpPr>
            <a:spLocks/>
          </xdr:cNvSpPr>
        </xdr:nvSpPr>
        <xdr:spPr>
          <a:xfrm>
            <a:off x="738" y="172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1" name="Oval 71"/>
          <xdr:cNvSpPr>
            <a:spLocks/>
          </xdr:cNvSpPr>
        </xdr:nvSpPr>
        <xdr:spPr>
          <a:xfrm>
            <a:off x="741" y="1789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734" y="1839"/>
            <a:ext cx="10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3" name="Drawing 335"/>
          <xdr:cNvSpPr>
            <a:spLocks/>
          </xdr:cNvSpPr>
        </xdr:nvSpPr>
        <xdr:spPr>
          <a:xfrm>
            <a:off x="736" y="1748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H="1">
            <a:off x="698" y="1717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 flipH="1">
            <a:off x="698" y="1748"/>
            <a:ext cx="3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6" name="Drawing 335"/>
          <xdr:cNvSpPr>
            <a:spLocks/>
          </xdr:cNvSpPr>
        </xdr:nvSpPr>
        <xdr:spPr>
          <a:xfrm>
            <a:off x="736" y="1748"/>
            <a:ext cx="106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 flipV="1">
            <a:off x="701" y="1717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8" name="TextBox 78"/>
          <xdr:cNvSpPr txBox="1">
            <a:spLocks noChangeArrowheads="1"/>
          </xdr:cNvSpPr>
        </xdr:nvSpPr>
        <xdr:spPr>
          <a:xfrm>
            <a:off x="679" y="1727"/>
            <a:ext cx="21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l">
              <a:defRPr/>
            </a:pPr>
            <a:r>
              <a:rPr lang="en-US" cap="none" sz="1000" b="0" i="0" u="none" baseline="0"/>
              <a:t>x
x
</a:t>
            </a:r>
          </a:p>
        </xdr:txBody>
      </xdr:sp>
      <xdr:sp>
        <xdr:nvSpPr>
          <xdr:cNvPr id="79" name="TextBox 79"/>
          <xdr:cNvSpPr txBox="1">
            <a:spLocks noChangeArrowheads="1"/>
          </xdr:cNvSpPr>
        </xdr:nvSpPr>
        <xdr:spPr>
          <a:xfrm>
            <a:off x="854" y="1733"/>
            <a:ext cx="3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As'
</a:t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796" y="1726"/>
            <a:ext cx="56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 flipV="1">
            <a:off x="919" y="1716"/>
            <a:ext cx="0" cy="7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849" y="1725"/>
            <a:ext cx="4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734" y="1805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843" y="1804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 flipV="1">
            <a:off x="815" y="1770"/>
            <a:ext cx="44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 flipV="1">
            <a:off x="888" y="1684"/>
            <a:ext cx="0" cy="4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887" y="1791"/>
            <a:ext cx="0" cy="3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919" y="180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7"/>
  <sheetViews>
    <sheetView tabSelected="1" workbookViewId="0" topLeftCell="A1">
      <selection activeCell="AC4" sqref="AC4"/>
    </sheetView>
  </sheetViews>
  <sheetFormatPr defaultColWidth="8.88671875" defaultRowHeight="21.75" customHeight="1"/>
  <cols>
    <col min="1" max="16384" width="2.77734375" style="136" customWidth="1"/>
  </cols>
  <sheetData>
    <row r="1" s="135" customFormat="1" ht="21.75" customHeight="1">
      <c r="B1" s="135" t="s">
        <v>41</v>
      </c>
    </row>
    <row r="3" spans="3:7" ht="21.75" customHeight="1">
      <c r="C3" s="135" t="s">
        <v>42</v>
      </c>
      <c r="D3" s="135"/>
      <c r="E3" s="135"/>
      <c r="G3" s="137" t="s">
        <v>43</v>
      </c>
    </row>
    <row r="4" spans="3:7" ht="21.75" customHeight="1">
      <c r="C4" s="135" t="s">
        <v>44</v>
      </c>
      <c r="D4" s="135"/>
      <c r="E4" s="135"/>
      <c r="G4" s="137" t="s">
        <v>45</v>
      </c>
    </row>
    <row r="5" spans="3:11" ht="21.75" customHeight="1">
      <c r="C5" s="135" t="s">
        <v>46</v>
      </c>
      <c r="D5" s="135"/>
      <c r="E5" s="135"/>
      <c r="G5" s="136" t="s">
        <v>22</v>
      </c>
      <c r="H5" s="164">
        <v>69.8</v>
      </c>
      <c r="I5" s="164"/>
      <c r="J5" s="164"/>
      <c r="K5" s="136" t="s">
        <v>47</v>
      </c>
    </row>
    <row r="6" spans="3:7" ht="21.75" customHeight="1">
      <c r="C6" s="135" t="s">
        <v>48</v>
      </c>
      <c r="D6" s="135"/>
      <c r="E6" s="135"/>
      <c r="G6" s="137" t="s">
        <v>49</v>
      </c>
    </row>
    <row r="7" spans="3:24" ht="21.75" customHeight="1">
      <c r="C7" s="135" t="s">
        <v>50</v>
      </c>
      <c r="D7" s="135"/>
      <c r="E7" s="135"/>
      <c r="G7" s="136" t="s">
        <v>51</v>
      </c>
      <c r="I7" s="164">
        <v>8.4</v>
      </c>
      <c r="J7" s="164"/>
      <c r="K7" s="164"/>
      <c r="L7" s="136" t="s">
        <v>47</v>
      </c>
      <c r="N7" s="136" t="s">
        <v>52</v>
      </c>
      <c r="Q7" s="164">
        <v>7.47</v>
      </c>
      <c r="R7" s="164"/>
      <c r="S7" s="164"/>
      <c r="T7" s="136" t="s">
        <v>47</v>
      </c>
      <c r="V7" s="55"/>
      <c r="W7" s="55"/>
      <c r="X7" s="55"/>
    </row>
    <row r="8" spans="3:19" ht="21.75" customHeight="1">
      <c r="C8" s="135" t="s">
        <v>53</v>
      </c>
      <c r="D8" s="135"/>
      <c r="E8" s="135"/>
      <c r="G8" s="136" t="s">
        <v>54</v>
      </c>
      <c r="I8" s="136" t="s">
        <v>23</v>
      </c>
      <c r="J8" s="164">
        <v>2.4</v>
      </c>
      <c r="K8" s="164"/>
      <c r="L8" s="164"/>
      <c r="M8" s="137" t="s">
        <v>47</v>
      </c>
      <c r="P8" s="136" t="s">
        <v>55</v>
      </c>
      <c r="R8" s="136" t="s">
        <v>24</v>
      </c>
      <c r="S8" s="137" t="s">
        <v>56</v>
      </c>
    </row>
    <row r="9" spans="3:5" ht="21.75" customHeight="1">
      <c r="C9" s="135"/>
      <c r="D9" s="135"/>
      <c r="E9" s="135"/>
    </row>
    <row r="10" spans="3:14" ht="21.75" customHeight="1">
      <c r="C10" s="135" t="s">
        <v>57</v>
      </c>
      <c r="D10" s="135"/>
      <c r="E10" s="135"/>
      <c r="G10" s="136" t="s">
        <v>58</v>
      </c>
      <c r="K10" s="139" t="s">
        <v>64</v>
      </c>
      <c r="M10" s="55"/>
      <c r="N10" s="55"/>
    </row>
    <row r="11" spans="3:11" ht="21.75" customHeight="1">
      <c r="C11" s="135"/>
      <c r="D11" s="135"/>
      <c r="E11" s="135"/>
      <c r="G11" s="136" t="s">
        <v>65</v>
      </c>
      <c r="K11" s="140" t="s">
        <v>66</v>
      </c>
    </row>
    <row r="12" spans="3:11" ht="21.75" customHeight="1">
      <c r="C12" s="135"/>
      <c r="D12" s="135"/>
      <c r="E12" s="135"/>
      <c r="G12" s="136" t="s">
        <v>67</v>
      </c>
      <c r="K12" s="140" t="s">
        <v>68</v>
      </c>
    </row>
    <row r="13" spans="3:5" ht="21.75" customHeight="1">
      <c r="C13" s="135"/>
      <c r="D13" s="135"/>
      <c r="E13" s="135"/>
    </row>
    <row r="14" spans="3:15" ht="21.75" customHeight="1">
      <c r="C14" s="135" t="s">
        <v>27</v>
      </c>
      <c r="D14" s="135"/>
      <c r="E14" s="135"/>
      <c r="G14" s="137" t="s">
        <v>59</v>
      </c>
      <c r="L14" s="136" t="s">
        <v>28</v>
      </c>
      <c r="M14" s="163">
        <v>80</v>
      </c>
      <c r="N14" s="163"/>
      <c r="O14" s="136" t="s">
        <v>29</v>
      </c>
    </row>
    <row r="15" spans="3:5" ht="21.75" customHeight="1">
      <c r="C15" s="135"/>
      <c r="D15" s="135"/>
      <c r="E15" s="135"/>
    </row>
    <row r="16" spans="3:7" ht="21.75" customHeight="1">
      <c r="C16" s="135" t="s">
        <v>30</v>
      </c>
      <c r="D16" s="135"/>
      <c r="E16" s="135"/>
      <c r="G16" s="136" t="s">
        <v>31</v>
      </c>
    </row>
    <row r="17" spans="3:17" ht="21.75" customHeight="1">
      <c r="C17" s="135"/>
      <c r="D17" s="135"/>
      <c r="E17" s="135"/>
      <c r="G17" s="136" t="s">
        <v>32</v>
      </c>
      <c r="N17" s="136" t="s">
        <v>33</v>
      </c>
      <c r="P17" s="141">
        <v>24</v>
      </c>
      <c r="Q17" s="136" t="s">
        <v>60</v>
      </c>
    </row>
    <row r="18" spans="3:9" ht="21.75" customHeight="1">
      <c r="C18" s="135"/>
      <c r="D18" s="135"/>
      <c r="E18" s="135"/>
      <c r="G18" s="136" t="s">
        <v>34</v>
      </c>
      <c r="I18" s="137" t="s">
        <v>69</v>
      </c>
    </row>
    <row r="19" spans="3:5" ht="21.75" customHeight="1">
      <c r="C19" s="135"/>
      <c r="D19" s="135"/>
      <c r="E19" s="135"/>
    </row>
    <row r="20" spans="3:10" ht="21.75" customHeight="1">
      <c r="C20" s="135" t="s">
        <v>35</v>
      </c>
      <c r="D20" s="135"/>
      <c r="E20" s="135"/>
      <c r="G20" s="138" t="s">
        <v>70</v>
      </c>
      <c r="H20" s="136" t="s">
        <v>36</v>
      </c>
      <c r="J20" s="137"/>
    </row>
    <row r="21" spans="3:5" ht="21.75" customHeight="1">
      <c r="C21" s="135"/>
      <c r="D21" s="135"/>
      <c r="E21" s="135"/>
    </row>
    <row r="22" spans="3:7" ht="21.75" customHeight="1">
      <c r="C22" s="135" t="s">
        <v>37</v>
      </c>
      <c r="D22" s="135"/>
      <c r="E22" s="135"/>
      <c r="G22" s="137" t="s">
        <v>71</v>
      </c>
    </row>
    <row r="23" spans="3:5" ht="21.75" customHeight="1">
      <c r="C23" s="135"/>
      <c r="D23" s="135"/>
      <c r="E23" s="135"/>
    </row>
    <row r="24" spans="3:19" ht="21.75" customHeight="1">
      <c r="C24" s="135" t="s">
        <v>38</v>
      </c>
      <c r="D24" s="135"/>
      <c r="E24" s="135"/>
      <c r="G24" s="136" t="s">
        <v>72</v>
      </c>
      <c r="S24" s="136" t="s">
        <v>39</v>
      </c>
    </row>
    <row r="25" spans="7:19" ht="21.75" customHeight="1">
      <c r="G25" s="136" t="s">
        <v>73</v>
      </c>
      <c r="S25" s="136" t="s">
        <v>74</v>
      </c>
    </row>
    <row r="26" spans="7:19" ht="21.75" customHeight="1">
      <c r="G26" s="136" t="s">
        <v>26</v>
      </c>
      <c r="S26" s="136" t="s">
        <v>61</v>
      </c>
    </row>
    <row r="27" spans="7:19" ht="21.75" customHeight="1">
      <c r="G27" s="136" t="s">
        <v>62</v>
      </c>
      <c r="S27" s="136" t="s">
        <v>63</v>
      </c>
    </row>
  </sheetData>
  <mergeCells count="5">
    <mergeCell ref="M14:N14"/>
    <mergeCell ref="H5:J5"/>
    <mergeCell ref="I7:K7"/>
    <mergeCell ref="Q7:S7"/>
    <mergeCell ref="J8:L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98"/>
  <sheetViews>
    <sheetView workbookViewId="0" topLeftCell="A85">
      <selection activeCell="A85" sqref="A1:IV16384"/>
    </sheetView>
  </sheetViews>
  <sheetFormatPr defaultColWidth="8.88671875" defaultRowHeight="22.5" customHeight="1"/>
  <cols>
    <col min="1" max="16384" width="1.77734375" style="3" customWidth="1"/>
  </cols>
  <sheetData>
    <row r="1" spans="1:6" s="89" customFormat="1" ht="22.5" customHeight="1">
      <c r="A1" s="90"/>
      <c r="B1" s="91"/>
      <c r="C1" s="88"/>
      <c r="D1" s="88"/>
      <c r="E1" s="88"/>
      <c r="F1" s="88"/>
    </row>
    <row r="2" spans="1:8" ht="22.5" customHeight="1">
      <c r="A2" s="157" t="s">
        <v>293</v>
      </c>
      <c r="D2" s="2"/>
      <c r="E2" s="2"/>
      <c r="F2" s="2"/>
      <c r="H2" s="137" t="s">
        <v>202</v>
      </c>
    </row>
    <row r="3" spans="1:26" s="7" customFormat="1" ht="22.5" customHeight="1">
      <c r="A3" s="10"/>
      <c r="B3" s="10" t="s">
        <v>93</v>
      </c>
      <c r="C3" s="10"/>
      <c r="D3" s="10"/>
      <c r="E3" s="10"/>
      <c r="F3" s="10"/>
      <c r="H3" s="10"/>
      <c r="J3" s="10"/>
      <c r="K3" s="9" t="str">
        <f>IF(AF4&lt;3,"( 單純版 )","( 連続版 )")</f>
        <v>( 連続版 )</v>
      </c>
      <c r="L3" s="10"/>
      <c r="M3" s="10"/>
      <c r="N3" s="10"/>
      <c r="O3" s="10"/>
      <c r="Q3" s="98"/>
      <c r="R3" s="98"/>
      <c r="S3" s="70"/>
      <c r="U3" s="85"/>
      <c r="W3" s="98"/>
      <c r="Y3" s="99"/>
      <c r="Z3" s="123" t="s">
        <v>207</v>
      </c>
    </row>
    <row r="4" spans="1:33" s="7" customFormat="1" ht="22.5" customHeight="1">
      <c r="A4" s="10"/>
      <c r="C4" s="11" t="s">
        <v>95</v>
      </c>
      <c r="D4" s="10"/>
      <c r="E4" s="10"/>
      <c r="F4" s="10"/>
      <c r="G4" s="10"/>
      <c r="H4" s="10"/>
      <c r="M4" s="10" t="s">
        <v>96</v>
      </c>
      <c r="N4" s="10"/>
      <c r="O4" s="224">
        <v>2.4</v>
      </c>
      <c r="P4" s="164"/>
      <c r="Q4" s="164"/>
      <c r="R4" s="164"/>
      <c r="S4" s="10" t="s">
        <v>1</v>
      </c>
      <c r="T4" s="99"/>
      <c r="U4" s="85"/>
      <c r="W4" s="85" t="s">
        <v>208</v>
      </c>
      <c r="X4" s="85"/>
      <c r="Y4" s="85"/>
      <c r="Z4" s="85"/>
      <c r="AA4" s="85"/>
      <c r="AB4" s="85"/>
      <c r="AC4" s="85"/>
      <c r="AD4" s="85" t="s">
        <v>209</v>
      </c>
      <c r="AE4" s="85"/>
      <c r="AF4" s="225">
        <v>4</v>
      </c>
      <c r="AG4" s="163"/>
    </row>
    <row r="5" spans="1:33" s="7" customFormat="1" ht="22.5" customHeight="1">
      <c r="A5" s="10"/>
      <c r="C5" s="2" t="s">
        <v>88</v>
      </c>
      <c r="F5" s="10"/>
      <c r="G5" s="10"/>
      <c r="H5" s="10"/>
      <c r="I5" s="10"/>
      <c r="J5" s="10"/>
      <c r="P5" s="158" t="s">
        <v>89</v>
      </c>
      <c r="S5" s="10"/>
      <c r="T5" s="10"/>
      <c r="U5" s="10"/>
      <c r="X5" s="10" t="s">
        <v>90</v>
      </c>
      <c r="Y5" s="10"/>
      <c r="AA5" s="85"/>
      <c r="AB5" s="85"/>
      <c r="AC5" s="85"/>
      <c r="AD5" s="85"/>
      <c r="AE5" s="85"/>
      <c r="AF5" s="162"/>
      <c r="AG5" s="100"/>
    </row>
    <row r="6" spans="1:47" s="7" customFormat="1" ht="22.5" customHeight="1">
      <c r="A6" s="10"/>
      <c r="C6" s="9" t="str">
        <f>IF(AF4&lt;3,"do = (40·L + 110) =","do = (30·L + 110) =")</f>
        <v>do = (30·L + 110) =</v>
      </c>
      <c r="D6" s="10"/>
      <c r="E6" s="10"/>
      <c r="F6" s="10"/>
      <c r="G6" s="10"/>
      <c r="L6" s="10" t="str">
        <f>IF(AF4&lt;3,"{(40×"&amp;O4&amp;") + 110} = "&amp;ROUND((40*O4+110),0)&amp;" mm &gt; 160 mm","{(30×"&amp;O4&amp;") + 110} = "&amp;ROUND((30*O4+110),0)&amp;" mm &gt; 160 mm")</f>
        <v>{(30×2.4) + 110} = 182 mm &gt; 160 mm</v>
      </c>
      <c r="W6" s="10"/>
      <c r="X6" s="85"/>
      <c r="AG6" s="10"/>
      <c r="AH6" s="10"/>
      <c r="AI6" s="10"/>
      <c r="AJ6" s="10"/>
      <c r="AK6" s="10"/>
      <c r="AL6" s="10"/>
      <c r="AM6" s="10"/>
      <c r="AN6" s="10"/>
      <c r="AP6" s="10"/>
      <c r="AQ6" s="10"/>
      <c r="AR6" s="10"/>
      <c r="AS6" s="10"/>
      <c r="AT6" s="10"/>
      <c r="AU6" s="10"/>
    </row>
    <row r="7" spans="1:35" s="7" customFormat="1" ht="22.5" customHeight="1">
      <c r="A7" s="10"/>
      <c r="C7" s="10" t="s">
        <v>97</v>
      </c>
      <c r="D7" s="10"/>
      <c r="E7" s="10"/>
      <c r="F7" s="10"/>
      <c r="J7" s="103">
        <f>AB8</f>
        <v>1.25</v>
      </c>
      <c r="K7" s="78"/>
      <c r="L7" s="102" t="s">
        <v>98</v>
      </c>
      <c r="M7" s="128">
        <v>1</v>
      </c>
      <c r="N7" s="78"/>
      <c r="O7" s="102" t="s">
        <v>98</v>
      </c>
      <c r="P7" s="103">
        <f>IF(AF4&lt;3,ROUND((40*O4+110),0),ROUND((30*O4+110),0))</f>
        <v>182</v>
      </c>
      <c r="Q7" s="78"/>
      <c r="R7" s="78"/>
      <c r="S7" s="102" t="s">
        <v>99</v>
      </c>
      <c r="T7" s="103">
        <f>ROUND(J7*M7*P7,-1)</f>
        <v>230</v>
      </c>
      <c r="U7" s="78"/>
      <c r="V7" s="103"/>
      <c r="W7" s="10" t="s">
        <v>100</v>
      </c>
      <c r="Y7" s="102" t="s">
        <v>101</v>
      </c>
      <c r="AA7" s="206">
        <f>L13*100</f>
        <v>30</v>
      </c>
      <c r="AB7" s="206"/>
      <c r="AC7" s="206"/>
      <c r="AD7" s="85" t="s">
        <v>102</v>
      </c>
      <c r="AE7" s="10"/>
      <c r="AH7" s="10" t="str">
        <f>IF(T7&lt;=AA7*10,"O.K.","N.G.")</f>
        <v>O.K.</v>
      </c>
      <c r="AI7" s="10"/>
    </row>
    <row r="8" spans="1:58" s="7" customFormat="1" ht="22.5" customHeight="1">
      <c r="A8" s="10"/>
      <c r="C8" s="10" t="s">
        <v>13</v>
      </c>
      <c r="D8" s="10"/>
      <c r="G8" s="2" t="s">
        <v>14</v>
      </c>
      <c r="Y8" s="10" t="s">
        <v>103</v>
      </c>
      <c r="AB8" s="103">
        <f>IF(P5="500未満",1.1,IF(P5="500以上1000未満",1.15,IF(P5="1000以上2000未満",1.2,IF(P5="2000以上",1.25,"入力確認要望"))))</f>
        <v>1.25</v>
      </c>
      <c r="AC8" s="78"/>
      <c r="AD8" s="10" t="s">
        <v>104</v>
      </c>
      <c r="AN8" s="10"/>
      <c r="AP8" s="10"/>
      <c r="AQ8" s="10"/>
      <c r="AR8" s="10"/>
      <c r="AS8" s="10"/>
      <c r="AT8" s="10"/>
      <c r="AU8" s="10"/>
      <c r="AV8" s="10"/>
      <c r="AW8" s="10"/>
      <c r="AY8" s="10"/>
      <c r="BB8" s="10"/>
      <c r="BC8" s="10"/>
      <c r="BD8" s="10"/>
      <c r="BE8" s="10"/>
      <c r="BF8" s="85"/>
    </row>
    <row r="9" spans="1:58" s="7" customFormat="1" ht="22.5" customHeight="1">
      <c r="A9" s="10"/>
      <c r="C9" s="104"/>
      <c r="D9" s="10"/>
      <c r="E9" s="10"/>
      <c r="G9" s="2" t="s">
        <v>105</v>
      </c>
      <c r="AN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BA9" s="10"/>
      <c r="BB9" s="10"/>
      <c r="BC9" s="10"/>
      <c r="BD9" s="10"/>
      <c r="BE9" s="10"/>
      <c r="BF9" s="85"/>
    </row>
    <row r="10" spans="1:58" s="7" customFormat="1" ht="22.5" customHeight="1">
      <c r="A10" s="10"/>
      <c r="C10" s="104"/>
      <c r="D10" s="10"/>
      <c r="E10" s="10"/>
      <c r="G10" s="10"/>
      <c r="I10" s="10" t="s">
        <v>106</v>
      </c>
      <c r="Z10" s="10"/>
      <c r="AN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BA10" s="10"/>
      <c r="BB10" s="10"/>
      <c r="BC10" s="10"/>
      <c r="BD10" s="10"/>
      <c r="BE10" s="10"/>
      <c r="BF10" s="85"/>
    </row>
    <row r="11" spans="1:58" s="7" customFormat="1" ht="22.5" customHeight="1">
      <c r="A11" s="10"/>
      <c r="C11" s="104"/>
      <c r="D11" s="10"/>
      <c r="E11" s="10"/>
      <c r="G11" s="10"/>
      <c r="I11" s="10"/>
      <c r="Z11" s="10"/>
      <c r="AN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BA11" s="10"/>
      <c r="BB11" s="10"/>
      <c r="BC11" s="10"/>
      <c r="BD11" s="10"/>
      <c r="BE11" s="10"/>
      <c r="BF11" s="85"/>
    </row>
    <row r="12" spans="1:33" s="7" customFormat="1" ht="22.5" customHeight="1">
      <c r="A12" s="10"/>
      <c r="B12" s="11" t="s">
        <v>107</v>
      </c>
      <c r="C12" s="11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92"/>
      <c r="Z12" s="92"/>
      <c r="AA12" s="92"/>
      <c r="AB12" s="92"/>
      <c r="AC12" s="92"/>
      <c r="AD12" s="92"/>
      <c r="AE12" s="92"/>
      <c r="AF12" s="92"/>
      <c r="AG12" s="92"/>
    </row>
    <row r="13" spans="1:33" s="7" customFormat="1" ht="22.5" customHeight="1">
      <c r="A13" s="10"/>
      <c r="B13" s="11"/>
      <c r="C13" s="11" t="s">
        <v>213</v>
      </c>
      <c r="D13" s="85"/>
      <c r="E13" s="85"/>
      <c r="F13" s="85"/>
      <c r="L13" s="226">
        <v>0.3</v>
      </c>
      <c r="M13" s="164"/>
      <c r="N13" s="164"/>
      <c r="O13" s="10" t="s">
        <v>1</v>
      </c>
      <c r="Q13" s="102" t="s">
        <v>98</v>
      </c>
      <c r="S13" s="227">
        <v>24.5</v>
      </c>
      <c r="T13" s="202"/>
      <c r="U13" s="202"/>
      <c r="V13" s="10" t="s">
        <v>80</v>
      </c>
      <c r="W13" s="85"/>
      <c r="X13" s="85"/>
      <c r="Y13" s="92"/>
      <c r="AB13" s="7" t="s">
        <v>99</v>
      </c>
      <c r="AC13" s="79">
        <f>L13*S13</f>
        <v>7.35</v>
      </c>
      <c r="AD13" s="79"/>
      <c r="AE13" s="79"/>
      <c r="AF13" s="79"/>
      <c r="AG13" s="7" t="s">
        <v>133</v>
      </c>
    </row>
    <row r="14" spans="1:35" s="7" customFormat="1" ht="22.5" customHeight="1">
      <c r="A14" s="10"/>
      <c r="B14" s="11"/>
      <c r="C14" s="131" t="s">
        <v>214</v>
      </c>
      <c r="D14" s="108"/>
      <c r="E14" s="108"/>
      <c r="F14" s="108"/>
      <c r="G14" s="107"/>
      <c r="H14" s="107"/>
      <c r="I14" s="107"/>
      <c r="J14" s="107"/>
      <c r="K14" s="107"/>
      <c r="L14" s="228">
        <v>0.08</v>
      </c>
      <c r="M14" s="229"/>
      <c r="N14" s="229"/>
      <c r="O14" s="108" t="s">
        <v>1</v>
      </c>
      <c r="P14" s="107"/>
      <c r="Q14" s="109" t="s">
        <v>98</v>
      </c>
      <c r="R14" s="107"/>
      <c r="S14" s="230">
        <v>22.5</v>
      </c>
      <c r="T14" s="231"/>
      <c r="U14" s="231"/>
      <c r="V14" s="108" t="s">
        <v>80</v>
      </c>
      <c r="W14" s="108"/>
      <c r="X14" s="108"/>
      <c r="Y14" s="107"/>
      <c r="Z14" s="107"/>
      <c r="AA14" s="107"/>
      <c r="AB14" s="107" t="s">
        <v>99</v>
      </c>
      <c r="AC14" s="110">
        <f>L14*S14</f>
        <v>1.8</v>
      </c>
      <c r="AD14" s="110"/>
      <c r="AE14" s="110"/>
      <c r="AF14" s="110"/>
      <c r="AG14" s="107" t="s">
        <v>133</v>
      </c>
      <c r="AH14" s="107"/>
      <c r="AI14" s="107"/>
    </row>
    <row r="15" spans="1:33" s="7" customFormat="1" ht="22.5" customHeight="1">
      <c r="A15" s="10"/>
      <c r="B15" s="11"/>
      <c r="C15" s="11" t="s">
        <v>215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W15" s="85"/>
      <c r="X15" s="85"/>
      <c r="Y15" s="92"/>
      <c r="Z15" s="92" t="s">
        <v>216</v>
      </c>
      <c r="AB15" s="92"/>
      <c r="AC15" s="79">
        <f>SUM(AC13:AC14)</f>
        <v>9.15</v>
      </c>
      <c r="AD15" s="79"/>
      <c r="AE15" s="79"/>
      <c r="AF15" s="79"/>
      <c r="AG15" s="7" t="s">
        <v>133</v>
      </c>
    </row>
    <row r="16" spans="1:33" s="7" customFormat="1" ht="22.5" customHeight="1">
      <c r="A16" s="10"/>
      <c r="B16" s="11"/>
      <c r="C16" s="11" t="s">
        <v>217</v>
      </c>
      <c r="D16" s="85"/>
      <c r="E16" s="85"/>
      <c r="F16" s="78" t="s">
        <v>21</v>
      </c>
      <c r="G16" s="78"/>
      <c r="H16" s="70"/>
      <c r="I16" s="111" t="s">
        <v>116</v>
      </c>
      <c r="J16" s="111">
        <f>IF(AF4&lt;3,8,10)</f>
        <v>10</v>
      </c>
      <c r="K16" s="70"/>
      <c r="L16" s="85" t="s">
        <v>99</v>
      </c>
      <c r="M16" s="79">
        <f>AC15</f>
        <v>9.15</v>
      </c>
      <c r="N16" s="79"/>
      <c r="O16" s="79"/>
      <c r="P16" s="79"/>
      <c r="Q16" s="102" t="s">
        <v>98</v>
      </c>
      <c r="R16" s="112">
        <f>O4</f>
        <v>2.4</v>
      </c>
      <c r="S16" s="79"/>
      <c r="T16" s="79"/>
      <c r="U16" s="78"/>
      <c r="V16" s="113" t="s">
        <v>116</v>
      </c>
      <c r="W16" s="111">
        <f>J16</f>
        <v>10</v>
      </c>
      <c r="X16" s="70"/>
      <c r="Y16" s="92" t="s">
        <v>99</v>
      </c>
      <c r="Z16" s="106">
        <f>M16*R16^2/W16</f>
        <v>5.2704</v>
      </c>
      <c r="AA16" s="106"/>
      <c r="AB16" s="106"/>
      <c r="AC16" s="106"/>
      <c r="AD16" s="7" t="s">
        <v>18</v>
      </c>
      <c r="AG16" s="92"/>
    </row>
    <row r="17" spans="1:33" s="7" customFormat="1" ht="22.5" customHeight="1">
      <c r="A17" s="10"/>
      <c r="B17" s="10"/>
      <c r="C17" s="10"/>
      <c r="D17" s="10"/>
      <c r="H17" s="79"/>
      <c r="I17" s="79"/>
      <c r="J17" s="79"/>
      <c r="K17" s="79"/>
      <c r="L17" s="80"/>
      <c r="M17" s="79"/>
      <c r="N17" s="79"/>
      <c r="O17" s="79"/>
      <c r="P17" s="79"/>
      <c r="Q17" s="85"/>
      <c r="R17" s="79"/>
      <c r="S17" s="79"/>
      <c r="T17" s="79"/>
      <c r="U17" s="79"/>
      <c r="V17" s="85"/>
      <c r="W17" s="79"/>
      <c r="X17" s="79"/>
      <c r="Y17" s="79"/>
      <c r="Z17" s="79"/>
      <c r="AA17" s="85"/>
      <c r="AG17" s="85"/>
    </row>
    <row r="18" spans="1:24" s="7" customFormat="1" ht="22.5" customHeight="1">
      <c r="A18" s="10"/>
      <c r="B18" s="11" t="s">
        <v>119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85"/>
      <c r="X18" s="85"/>
    </row>
    <row r="19" spans="1:33" s="7" customFormat="1" ht="22.5" customHeight="1">
      <c r="A19" s="10"/>
      <c r="B19" s="85"/>
      <c r="C19" s="10" t="s">
        <v>218</v>
      </c>
      <c r="F19" s="10"/>
      <c r="G19" s="10"/>
      <c r="H19" s="224" t="s">
        <v>84</v>
      </c>
      <c r="I19" s="164"/>
      <c r="J19" s="10" t="s">
        <v>85</v>
      </c>
      <c r="K19" s="10"/>
      <c r="L19" s="10"/>
      <c r="M19" s="10"/>
      <c r="N19" s="10"/>
      <c r="O19" s="10"/>
      <c r="P19" s="10"/>
      <c r="Q19" s="10"/>
      <c r="R19" s="10"/>
      <c r="S19" s="10"/>
      <c r="T19" s="10" t="s">
        <v>86</v>
      </c>
      <c r="W19" s="10"/>
      <c r="X19" s="10"/>
      <c r="Y19" s="10"/>
      <c r="Z19" s="10"/>
      <c r="AB19" s="233">
        <v>100</v>
      </c>
      <c r="AC19" s="233"/>
      <c r="AD19" s="233"/>
      <c r="AE19" s="10" t="s">
        <v>87</v>
      </c>
      <c r="AG19" s="104"/>
    </row>
    <row r="20" spans="1:33" ht="22.5" customHeight="1">
      <c r="A20" s="2"/>
      <c r="B20" s="11"/>
      <c r="C20" s="2" t="str">
        <f>IF(H2="(一般部)","","T荷重(衝撃を含む)による設計曲げモーメントとして8.2.4に規定する値の２倍を用いるものとする。")</f>
        <v>T荷重(衝撃を含む)による設計曲げモーメントとして8.2.4に規定する値の２倍を用いるものとする。</v>
      </c>
      <c r="F20" s="2"/>
      <c r="G20" s="2"/>
      <c r="H20" s="18"/>
      <c r="I20" s="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W20" s="2"/>
      <c r="X20" s="2"/>
      <c r="Y20" s="2"/>
      <c r="Z20" s="2"/>
      <c r="AB20" s="96"/>
      <c r="AC20" s="96"/>
      <c r="AD20" s="96"/>
      <c r="AE20" s="2"/>
      <c r="AG20" s="8"/>
    </row>
    <row r="21" spans="1:24" ht="22.5" customHeight="1">
      <c r="A21" s="2"/>
      <c r="B21" s="58" t="s">
        <v>120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1"/>
      <c r="X21" s="11"/>
    </row>
    <row r="22" spans="1:24" ht="22.5" customHeight="1">
      <c r="A22" s="2"/>
      <c r="B22" s="58"/>
      <c r="C22" s="2" t="s">
        <v>219</v>
      </c>
      <c r="D22" s="2"/>
      <c r="E22" s="2"/>
      <c r="F22" s="2"/>
      <c r="G22" s="2"/>
      <c r="H22" s="2"/>
      <c r="I22" s="2"/>
      <c r="J22" s="2"/>
      <c r="K22" s="2"/>
      <c r="L22" s="2"/>
      <c r="M22" s="2"/>
      <c r="O22" s="2" t="str">
        <f>IF(O4&lt;=2.5,"(L ≤ 2.5 m )","( 2.5 &lt; L ≤ 4.0 m )")</f>
        <v>(L ≤ 2.5 m )</v>
      </c>
      <c r="P22" s="2"/>
      <c r="Q22" s="2"/>
      <c r="R22" s="2"/>
      <c r="S22" s="2"/>
      <c r="T22" s="2"/>
      <c r="U22" s="2"/>
      <c r="V22" s="2"/>
      <c r="W22" s="11"/>
      <c r="X22" s="11"/>
    </row>
    <row r="23" spans="1:24" ht="22.5" customHeight="1">
      <c r="A23" s="2"/>
      <c r="B23" s="58"/>
      <c r="C23" s="2" t="s">
        <v>220</v>
      </c>
      <c r="D23" s="2"/>
      <c r="E23" s="2"/>
      <c r="F23" s="2" t="str">
        <f>IF(O4&lt;=2.5,"1.0","1.0 + ( L - 2.5 ) / 12 = "&amp;ROUND(1+(O4-2.5)/12,2))</f>
        <v>1.0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S23" s="2"/>
      <c r="T23" s="2"/>
      <c r="U23" s="2"/>
      <c r="V23" s="2"/>
      <c r="W23" s="11"/>
      <c r="X23" s="11"/>
    </row>
    <row r="24" spans="1:24" ht="22.5" customHeight="1">
      <c r="A24" s="2"/>
      <c r="C24" s="2" t="str">
        <f>IF(AND(H19="B",AF4&lt;3),IF(H2="(一般部)","Ml = ( 0.12 L ＋ 0.07 ) P × λ","Ml = ( 0.12 L ＋ 0.07 ) P × λ × 2"),IF(AND(H19="A",AF4&gt;=3),IF(H2="(一般部)","Ml = ( 0.12 L ＋ 0.07 ) P × λ × 0.80 × 0.80","Ml = ( 0.12 L ＋ 0.07 ) P × λ × 0.80 × 0.80 × 2"),IF(H2="(一般部)","Ml = ( 0.12 L ＋ 0.07 ) P × λ × 0.80","Ml = ( 0.12 L ＋ 0.07 ) P × λ × 0.80 × 2")))</f>
        <v>Ml = ( 0.12 L ＋ 0.07 ) P × λ × 0.80 × 2</v>
      </c>
      <c r="D24" s="5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2"/>
      <c r="S24" s="2"/>
      <c r="T24" s="2"/>
      <c r="U24" s="16"/>
      <c r="V24" s="11"/>
      <c r="W24" s="17" t="s">
        <v>221</v>
      </c>
      <c r="X24" s="2"/>
    </row>
    <row r="25" spans="4:39" ht="22.5" customHeight="1">
      <c r="D25" s="19" t="s">
        <v>99</v>
      </c>
      <c r="E25" s="3" t="s">
        <v>123</v>
      </c>
      <c r="F25" s="61">
        <v>0.12</v>
      </c>
      <c r="G25" s="61"/>
      <c r="H25" s="61"/>
      <c r="I25" s="2" t="s">
        <v>98</v>
      </c>
      <c r="J25" s="5">
        <f>O4</f>
        <v>2.4</v>
      </c>
      <c r="K25" s="6"/>
      <c r="L25" s="6"/>
      <c r="M25" s="3" t="s">
        <v>124</v>
      </c>
      <c r="N25" s="61">
        <v>0.07</v>
      </c>
      <c r="O25" s="61"/>
      <c r="P25" s="61"/>
      <c r="Q25" s="3" t="s">
        <v>104</v>
      </c>
      <c r="R25" s="2" t="s">
        <v>98</v>
      </c>
      <c r="S25" s="60">
        <f>AB19</f>
        <v>100</v>
      </c>
      <c r="T25" s="6"/>
      <c r="U25" s="6"/>
      <c r="V25" s="2" t="s">
        <v>98</v>
      </c>
      <c r="W25" s="124">
        <f>IF(O4&lt;=2.5,1,ROUND(1+(O4-2.5)/12,2))</f>
        <v>1</v>
      </c>
      <c r="X25" s="61"/>
      <c r="Y25" s="61"/>
      <c r="Z25" s="3" t="str">
        <f>IF(AND(H19="B",AF4&lt;3),IF(H2="(一般部)","","× 2"),IF(AND(H19="A",AF4&gt;=3),IF(H2="(一般部)","× 0.80 × 0.80","× 0.80 × 0.80 × 2"),IF(H2="(一般部)","× 0.80","× 0.80 × 2")))</f>
        <v>× 0.80 × 2</v>
      </c>
      <c r="AC25" s="61"/>
      <c r="AH25" s="3" t="s">
        <v>99</v>
      </c>
      <c r="AI25" s="55">
        <f>IF(AND(H19="B",AF4&lt;3),IF(H2="(一般部)",(F25*J25+N25)*S25*W25,(F25*J25+N25)*S25*W25*2),IF(AND(H19="A",AF4&gt;=3),IF(H2="(一般部)",(F25*J25+N25)*S25*W25*0.8*0.8,(F25*J25+N25)*S25*W25*0.8*0.8*2),IF(H2="(一般部)",(F25*J25+N25)*S25*W25*0.8,(F25*J25+N25)*S25*W25*0.8*2)))</f>
        <v>57.28</v>
      </c>
      <c r="AJ25" s="55"/>
      <c r="AK25" s="55"/>
      <c r="AL25" s="55"/>
      <c r="AM25" s="3" t="s">
        <v>18</v>
      </c>
    </row>
    <row r="26" spans="2:8" ht="22.5" customHeight="1">
      <c r="B26" s="58" t="s">
        <v>222</v>
      </c>
      <c r="H26" s="2"/>
    </row>
    <row r="27" spans="2:14" s="7" customFormat="1" ht="22.5" customHeight="1">
      <c r="B27" s="10"/>
      <c r="C27" s="10" t="str">
        <f>IF(AF4&lt;3,IF(H2="(一般部)","Ml = ( 0.10 L ＋ 0.04 ) P","Ml = ( 0.10 L ＋ 0.04 ) P × 2"),IF(H2="(一般部)","Ml = ( 0.10 L ＋ 0.04 ) P × 0.8","Ml = ( 0.10 L ＋ 0.04 ) P × 0.8 × 2"))</f>
        <v>Ml = ( 0.10 L ＋ 0.04 ) P × 0.8 × 2</v>
      </c>
      <c r="D27" s="125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4:39" s="7" customFormat="1" ht="22.5" customHeight="1">
      <c r="D28" s="102" t="s">
        <v>99</v>
      </c>
      <c r="E28" s="7" t="s">
        <v>123</v>
      </c>
      <c r="F28" s="77">
        <v>0.1</v>
      </c>
      <c r="G28" s="77"/>
      <c r="H28" s="77"/>
      <c r="I28" s="10" t="s">
        <v>98</v>
      </c>
      <c r="J28" s="126">
        <f>O4</f>
        <v>2.4</v>
      </c>
      <c r="K28" s="78"/>
      <c r="L28" s="78"/>
      <c r="M28" s="7" t="s">
        <v>124</v>
      </c>
      <c r="N28" s="77">
        <v>0.04</v>
      </c>
      <c r="O28" s="77"/>
      <c r="P28" s="77"/>
      <c r="Q28" s="7" t="s">
        <v>104</v>
      </c>
      <c r="R28" s="10" t="s">
        <v>98</v>
      </c>
      <c r="S28" s="127">
        <f>AB19</f>
        <v>100</v>
      </c>
      <c r="T28" s="77"/>
      <c r="U28" s="77"/>
      <c r="V28" s="7" t="str">
        <f>IF(AND(H19="B",AF4&lt;3),IF(H2="(一般部)","","× 2"),IF(AND(H19="A",AF4&gt;=3),IF(H2="(一般部)","× 0.80 × 0.80","× 0.80 × 0.80 × 2"),IF(H2="(一般部)","× 0.80","× 0.80 × 2")))</f>
        <v>× 0.80 × 2</v>
      </c>
      <c r="AH28" s="7" t="s">
        <v>99</v>
      </c>
      <c r="AI28" s="79">
        <f>IF(AND(H19="B",AF4&lt;3),IF(H2="(一般部)",(F28*J28+N28)*S28,(F28*J28+N28)*S28*2),IF(AND(H19="A",AF4&gt;=3),IF(H2="(一般部)",(F28*J28+N28)*S28*0.8*0.8,(F28*J28+N28)*S28*0.8*0.8*2),IF(H2="(一般部)",(F28*J28+N28)*S28*0.8,(F28*J28+N28)*S28*0.8*2)))</f>
        <v>44.8</v>
      </c>
      <c r="AJ28" s="79"/>
      <c r="AK28" s="79"/>
      <c r="AL28" s="79"/>
      <c r="AM28" s="7" t="s">
        <v>18</v>
      </c>
    </row>
    <row r="29" spans="1:37" ht="22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2.5" customHeight="1">
      <c r="A30" s="7"/>
      <c r="B30" s="3" t="s">
        <v>223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2.5" customHeight="1">
      <c r="A31" s="10"/>
      <c r="B31" s="10"/>
      <c r="C31" s="10" t="s">
        <v>139</v>
      </c>
      <c r="D31" s="10"/>
      <c r="E31" s="10"/>
      <c r="F31" s="10"/>
      <c r="G31" s="10"/>
      <c r="H31" s="10"/>
      <c r="I31" s="10"/>
      <c r="J31" s="158" t="s">
        <v>40</v>
      </c>
      <c r="K31" s="10"/>
      <c r="L31" s="126"/>
      <c r="M31" s="78"/>
      <c r="N31" s="10"/>
      <c r="O31" s="7"/>
      <c r="P31" s="7"/>
      <c r="Q31" s="7"/>
      <c r="R31" s="7"/>
      <c r="S31" s="7"/>
      <c r="T31" s="7"/>
      <c r="U31" s="7"/>
      <c r="V31" s="7"/>
      <c r="W31" s="7"/>
      <c r="X31" s="7"/>
      <c r="Y31" s="10"/>
      <c r="Z31" s="10"/>
      <c r="AA31" s="10"/>
      <c r="AB31" s="10"/>
      <c r="AC31" s="7"/>
      <c r="AD31" s="7"/>
      <c r="AE31" s="7"/>
      <c r="AF31" s="7"/>
      <c r="AG31" s="7"/>
      <c r="AH31" s="7"/>
      <c r="AI31" s="7"/>
      <c r="AJ31" s="7"/>
      <c r="AK31" s="7"/>
    </row>
    <row r="32" spans="1:38" ht="22.5" customHeight="1">
      <c r="A32" s="7"/>
      <c r="B32" s="7"/>
      <c r="C32" s="10" t="s">
        <v>140</v>
      </c>
      <c r="D32" s="115"/>
      <c r="E32" s="83"/>
      <c r="F32" s="83"/>
      <c r="G32" s="83"/>
      <c r="H32" s="83"/>
      <c r="I32" s="83"/>
      <c r="J32" s="79"/>
      <c r="K32" s="79"/>
      <c r="L32" s="7"/>
      <c r="M32" s="7"/>
      <c r="N32" s="147" t="s">
        <v>141</v>
      </c>
      <c r="O32" s="86"/>
      <c r="P32" s="7"/>
      <c r="Q32" s="203">
        <v>24</v>
      </c>
      <c r="R32" s="163"/>
      <c r="S32" s="163"/>
      <c r="T32" s="83" t="s">
        <v>142</v>
      </c>
      <c r="U32" s="84"/>
      <c r="V32" s="7"/>
      <c r="W32" s="145" t="s">
        <v>143</v>
      </c>
      <c r="X32" s="7"/>
      <c r="Y32" s="145"/>
      <c r="Z32" s="145"/>
      <c r="AA32" s="145"/>
      <c r="AB32" s="145"/>
      <c r="AC32" s="145"/>
      <c r="AD32" s="145"/>
      <c r="AE32" s="145"/>
      <c r="AF32" s="73"/>
      <c r="AG32" s="73"/>
      <c r="AH32" s="7"/>
      <c r="AI32" s="159" t="s">
        <v>144</v>
      </c>
      <c r="AJ32" s="145"/>
      <c r="AK32" s="204">
        <v>7</v>
      </c>
      <c r="AL32" s="204"/>
    </row>
    <row r="33" spans="1:37" ht="22.5" customHeight="1">
      <c r="A33" s="7"/>
      <c r="B33" s="7"/>
      <c r="C33" s="7" t="s">
        <v>145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147" t="s">
        <v>146</v>
      </c>
      <c r="O33" s="7"/>
      <c r="P33" s="7"/>
      <c r="Q33" s="147" t="s">
        <v>147</v>
      </c>
      <c r="R33" s="70"/>
      <c r="S33" s="70"/>
      <c r="T33" s="128">
        <f>IF(J31="合成",3.5,IF(J31="非合成",3,"ERROR"))</f>
        <v>3</v>
      </c>
      <c r="U33" s="128"/>
      <c r="V33" s="129" t="s">
        <v>99</v>
      </c>
      <c r="W33" s="127">
        <f>Q32</f>
        <v>24</v>
      </c>
      <c r="X33" s="127"/>
      <c r="Y33" s="80" t="s">
        <v>116</v>
      </c>
      <c r="Z33" s="128">
        <f>T33</f>
        <v>3</v>
      </c>
      <c r="AA33" s="128"/>
      <c r="AB33" s="7" t="s">
        <v>99</v>
      </c>
      <c r="AC33" s="77">
        <f>W33/Z33</f>
        <v>8</v>
      </c>
      <c r="AD33" s="77"/>
      <c r="AE33" s="77"/>
      <c r="AF33" s="83" t="s">
        <v>142</v>
      </c>
      <c r="AG33" s="84"/>
      <c r="AH33" s="7"/>
      <c r="AI33" s="7"/>
      <c r="AJ33" s="7"/>
      <c r="AK33" s="7"/>
    </row>
    <row r="34" spans="1:37" ht="22.5" customHeight="1">
      <c r="A34" s="7"/>
      <c r="B34" s="7"/>
      <c r="C34" s="145" t="s">
        <v>148</v>
      </c>
      <c r="D34" s="145"/>
      <c r="E34" s="145"/>
      <c r="F34" s="145"/>
      <c r="G34" s="145" t="s">
        <v>149</v>
      </c>
      <c r="H34" s="145"/>
      <c r="I34" s="204">
        <v>295</v>
      </c>
      <c r="J34" s="204"/>
      <c r="K34" s="145" t="s">
        <v>104</v>
      </c>
      <c r="L34" s="7"/>
      <c r="M34" s="7"/>
      <c r="N34" s="147" t="s">
        <v>150</v>
      </c>
      <c r="O34" s="145"/>
      <c r="P34" s="7"/>
      <c r="Q34" s="70">
        <v>140</v>
      </c>
      <c r="R34" s="70"/>
      <c r="S34" s="70"/>
      <c r="T34" s="87" t="s">
        <v>123</v>
      </c>
      <c r="U34" s="70">
        <v>120</v>
      </c>
      <c r="V34" s="70"/>
      <c r="W34" s="7" t="s">
        <v>104</v>
      </c>
      <c r="X34" s="83" t="s">
        <v>142</v>
      </c>
      <c r="Y34" s="7"/>
      <c r="Z34" s="84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2.5" customHeight="1">
      <c r="A35" s="7"/>
      <c r="B35" s="7"/>
      <c r="C35" s="145"/>
      <c r="D35" s="145"/>
      <c r="E35" s="145"/>
      <c r="F35" s="145"/>
      <c r="G35" s="145"/>
      <c r="H35" s="145"/>
      <c r="I35" s="146"/>
      <c r="J35" s="146"/>
      <c r="K35" s="145"/>
      <c r="L35" s="147"/>
      <c r="M35" s="145"/>
      <c r="N35" s="7"/>
      <c r="O35" s="70"/>
      <c r="P35" s="70"/>
      <c r="Q35" s="70"/>
      <c r="R35" s="82" t="s">
        <v>151</v>
      </c>
      <c r="S35" s="70"/>
      <c r="T35" s="70"/>
      <c r="U35" s="70"/>
      <c r="V35" s="7"/>
      <c r="W35" s="83"/>
      <c r="X35" s="84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2.5" customHeight="1">
      <c r="A36" s="7"/>
      <c r="B36" s="7"/>
      <c r="C36" s="145"/>
      <c r="D36" s="145"/>
      <c r="E36" s="145"/>
      <c r="F36" s="145"/>
      <c r="G36" s="145"/>
      <c r="H36" s="145"/>
      <c r="I36" s="146"/>
      <c r="J36" s="146"/>
      <c r="K36" s="145"/>
      <c r="L36" s="147"/>
      <c r="M36" s="145"/>
      <c r="N36" s="7"/>
      <c r="O36" s="70"/>
      <c r="P36" s="70"/>
      <c r="Q36" s="70"/>
      <c r="R36" s="7"/>
      <c r="S36" s="70"/>
      <c r="T36" s="70"/>
      <c r="U36" s="70"/>
      <c r="V36" s="7"/>
      <c r="W36" s="83"/>
      <c r="X36" s="84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ht="22.5" customHeight="1">
      <c r="C37" s="56" t="s">
        <v>287</v>
      </c>
    </row>
    <row r="38" spans="24:33" s="74" customFormat="1" ht="16.5" customHeight="1">
      <c r="X38" s="74" t="s">
        <v>112</v>
      </c>
      <c r="AB38" s="74" t="s">
        <v>112</v>
      </c>
      <c r="AG38" s="74" t="s">
        <v>112</v>
      </c>
    </row>
    <row r="39" spans="4:25" s="2" customFormat="1" ht="21.75" customHeight="1">
      <c r="D39" s="2" t="s">
        <v>153</v>
      </c>
      <c r="M39" s="74" t="s">
        <v>154</v>
      </c>
      <c r="N39" s="74"/>
      <c r="O39" s="70">
        <f>L13*100</f>
        <v>30</v>
      </c>
      <c r="P39" s="15"/>
      <c r="Q39" s="15"/>
      <c r="R39" s="74" t="s">
        <v>155</v>
      </c>
      <c r="S39" s="11"/>
      <c r="W39" s="11"/>
      <c r="X39" s="11"/>
      <c r="Y39" s="11"/>
    </row>
    <row r="40" spans="4:25" s="2" customFormat="1" ht="21.75" customHeight="1">
      <c r="D40" s="2" t="s">
        <v>156</v>
      </c>
      <c r="M40" s="72" t="s">
        <v>157</v>
      </c>
      <c r="N40" s="68"/>
      <c r="O40" s="70">
        <f>O39-O42</f>
        <v>26</v>
      </c>
      <c r="P40" s="15"/>
      <c r="Q40" s="15"/>
      <c r="R40" s="74" t="s">
        <v>155</v>
      </c>
      <c r="S40" s="11"/>
      <c r="W40" s="11"/>
      <c r="X40" s="11"/>
      <c r="Y40" s="11"/>
    </row>
    <row r="41" spans="4:25" s="2" customFormat="1" ht="21.75" customHeight="1">
      <c r="D41" s="8" t="s">
        <v>158</v>
      </c>
      <c r="E41" s="18"/>
      <c r="F41" s="148"/>
      <c r="G41" s="18"/>
      <c r="H41" s="18"/>
      <c r="M41" s="73" t="s">
        <v>159</v>
      </c>
      <c r="N41" s="68"/>
      <c r="O41" s="203">
        <v>4</v>
      </c>
      <c r="P41" s="163"/>
      <c r="Q41" s="163"/>
      <c r="R41" s="74" t="s">
        <v>155</v>
      </c>
      <c r="S41" s="11"/>
      <c r="W41" s="11"/>
      <c r="X41" s="11"/>
      <c r="Y41" s="11"/>
    </row>
    <row r="42" spans="4:25" s="2" customFormat="1" ht="21.75" customHeight="1">
      <c r="D42" s="8" t="s">
        <v>160</v>
      </c>
      <c r="G42" s="149"/>
      <c r="H42" s="149"/>
      <c r="M42" s="73" t="s">
        <v>161</v>
      </c>
      <c r="N42" s="68"/>
      <c r="O42" s="203">
        <v>4</v>
      </c>
      <c r="P42" s="163"/>
      <c r="Q42" s="163"/>
      <c r="R42" s="74" t="s">
        <v>155</v>
      </c>
      <c r="S42" s="11"/>
      <c r="W42" s="11"/>
      <c r="X42" s="11"/>
      <c r="Y42" s="11"/>
    </row>
    <row r="43" spans="4:18" s="2" customFormat="1" ht="21.75" customHeight="1">
      <c r="D43" s="2" t="s">
        <v>162</v>
      </c>
      <c r="M43" s="18" t="s">
        <v>163</v>
      </c>
      <c r="N43" s="18"/>
      <c r="O43" s="70">
        <v>100</v>
      </c>
      <c r="P43" s="15"/>
      <c r="Q43" s="15"/>
      <c r="R43" s="74" t="s">
        <v>155</v>
      </c>
    </row>
    <row r="44" spans="4:40" s="2" customFormat="1" ht="21.75" customHeight="1">
      <c r="D44" s="74" t="s">
        <v>164</v>
      </c>
      <c r="E44" s="74"/>
      <c r="F44" s="74"/>
      <c r="G44" s="74"/>
      <c r="H44" s="74"/>
      <c r="J44" s="74" t="s">
        <v>19</v>
      </c>
      <c r="K44" s="74"/>
      <c r="L44" s="73">
        <v>19</v>
      </c>
      <c r="M44" s="68"/>
      <c r="N44" s="144"/>
      <c r="O44" s="74"/>
      <c r="P44" s="74" t="s">
        <v>20</v>
      </c>
      <c r="Q44" s="74"/>
      <c r="S44" s="203">
        <v>125</v>
      </c>
      <c r="T44" s="163"/>
      <c r="U44" s="163"/>
      <c r="V44" s="74" t="s">
        <v>100</v>
      </c>
      <c r="Y44" s="74" t="s">
        <v>165</v>
      </c>
      <c r="Z44" s="74"/>
      <c r="AA44" s="74"/>
      <c r="AB44" s="74"/>
      <c r="AC44" s="74"/>
      <c r="AD44" s="74"/>
      <c r="AE44" s="74"/>
      <c r="AH44" s="74" t="s">
        <v>166</v>
      </c>
      <c r="AI44" s="74"/>
      <c r="AJ44" s="75">
        <f>IF(L44=13,1.267*1000/S44,IF(L44=16,1.986*1000/S44,IF(L44=19,2.865*1000/S44,IF(L44=22,3.871*1000/S44,IF(L44=25,5.067*1000/S44,IF(L44=29,6.424*1000/S44,7.942*1000/S44))))))</f>
        <v>22.92</v>
      </c>
      <c r="AK44" s="153"/>
      <c r="AL44" s="153"/>
      <c r="AM44" s="153"/>
      <c r="AN44" s="74" t="s">
        <v>167</v>
      </c>
    </row>
    <row r="45" spans="4:40" s="2" customFormat="1" ht="21.75" customHeight="1">
      <c r="D45" s="74" t="s">
        <v>168</v>
      </c>
      <c r="E45" s="74"/>
      <c r="F45" s="74"/>
      <c r="G45" s="74"/>
      <c r="H45" s="74"/>
      <c r="I45" s="74"/>
      <c r="J45" s="74" t="s">
        <v>19</v>
      </c>
      <c r="K45" s="74"/>
      <c r="L45" s="73">
        <v>19</v>
      </c>
      <c r="M45" s="68"/>
      <c r="N45" s="144"/>
      <c r="O45" s="74"/>
      <c r="P45" s="74" t="s">
        <v>20</v>
      </c>
      <c r="Q45" s="74"/>
      <c r="S45" s="203">
        <v>250</v>
      </c>
      <c r="T45" s="163"/>
      <c r="U45" s="163"/>
      <c r="V45" s="74" t="s">
        <v>100</v>
      </c>
      <c r="X45" s="74"/>
      <c r="Y45" s="74" t="s">
        <v>169</v>
      </c>
      <c r="Z45" s="74"/>
      <c r="AA45" s="74"/>
      <c r="AB45" s="74"/>
      <c r="AC45" s="74"/>
      <c r="AD45" s="74"/>
      <c r="AE45" s="74"/>
      <c r="AH45" s="74" t="s">
        <v>170</v>
      </c>
      <c r="AI45" s="74"/>
      <c r="AJ45" s="75">
        <f>IF(L45=13,1.267*1000/S45,IF(L45=16,1.986*1000/S45,IF(L45=19,2.865*1000/S45,IF(L45=22,3.871*1000/S45,IF(L45=25,5.067*1000/S45,IF(L45=29,6.424*1000/S45,7.942*1000/S45))))))</f>
        <v>11.46</v>
      </c>
      <c r="AK45" s="153"/>
      <c r="AL45" s="153"/>
      <c r="AM45" s="153"/>
      <c r="AN45" s="74" t="s">
        <v>167</v>
      </c>
    </row>
    <row r="46" spans="3:13" s="74" customFormat="1" ht="16.5" customHeight="1">
      <c r="C46" s="74" t="s">
        <v>171</v>
      </c>
      <c r="K46" s="154"/>
      <c r="L46" s="154"/>
      <c r="M46" s="154"/>
    </row>
    <row r="47" spans="4:13" s="74" customFormat="1" ht="16.5" customHeight="1">
      <c r="D47" s="74" t="s">
        <v>172</v>
      </c>
      <c r="K47" s="154"/>
      <c r="L47" s="154"/>
      <c r="M47" s="154"/>
    </row>
    <row r="48" spans="5:13" s="74" customFormat="1" ht="16.5" customHeight="1">
      <c r="E48" s="74" t="str">
        <f>"= -"&amp;$AK$32&amp;"×("&amp;ROUND(AJ44,2)&amp;" + "&amp;ROUND(AJ45,2)&amp;")/100 + √[ {"&amp;$AK$32&amp;"×("&amp;ROUND(AJ44,2)&amp;" + "&amp;ROUND(AJ45,2)&amp;")/100}^2 + 2×"&amp;$AK$32&amp;"×("&amp;O40&amp;"×"&amp;ROUND(AJ44,2)&amp;" + "&amp;O41&amp;"×"&amp;ROUND(AJ45,2)&amp;")/100 ]"</f>
        <v>= -7×(22.92 + 11.46)/100 + √[ {7×(22.92 + 11.46)/100}^2 + 2×7×(26×22.92 + 4×11.46)/100 ]</v>
      </c>
      <c r="K48" s="154"/>
      <c r="L48" s="154"/>
      <c r="M48" s="154"/>
    </row>
    <row r="49" spans="5:13" s="74" customFormat="1" ht="16.5" customHeight="1">
      <c r="E49" s="74" t="s">
        <v>99</v>
      </c>
      <c r="F49" s="61">
        <f>-$AK$32*(AJ44+AJ45)/100+SQRT(($AK$32*(AJ44+AJ45)/100)^2+2*$AK$32*(O40*AJ44+O41*AJ45)/100)</f>
        <v>7.372874605519461</v>
      </c>
      <c r="G49" s="55"/>
      <c r="H49" s="55"/>
      <c r="I49" s="74" t="s">
        <v>155</v>
      </c>
      <c r="K49" s="154"/>
      <c r="L49" s="154"/>
      <c r="M49" s="154"/>
    </row>
    <row r="50" spans="3:13" s="74" customFormat="1" ht="16.5" customHeight="1">
      <c r="C50" s="74" t="s">
        <v>173</v>
      </c>
      <c r="K50" s="154"/>
      <c r="L50" s="154"/>
      <c r="M50" s="154"/>
    </row>
    <row r="51" spans="4:13" s="74" customFormat="1" ht="16.5" customHeight="1">
      <c r="D51" s="74" t="s">
        <v>174</v>
      </c>
      <c r="K51" s="154"/>
      <c r="L51" s="154"/>
      <c r="M51" s="154"/>
    </row>
    <row r="52" spans="5:13" s="74" customFormat="1" ht="16.5" customHeight="1">
      <c r="E52" s="74" t="str">
        <f>"= ( 100 × "&amp;ROUND(F49,2)&amp;" / 2 ) × ( "&amp;O40&amp;" - "&amp;ROUND(F49,2)&amp;" / 3 ) + "&amp;$AK$32&amp;" × "&amp;ROUND(AJ45,2)&amp;" ×( "&amp;ROUND(F49,2)&amp;" - "&amp;O41&amp;" ) / "&amp;ROUND(F49,2)&amp;" ×( "&amp;O40&amp;" - "&amp;O41&amp;" )"</f>
        <v>= ( 100 × 7.37 / 2 ) × ( 26 - 7.37 / 3 ) + 7 × 11.46 ×( 7.37 - 4 ) / 7.37 ×( 26 - 4 )</v>
      </c>
      <c r="K52" s="154"/>
      <c r="L52" s="154"/>
      <c r="M52" s="154"/>
    </row>
    <row r="53" spans="5:13" s="74" customFormat="1" ht="16.5" customHeight="1">
      <c r="E53" s="74" t="s">
        <v>99</v>
      </c>
      <c r="F53" s="155">
        <f>(100*ROUND(F49,2)/2)*(O40-ROUND(F49,2)/3)+$AK$32*AJ45*(ROUND(F49,2)-O41)/ROUND(F49,2)*(O40-O41)</f>
        <v>9482.707587064675</v>
      </c>
      <c r="G53" s="155"/>
      <c r="H53" s="155"/>
      <c r="I53" s="155"/>
      <c r="J53" s="74" t="s">
        <v>175</v>
      </c>
      <c r="K53" s="154"/>
      <c r="L53" s="154"/>
      <c r="M53" s="154"/>
    </row>
    <row r="54" spans="3:13" s="74" customFormat="1" ht="16.5" customHeight="1">
      <c r="C54" s="74" t="s">
        <v>176</v>
      </c>
      <c r="K54" s="154"/>
      <c r="L54" s="154"/>
      <c r="M54" s="154"/>
    </row>
    <row r="55" spans="4:13" s="74" customFormat="1" ht="16.5" customHeight="1">
      <c r="D55" s="74" t="s">
        <v>177</v>
      </c>
      <c r="K55" s="154"/>
      <c r="L55" s="154"/>
      <c r="M55" s="154"/>
    </row>
    <row r="56" spans="4:13" s="74" customFormat="1" ht="16.5" customHeight="1">
      <c r="D56" s="137" t="str">
        <f>"= (1/"&amp;$AK$32&amp;")×( "&amp;ROUND(F49,2)&amp;" / ( "&amp;O40&amp;"- "&amp;ROUND(F49,2)&amp;" ))×"&amp;ROUND(F53,1)</f>
        <v>= (1/7)×( 7.37 / ( 26- 7.37 ))×9482.7</v>
      </c>
      <c r="K56" s="154"/>
      <c r="L56" s="154"/>
      <c r="M56" s="154"/>
    </row>
    <row r="57" spans="4:13" s="74" customFormat="1" ht="16.5" customHeight="1">
      <c r="D57" s="74" t="s">
        <v>99</v>
      </c>
      <c r="E57" s="155">
        <f>1/$AK$32*(ROUND(F49,2)/(O40-ROUND(F49,2)))*ROUND(F53,1)</f>
        <v>535.905981136416</v>
      </c>
      <c r="F57" s="155"/>
      <c r="G57" s="155"/>
      <c r="H57" s="155"/>
      <c r="I57" s="74" t="s">
        <v>175</v>
      </c>
      <c r="K57" s="154"/>
      <c r="L57" s="154"/>
      <c r="M57" s="154"/>
    </row>
    <row r="58" spans="11:13" s="74" customFormat="1" ht="16.5" customHeight="1">
      <c r="K58" s="154"/>
      <c r="L58" s="154"/>
      <c r="M58" s="154"/>
    </row>
    <row r="59" spans="3:23" s="74" customFormat="1" ht="16.5" customHeight="1">
      <c r="C59" s="74" t="s">
        <v>178</v>
      </c>
      <c r="K59" s="76" t="s">
        <v>179</v>
      </c>
      <c r="L59" s="154"/>
      <c r="M59" s="154"/>
      <c r="W59" s="156"/>
    </row>
    <row r="60" spans="3:17" s="74" customFormat="1" ht="16.5" customHeight="1">
      <c r="C60" s="74" t="s">
        <v>180</v>
      </c>
      <c r="K60" s="74" t="s">
        <v>181</v>
      </c>
      <c r="L60" s="154"/>
      <c r="M60" s="154"/>
      <c r="Q60" s="74" t="s">
        <v>182</v>
      </c>
    </row>
    <row r="61" spans="11:13" s="74" customFormat="1" ht="16.5" customHeight="1">
      <c r="K61" s="154"/>
      <c r="L61" s="154"/>
      <c r="M61" s="154"/>
    </row>
    <row r="62" spans="1:42" s="74" customFormat="1" ht="16.5" customHeight="1">
      <c r="A62" s="3"/>
      <c r="B62" s="3"/>
      <c r="C62" s="168" t="s">
        <v>183</v>
      </c>
      <c r="D62" s="168"/>
      <c r="E62" s="168"/>
      <c r="F62" s="168"/>
      <c r="G62" s="168"/>
      <c r="H62" s="168"/>
      <c r="I62" s="168"/>
      <c r="J62" s="168"/>
      <c r="K62" s="168"/>
      <c r="L62" s="176" t="s">
        <v>184</v>
      </c>
      <c r="M62" s="177"/>
      <c r="N62" s="177"/>
      <c r="O62" s="177"/>
      <c r="P62" s="178"/>
      <c r="Q62" s="168" t="s">
        <v>185</v>
      </c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 t="s">
        <v>186</v>
      </c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72" t="s">
        <v>187</v>
      </c>
      <c r="AN62" s="173"/>
      <c r="AO62" s="173"/>
      <c r="AP62" s="174"/>
    </row>
    <row r="63" spans="1:42" s="74" customFormat="1" ht="16.5" customHeight="1">
      <c r="A63" s="3"/>
      <c r="B63" s="3"/>
      <c r="C63" s="168"/>
      <c r="D63" s="168"/>
      <c r="E63" s="168"/>
      <c r="F63" s="168"/>
      <c r="G63" s="168"/>
      <c r="H63" s="168"/>
      <c r="I63" s="168"/>
      <c r="J63" s="168"/>
      <c r="K63" s="168"/>
      <c r="L63" s="179" t="s">
        <v>188</v>
      </c>
      <c r="M63" s="180"/>
      <c r="N63" s="180"/>
      <c r="O63" s="180"/>
      <c r="P63" s="181"/>
      <c r="Q63" s="168" t="s">
        <v>189</v>
      </c>
      <c r="R63" s="168"/>
      <c r="S63" s="168"/>
      <c r="T63" s="168"/>
      <c r="U63" s="168" t="s">
        <v>187</v>
      </c>
      <c r="V63" s="168"/>
      <c r="W63" s="168"/>
      <c r="X63" s="168"/>
      <c r="Y63" s="168" t="s">
        <v>190</v>
      </c>
      <c r="Z63" s="168"/>
      <c r="AA63" s="168"/>
      <c r="AB63" s="168" t="s">
        <v>189</v>
      </c>
      <c r="AC63" s="168"/>
      <c r="AD63" s="168"/>
      <c r="AE63" s="168"/>
      <c r="AF63" s="168" t="s">
        <v>187</v>
      </c>
      <c r="AG63" s="168"/>
      <c r="AH63" s="168"/>
      <c r="AI63" s="168"/>
      <c r="AJ63" s="168" t="s">
        <v>190</v>
      </c>
      <c r="AK63" s="168"/>
      <c r="AL63" s="168"/>
      <c r="AM63" s="151" t="s">
        <v>191</v>
      </c>
      <c r="AN63" s="152"/>
      <c r="AO63" s="152"/>
      <c r="AP63" s="134"/>
    </row>
    <row r="64" spans="1:42" s="74" customFormat="1" ht="22.5" customHeight="1">
      <c r="A64" s="3"/>
      <c r="B64" s="3"/>
      <c r="C64" s="167" t="s">
        <v>192</v>
      </c>
      <c r="D64" s="167"/>
      <c r="E64" s="167"/>
      <c r="F64" s="167"/>
      <c r="G64" s="167"/>
      <c r="H64" s="167"/>
      <c r="I64" s="167"/>
      <c r="J64" s="167"/>
      <c r="K64" s="167"/>
      <c r="L64" s="182">
        <f>Z16</f>
        <v>5.2704</v>
      </c>
      <c r="M64" s="183"/>
      <c r="N64" s="183"/>
      <c r="O64" s="183"/>
      <c r="P64" s="184"/>
      <c r="Q64" s="168" t="s">
        <v>122</v>
      </c>
      <c r="R64" s="168"/>
      <c r="S64" s="168"/>
      <c r="T64" s="168"/>
      <c r="U64" s="168" t="s">
        <v>122</v>
      </c>
      <c r="V64" s="168"/>
      <c r="W64" s="168"/>
      <c r="X64" s="168"/>
      <c r="Y64" s="168" t="s">
        <v>122</v>
      </c>
      <c r="Z64" s="168"/>
      <c r="AA64" s="168"/>
      <c r="AB64" s="168" t="s">
        <v>122</v>
      </c>
      <c r="AC64" s="168"/>
      <c r="AD64" s="168"/>
      <c r="AE64" s="168"/>
      <c r="AF64" s="168" t="s">
        <v>122</v>
      </c>
      <c r="AG64" s="168"/>
      <c r="AH64" s="168"/>
      <c r="AI64" s="168"/>
      <c r="AJ64" s="168" t="s">
        <v>122</v>
      </c>
      <c r="AK64" s="168"/>
      <c r="AL64" s="168"/>
      <c r="AM64" s="168" t="s">
        <v>122</v>
      </c>
      <c r="AN64" s="168"/>
      <c r="AO64" s="168"/>
      <c r="AP64" s="168"/>
    </row>
    <row r="65" spans="1:42" s="74" customFormat="1" ht="22.5" customHeight="1">
      <c r="A65" s="3"/>
      <c r="B65" s="3"/>
      <c r="C65" s="167" t="s">
        <v>193</v>
      </c>
      <c r="D65" s="167"/>
      <c r="E65" s="167"/>
      <c r="F65" s="167"/>
      <c r="G65" s="167"/>
      <c r="H65" s="167"/>
      <c r="I65" s="167"/>
      <c r="J65" s="167"/>
      <c r="K65" s="167"/>
      <c r="L65" s="169">
        <f>AI25</f>
        <v>57.28</v>
      </c>
      <c r="M65" s="170"/>
      <c r="N65" s="170"/>
      <c r="O65" s="170"/>
      <c r="P65" s="171"/>
      <c r="Q65" s="168" t="s">
        <v>122</v>
      </c>
      <c r="R65" s="168"/>
      <c r="S65" s="168"/>
      <c r="T65" s="168"/>
      <c r="U65" s="168" t="s">
        <v>122</v>
      </c>
      <c r="V65" s="168"/>
      <c r="W65" s="168"/>
      <c r="X65" s="168"/>
      <c r="Y65" s="168" t="s">
        <v>122</v>
      </c>
      <c r="Z65" s="168"/>
      <c r="AA65" s="168"/>
      <c r="AB65" s="168" t="s">
        <v>122</v>
      </c>
      <c r="AC65" s="168"/>
      <c r="AD65" s="168"/>
      <c r="AE65" s="168"/>
      <c r="AF65" s="168" t="s">
        <v>122</v>
      </c>
      <c r="AG65" s="168"/>
      <c r="AH65" s="168"/>
      <c r="AI65" s="168"/>
      <c r="AJ65" s="168" t="s">
        <v>122</v>
      </c>
      <c r="AK65" s="168"/>
      <c r="AL65" s="168"/>
      <c r="AM65" s="168" t="s">
        <v>122</v>
      </c>
      <c r="AN65" s="168"/>
      <c r="AO65" s="168"/>
      <c r="AP65" s="168"/>
    </row>
    <row r="66" spans="3:42" ht="22.5" customHeight="1">
      <c r="C66" s="167" t="s">
        <v>196</v>
      </c>
      <c r="D66" s="167"/>
      <c r="E66" s="167"/>
      <c r="F66" s="167"/>
      <c r="G66" s="167"/>
      <c r="H66" s="167"/>
      <c r="I66" s="167"/>
      <c r="J66" s="167"/>
      <c r="K66" s="167"/>
      <c r="L66" s="169">
        <f>L64+L65</f>
        <v>62.5504</v>
      </c>
      <c r="M66" s="170"/>
      <c r="N66" s="170"/>
      <c r="O66" s="170"/>
      <c r="P66" s="171"/>
      <c r="Q66" s="150">
        <f>ABS(L66)/F53*1000</f>
        <v>6.59625949927263</v>
      </c>
      <c r="R66" s="150"/>
      <c r="S66" s="150"/>
      <c r="T66" s="150"/>
      <c r="U66" s="150">
        <f>$AC$33</f>
        <v>8</v>
      </c>
      <c r="V66" s="150"/>
      <c r="W66" s="150"/>
      <c r="X66" s="150"/>
      <c r="Y66" s="168" t="str">
        <f>IF(Q66&lt;=U66,"O.K.","N.G.")</f>
        <v>O.K.</v>
      </c>
      <c r="Z66" s="168"/>
      <c r="AA66" s="168"/>
      <c r="AB66" s="150">
        <f>ABS(L66)/E57*1000</f>
        <v>116.71898094393103</v>
      </c>
      <c r="AC66" s="150"/>
      <c r="AD66" s="150"/>
      <c r="AE66" s="150"/>
      <c r="AF66" s="232">
        <f>$U$34</f>
        <v>120</v>
      </c>
      <c r="AG66" s="232"/>
      <c r="AH66" s="232"/>
      <c r="AI66" s="232"/>
      <c r="AJ66" s="168" t="str">
        <f>IF(AB66&lt;=AF66,"O.K.","N.G.")</f>
        <v>O.K.</v>
      </c>
      <c r="AK66" s="168"/>
      <c r="AL66" s="168"/>
      <c r="AM66" s="150">
        <v>1</v>
      </c>
      <c r="AN66" s="150"/>
      <c r="AO66" s="150"/>
      <c r="AP66" s="150"/>
    </row>
    <row r="68" ht="22.5" customHeight="1">
      <c r="C68" s="56" t="s">
        <v>291</v>
      </c>
    </row>
    <row r="69" spans="24:33" s="74" customFormat="1" ht="16.5" customHeight="1">
      <c r="X69" s="74" t="s">
        <v>112</v>
      </c>
      <c r="AB69" s="74" t="s">
        <v>112</v>
      </c>
      <c r="AG69" s="74" t="s">
        <v>112</v>
      </c>
    </row>
    <row r="70" spans="4:25" s="2" customFormat="1" ht="21.75" customHeight="1">
      <c r="D70" s="2" t="s">
        <v>153</v>
      </c>
      <c r="M70" s="74" t="s">
        <v>154</v>
      </c>
      <c r="N70" s="74"/>
      <c r="O70" s="70">
        <f>O39</f>
        <v>30</v>
      </c>
      <c r="P70" s="15"/>
      <c r="Q70" s="15"/>
      <c r="R70" s="74" t="s">
        <v>155</v>
      </c>
      <c r="S70" s="11"/>
      <c r="W70" s="11"/>
      <c r="X70" s="11"/>
      <c r="Y70" s="11"/>
    </row>
    <row r="71" spans="4:25" s="2" customFormat="1" ht="21.75" customHeight="1">
      <c r="D71" s="2" t="s">
        <v>156</v>
      </c>
      <c r="M71" s="72" t="s">
        <v>157</v>
      </c>
      <c r="N71" s="68"/>
      <c r="O71" s="70">
        <f>O70-O73</f>
        <v>24.25</v>
      </c>
      <c r="P71" s="15"/>
      <c r="Q71" s="15"/>
      <c r="R71" s="74" t="s">
        <v>155</v>
      </c>
      <c r="S71" s="11"/>
      <c r="W71" s="11"/>
      <c r="X71" s="11"/>
      <c r="Y71" s="11"/>
    </row>
    <row r="72" spans="4:25" s="2" customFormat="1" ht="21.75" customHeight="1">
      <c r="D72" s="8" t="s">
        <v>158</v>
      </c>
      <c r="E72" s="18"/>
      <c r="F72" s="148"/>
      <c r="G72" s="18"/>
      <c r="H72" s="18"/>
      <c r="M72" s="73" t="s">
        <v>159</v>
      </c>
      <c r="N72" s="68"/>
      <c r="O72" s="70">
        <f>O41+(L44+L75)/10/2</f>
        <v>5.75</v>
      </c>
      <c r="P72" s="15"/>
      <c r="Q72" s="15"/>
      <c r="R72" s="74" t="s">
        <v>155</v>
      </c>
      <c r="S72" s="11"/>
      <c r="W72" s="11"/>
      <c r="X72" s="11"/>
      <c r="Y72" s="11"/>
    </row>
    <row r="73" spans="4:25" s="2" customFormat="1" ht="21.75" customHeight="1">
      <c r="D73" s="8" t="s">
        <v>160</v>
      </c>
      <c r="G73" s="149"/>
      <c r="H73" s="149"/>
      <c r="M73" s="73" t="s">
        <v>161</v>
      </c>
      <c r="N73" s="68"/>
      <c r="O73" s="70">
        <f>O42+(L45+L76)/10/2</f>
        <v>5.75</v>
      </c>
      <c r="P73" s="15"/>
      <c r="Q73" s="15"/>
      <c r="R73" s="74" t="s">
        <v>155</v>
      </c>
      <c r="S73" s="11"/>
      <c r="W73" s="11"/>
      <c r="X73" s="11"/>
      <c r="Y73" s="11"/>
    </row>
    <row r="74" spans="4:18" s="2" customFormat="1" ht="21.75" customHeight="1">
      <c r="D74" s="2" t="s">
        <v>162</v>
      </c>
      <c r="M74" s="18" t="s">
        <v>163</v>
      </c>
      <c r="N74" s="18"/>
      <c r="O74" s="70">
        <v>100</v>
      </c>
      <c r="P74" s="15"/>
      <c r="Q74" s="15"/>
      <c r="R74" s="74" t="s">
        <v>155</v>
      </c>
    </row>
    <row r="75" spans="4:40" s="2" customFormat="1" ht="21.75" customHeight="1">
      <c r="D75" s="74" t="s">
        <v>164</v>
      </c>
      <c r="E75" s="74"/>
      <c r="F75" s="74"/>
      <c r="G75" s="74"/>
      <c r="H75" s="74"/>
      <c r="J75" s="74" t="s">
        <v>19</v>
      </c>
      <c r="K75" s="74"/>
      <c r="L75" s="73">
        <v>16</v>
      </c>
      <c r="M75" s="68"/>
      <c r="N75" s="144"/>
      <c r="P75" s="74" t="s">
        <v>20</v>
      </c>
      <c r="R75" s="74"/>
      <c r="S75" s="203">
        <v>125</v>
      </c>
      <c r="T75" s="163"/>
      <c r="U75" s="163"/>
      <c r="V75" s="74" t="s">
        <v>100</v>
      </c>
      <c r="Y75" s="74" t="s">
        <v>165</v>
      </c>
      <c r="Z75" s="74"/>
      <c r="AA75" s="74"/>
      <c r="AB75" s="74"/>
      <c r="AC75" s="74"/>
      <c r="AD75" s="74"/>
      <c r="AE75" s="74"/>
      <c r="AH75" s="74" t="s">
        <v>166</v>
      </c>
      <c r="AI75" s="74"/>
      <c r="AJ75" s="75">
        <f>IF(L75=13,1.267*1000/S75,IF(L75=16,1.986*1000/S75,IF(L75=19,2.865*1000/S75,IF(L75=22,3.871*1000/S75,IF(L75=25,5.067*1000/S75,IF(L75=29,6.424*1000/S75,7.942*1000/S75))))))</f>
        <v>15.888</v>
      </c>
      <c r="AK75" s="153"/>
      <c r="AL75" s="153"/>
      <c r="AM75" s="153"/>
      <c r="AN75" s="74" t="s">
        <v>167</v>
      </c>
    </row>
    <row r="76" spans="4:40" s="2" customFormat="1" ht="21.75" customHeight="1">
      <c r="D76" s="74" t="s">
        <v>168</v>
      </c>
      <c r="E76" s="74"/>
      <c r="F76" s="74"/>
      <c r="G76" s="74"/>
      <c r="H76" s="74"/>
      <c r="I76" s="74"/>
      <c r="J76" s="74" t="s">
        <v>19</v>
      </c>
      <c r="K76" s="74"/>
      <c r="L76" s="73">
        <v>16</v>
      </c>
      <c r="M76" s="68"/>
      <c r="N76" s="144"/>
      <c r="P76" s="74" t="s">
        <v>20</v>
      </c>
      <c r="R76" s="74"/>
      <c r="S76" s="203">
        <v>250</v>
      </c>
      <c r="T76" s="163"/>
      <c r="U76" s="163"/>
      <c r="V76" s="74" t="s">
        <v>100</v>
      </c>
      <c r="X76" s="74"/>
      <c r="Y76" s="74" t="s">
        <v>169</v>
      </c>
      <c r="Z76" s="74"/>
      <c r="AA76" s="74"/>
      <c r="AB76" s="74"/>
      <c r="AC76" s="74"/>
      <c r="AD76" s="74"/>
      <c r="AE76" s="74"/>
      <c r="AH76" s="74" t="s">
        <v>170</v>
      </c>
      <c r="AI76" s="74"/>
      <c r="AJ76" s="75">
        <f>IF(L76=13,1.267*1000/S76,IF(L76=16,1.986*1000/S76,IF(L76=19,2.865*1000/S76,IF(L76=22,3.871*1000/S76,IF(L76=25,5.067*1000/S76,IF(L76=29,6.424*1000/S76,7.942*1000/S76))))))</f>
        <v>7.944</v>
      </c>
      <c r="AK76" s="153"/>
      <c r="AL76" s="153"/>
      <c r="AM76" s="153"/>
      <c r="AN76" s="74" t="s">
        <v>167</v>
      </c>
    </row>
    <row r="77" spans="3:13" s="74" customFormat="1" ht="16.5" customHeight="1">
      <c r="C77" s="74" t="s">
        <v>171</v>
      </c>
      <c r="K77" s="154"/>
      <c r="L77" s="154"/>
      <c r="M77" s="154"/>
    </row>
    <row r="78" spans="4:13" s="74" customFormat="1" ht="16.5" customHeight="1">
      <c r="D78" s="74" t="s">
        <v>172</v>
      </c>
      <c r="K78" s="154"/>
      <c r="L78" s="154"/>
      <c r="M78" s="154"/>
    </row>
    <row r="79" spans="5:13" s="74" customFormat="1" ht="16.5" customHeight="1">
      <c r="E79" s="74" t="str">
        <f>"= -"&amp;$AK$32&amp;"×("&amp;ROUND(AJ75,2)&amp;" + "&amp;ROUND(AJ76,2)&amp;")/100 + √[ {"&amp;$AK$32&amp;"×("&amp;ROUND(AJ75,2)&amp;" + "&amp;ROUND(AJ76,2)&amp;")/100}^2 + 2×"&amp;$AK$32&amp;"×("&amp;O71&amp;"×"&amp;ROUND(AJ75,2)&amp;" + "&amp;O72&amp;"×"&amp;ROUND(AJ76,2)&amp;")/100 ]"</f>
        <v>= -7×(15.89 + 7.94)/100 + √[ {7×(15.89 + 7.94)/100}^2 + 2×7×(24.25×15.89 + 5.75×7.94)/100 ]</v>
      </c>
      <c r="K79" s="154"/>
      <c r="L79" s="154"/>
      <c r="M79" s="154"/>
    </row>
    <row r="80" spans="5:13" s="74" customFormat="1" ht="16.5" customHeight="1">
      <c r="E80" s="74" t="s">
        <v>99</v>
      </c>
      <c r="F80" s="61">
        <f>-$AK$32*(AJ75+AJ76)/100+SQRT(($AK$32*(AJ75+AJ76)/100)^2+2*$AK$32*(O71*AJ75+O72*AJ76)/100)</f>
        <v>6.276425172151687</v>
      </c>
      <c r="G80" s="55"/>
      <c r="H80" s="55"/>
      <c r="I80" s="74" t="s">
        <v>155</v>
      </c>
      <c r="K80" s="154"/>
      <c r="L80" s="154"/>
      <c r="M80" s="154"/>
    </row>
    <row r="81" spans="3:13" s="74" customFormat="1" ht="16.5" customHeight="1">
      <c r="C81" s="74" t="s">
        <v>173</v>
      </c>
      <c r="K81" s="154"/>
      <c r="L81" s="154"/>
      <c r="M81" s="154"/>
    </row>
    <row r="82" spans="4:13" s="74" customFormat="1" ht="16.5" customHeight="1">
      <c r="D82" s="74" t="s">
        <v>174</v>
      </c>
      <c r="K82" s="154"/>
      <c r="L82" s="154"/>
      <c r="M82" s="154"/>
    </row>
    <row r="83" spans="5:13" s="74" customFormat="1" ht="16.5" customHeight="1">
      <c r="E83" s="74" t="str">
        <f>"= ( 100 × "&amp;ROUND(F80,2)&amp;" / 2 ) × ( "&amp;O71&amp;" - "&amp;ROUND(F80,2)&amp;" / 3 ) + "&amp;$AK$32&amp;"×"&amp;ROUND(AJ75,2)&amp;"×( "&amp;ROUND(F80,2)&amp;" - "&amp;O72&amp;" ) / "&amp;ROUND(F80,2)&amp;" ×( "&amp;O71&amp;" - "&amp;O72&amp;" )"</f>
        <v>= ( 100 × 6.28 / 2 ) × ( 24.25 - 6.28 / 3 ) + 7×15.89×( 6.28 - 5.75 ) / 6.28 ×( 24.25 - 5.75 )</v>
      </c>
      <c r="K83" s="154"/>
      <c r="L83" s="154"/>
      <c r="M83" s="154"/>
    </row>
    <row r="84" spans="5:13" s="74" customFormat="1" ht="16.5" customHeight="1">
      <c r="E84" s="74" t="s">
        <v>99</v>
      </c>
      <c r="F84" s="155">
        <f>(100*ROUND(F80,2)/2)*(O71-ROUND(F80,2)/3)+$AK$32*AJ76*(ROUND(F80,2)-O72)/ROUND(F80,2)*(O71-O72)</f>
        <v>7044.014422505308</v>
      </c>
      <c r="G84" s="155"/>
      <c r="H84" s="155"/>
      <c r="I84" s="155"/>
      <c r="J84" s="74" t="s">
        <v>175</v>
      </c>
      <c r="K84" s="154"/>
      <c r="L84" s="154"/>
      <c r="M84" s="154"/>
    </row>
    <row r="85" spans="3:13" s="74" customFormat="1" ht="16.5" customHeight="1">
      <c r="C85" s="74" t="s">
        <v>176</v>
      </c>
      <c r="K85" s="154"/>
      <c r="L85" s="154"/>
      <c r="M85" s="154"/>
    </row>
    <row r="86" spans="4:13" s="74" customFormat="1" ht="16.5" customHeight="1">
      <c r="D86" s="74" t="s">
        <v>177</v>
      </c>
      <c r="K86" s="154"/>
      <c r="L86" s="154"/>
      <c r="M86" s="154"/>
    </row>
    <row r="87" spans="4:13" s="74" customFormat="1" ht="16.5" customHeight="1">
      <c r="D87" s="137" t="str">
        <f>"= (1/"&amp;$AK$32&amp;")×( "&amp;ROUND(F80,2)&amp;" / ( "&amp;O71&amp;"- "&amp;ROUND(F80,2)&amp;" ))×"&amp;ROUND(F84,1)</f>
        <v>= (1/7)×( 6.28 / ( 24.25- 6.28 ))×7044</v>
      </c>
      <c r="K87" s="154"/>
      <c r="L87" s="154"/>
      <c r="M87" s="154"/>
    </row>
    <row r="88" spans="4:13" s="74" customFormat="1" ht="16.5" customHeight="1">
      <c r="D88" s="74" t="s">
        <v>99</v>
      </c>
      <c r="E88" s="155">
        <f>1/$AK$32*(ROUND(F80,2)/(O71-ROUND(F80,2)))*ROUND(F84,1)</f>
        <v>351.6680181254472</v>
      </c>
      <c r="F88" s="155"/>
      <c r="G88" s="155"/>
      <c r="H88" s="155"/>
      <c r="I88" s="74" t="s">
        <v>175</v>
      </c>
      <c r="K88" s="154"/>
      <c r="L88" s="154"/>
      <c r="M88" s="154"/>
    </row>
    <row r="89" spans="11:13" s="74" customFormat="1" ht="16.5" customHeight="1">
      <c r="K89" s="154"/>
      <c r="L89" s="154"/>
      <c r="M89" s="154"/>
    </row>
    <row r="90" spans="3:23" s="74" customFormat="1" ht="16.5" customHeight="1">
      <c r="C90" s="74" t="s">
        <v>178</v>
      </c>
      <c r="K90" s="76" t="s">
        <v>179</v>
      </c>
      <c r="L90" s="154"/>
      <c r="M90" s="154"/>
      <c r="W90" s="156"/>
    </row>
    <row r="91" spans="3:17" s="74" customFormat="1" ht="16.5" customHeight="1">
      <c r="C91" s="74" t="s">
        <v>180</v>
      </c>
      <c r="K91" s="74" t="s">
        <v>181</v>
      </c>
      <c r="L91" s="154"/>
      <c r="M91" s="154"/>
      <c r="Q91" s="74" t="s">
        <v>182</v>
      </c>
    </row>
    <row r="92" spans="11:13" s="74" customFormat="1" ht="16.5" customHeight="1">
      <c r="K92" s="154"/>
      <c r="L92" s="154"/>
      <c r="M92" s="154"/>
    </row>
    <row r="93" spans="1:42" s="74" customFormat="1" ht="16.5" customHeight="1">
      <c r="A93" s="3"/>
      <c r="B93" s="3"/>
      <c r="C93" s="168" t="s">
        <v>183</v>
      </c>
      <c r="D93" s="168"/>
      <c r="E93" s="168"/>
      <c r="F93" s="168"/>
      <c r="G93" s="168"/>
      <c r="H93" s="168"/>
      <c r="I93" s="168"/>
      <c r="J93" s="168"/>
      <c r="K93" s="168"/>
      <c r="L93" s="176" t="s">
        <v>184</v>
      </c>
      <c r="M93" s="177"/>
      <c r="N93" s="177"/>
      <c r="O93" s="177"/>
      <c r="P93" s="178"/>
      <c r="Q93" s="168" t="s">
        <v>185</v>
      </c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 t="s">
        <v>186</v>
      </c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72" t="s">
        <v>187</v>
      </c>
      <c r="AN93" s="173"/>
      <c r="AO93" s="173"/>
      <c r="AP93" s="174"/>
    </row>
    <row r="94" spans="1:42" s="74" customFormat="1" ht="16.5" customHeight="1">
      <c r="A94" s="3"/>
      <c r="B94" s="3"/>
      <c r="C94" s="168"/>
      <c r="D94" s="168"/>
      <c r="E94" s="168"/>
      <c r="F94" s="168"/>
      <c r="G94" s="168"/>
      <c r="H94" s="168"/>
      <c r="I94" s="168"/>
      <c r="J94" s="168"/>
      <c r="K94" s="168"/>
      <c r="L94" s="179" t="s">
        <v>188</v>
      </c>
      <c r="M94" s="180"/>
      <c r="N94" s="180"/>
      <c r="O94" s="180"/>
      <c r="P94" s="181"/>
      <c r="Q94" s="168" t="s">
        <v>189</v>
      </c>
      <c r="R94" s="168"/>
      <c r="S94" s="168"/>
      <c r="T94" s="168"/>
      <c r="U94" s="168" t="s">
        <v>187</v>
      </c>
      <c r="V94" s="168"/>
      <c r="W94" s="168"/>
      <c r="X94" s="168"/>
      <c r="Y94" s="168" t="s">
        <v>190</v>
      </c>
      <c r="Z94" s="168"/>
      <c r="AA94" s="168"/>
      <c r="AB94" s="168" t="s">
        <v>189</v>
      </c>
      <c r="AC94" s="168"/>
      <c r="AD94" s="168"/>
      <c r="AE94" s="168"/>
      <c r="AF94" s="168" t="s">
        <v>187</v>
      </c>
      <c r="AG94" s="168"/>
      <c r="AH94" s="168"/>
      <c r="AI94" s="168"/>
      <c r="AJ94" s="168" t="s">
        <v>190</v>
      </c>
      <c r="AK94" s="168"/>
      <c r="AL94" s="168"/>
      <c r="AM94" s="151" t="s">
        <v>191</v>
      </c>
      <c r="AN94" s="152"/>
      <c r="AO94" s="152"/>
      <c r="AP94" s="134"/>
    </row>
    <row r="95" spans="1:42" s="74" customFormat="1" ht="22.5" customHeight="1">
      <c r="A95" s="3"/>
      <c r="B95" s="3"/>
      <c r="C95" s="167" t="s">
        <v>192</v>
      </c>
      <c r="D95" s="167"/>
      <c r="E95" s="167"/>
      <c r="F95" s="167"/>
      <c r="G95" s="167"/>
      <c r="H95" s="167"/>
      <c r="I95" s="167"/>
      <c r="J95" s="167"/>
      <c r="K95" s="167"/>
      <c r="L95" s="182">
        <v>0</v>
      </c>
      <c r="M95" s="183"/>
      <c r="N95" s="183"/>
      <c r="O95" s="183"/>
      <c r="P95" s="184"/>
      <c r="Q95" s="168" t="s">
        <v>122</v>
      </c>
      <c r="R95" s="168"/>
      <c r="S95" s="168"/>
      <c r="T95" s="168"/>
      <c r="U95" s="168" t="s">
        <v>122</v>
      </c>
      <c r="V95" s="168"/>
      <c r="W95" s="168"/>
      <c r="X95" s="168"/>
      <c r="Y95" s="168" t="s">
        <v>122</v>
      </c>
      <c r="Z95" s="168"/>
      <c r="AA95" s="168"/>
      <c r="AB95" s="168" t="s">
        <v>122</v>
      </c>
      <c r="AC95" s="168"/>
      <c r="AD95" s="168"/>
      <c r="AE95" s="168"/>
      <c r="AF95" s="168" t="s">
        <v>122</v>
      </c>
      <c r="AG95" s="168"/>
      <c r="AH95" s="168"/>
      <c r="AI95" s="168"/>
      <c r="AJ95" s="168" t="s">
        <v>122</v>
      </c>
      <c r="AK95" s="168"/>
      <c r="AL95" s="168"/>
      <c r="AM95" s="168" t="s">
        <v>122</v>
      </c>
      <c r="AN95" s="168"/>
      <c r="AO95" s="168"/>
      <c r="AP95" s="168"/>
    </row>
    <row r="96" spans="1:42" s="74" customFormat="1" ht="22.5" customHeight="1">
      <c r="A96" s="3"/>
      <c r="B96" s="3"/>
      <c r="C96" s="167" t="s">
        <v>193</v>
      </c>
      <c r="D96" s="167"/>
      <c r="E96" s="167"/>
      <c r="F96" s="167"/>
      <c r="G96" s="167"/>
      <c r="H96" s="167"/>
      <c r="I96" s="167"/>
      <c r="J96" s="167"/>
      <c r="K96" s="167"/>
      <c r="L96" s="169">
        <f>AI28</f>
        <v>44.8</v>
      </c>
      <c r="M96" s="170"/>
      <c r="N96" s="170"/>
      <c r="O96" s="170"/>
      <c r="P96" s="171"/>
      <c r="Q96" s="150">
        <f>ABS(L96)/F84*1000</f>
        <v>6.36000969232346</v>
      </c>
      <c r="R96" s="150"/>
      <c r="S96" s="150"/>
      <c r="T96" s="150"/>
      <c r="U96" s="150">
        <f>$AC$33</f>
        <v>8</v>
      </c>
      <c r="V96" s="150"/>
      <c r="W96" s="150"/>
      <c r="X96" s="150"/>
      <c r="Y96" s="168" t="str">
        <f>IF(Q96&lt;=U96,"O.K.","N.G.")</f>
        <v>O.K.</v>
      </c>
      <c r="Z96" s="168"/>
      <c r="AA96" s="168"/>
      <c r="AB96" s="150">
        <f>ABS(L96)/E88*1000</f>
        <v>127.39287535672045</v>
      </c>
      <c r="AC96" s="150"/>
      <c r="AD96" s="150"/>
      <c r="AE96" s="150"/>
      <c r="AF96" s="232">
        <f>$U$34</f>
        <v>120</v>
      </c>
      <c r="AG96" s="232"/>
      <c r="AH96" s="232"/>
      <c r="AI96" s="232"/>
      <c r="AJ96" s="168" t="str">
        <f>IF(AB96&lt;=AF96,"O.K.","N.G.")</f>
        <v>N.G.</v>
      </c>
      <c r="AK96" s="168"/>
      <c r="AL96" s="168"/>
      <c r="AM96" s="150">
        <v>1</v>
      </c>
      <c r="AN96" s="150"/>
      <c r="AO96" s="150"/>
      <c r="AP96" s="150"/>
    </row>
    <row r="97" spans="3:42" ht="22.5" customHeight="1">
      <c r="C97" s="167" t="s">
        <v>194</v>
      </c>
      <c r="D97" s="167"/>
      <c r="E97" s="167"/>
      <c r="F97" s="167"/>
      <c r="G97" s="167"/>
      <c r="H97" s="167"/>
      <c r="I97" s="167"/>
      <c r="J97" s="167"/>
      <c r="K97" s="167"/>
      <c r="L97" s="169">
        <v>0</v>
      </c>
      <c r="M97" s="170"/>
      <c r="N97" s="170"/>
      <c r="O97" s="170"/>
      <c r="P97" s="171"/>
      <c r="Q97" s="168" t="s">
        <v>122</v>
      </c>
      <c r="R97" s="168"/>
      <c r="S97" s="168"/>
      <c r="T97" s="168"/>
      <c r="U97" s="168" t="s">
        <v>122</v>
      </c>
      <c r="V97" s="168"/>
      <c r="W97" s="168"/>
      <c r="X97" s="168"/>
      <c r="Y97" s="168" t="s">
        <v>122</v>
      </c>
      <c r="Z97" s="168"/>
      <c r="AA97" s="168"/>
      <c r="AB97" s="168" t="s">
        <v>122</v>
      </c>
      <c r="AC97" s="168"/>
      <c r="AD97" s="168"/>
      <c r="AE97" s="168"/>
      <c r="AF97" s="168" t="s">
        <v>122</v>
      </c>
      <c r="AG97" s="168"/>
      <c r="AH97" s="168"/>
      <c r="AI97" s="168"/>
      <c r="AJ97" s="168" t="s">
        <v>122</v>
      </c>
      <c r="AK97" s="168"/>
      <c r="AL97" s="168"/>
      <c r="AM97" s="168" t="s">
        <v>122</v>
      </c>
      <c r="AN97" s="168"/>
      <c r="AO97" s="168"/>
      <c r="AP97" s="168"/>
    </row>
    <row r="98" spans="3:42" ht="22.5" customHeight="1">
      <c r="C98" s="167" t="s">
        <v>195</v>
      </c>
      <c r="D98" s="167"/>
      <c r="E98" s="167"/>
      <c r="F98" s="167"/>
      <c r="G98" s="167"/>
      <c r="H98" s="167"/>
      <c r="I98" s="167"/>
      <c r="J98" s="167"/>
      <c r="K98" s="167"/>
      <c r="L98" s="169">
        <v>0</v>
      </c>
      <c r="M98" s="170"/>
      <c r="N98" s="170"/>
      <c r="O98" s="170"/>
      <c r="P98" s="171"/>
      <c r="Q98" s="168" t="s">
        <v>122</v>
      </c>
      <c r="R98" s="168"/>
      <c r="S98" s="168"/>
      <c r="T98" s="168"/>
      <c r="U98" s="168" t="s">
        <v>122</v>
      </c>
      <c r="V98" s="168"/>
      <c r="W98" s="168"/>
      <c r="X98" s="168"/>
      <c r="Y98" s="168" t="s">
        <v>122</v>
      </c>
      <c r="Z98" s="168"/>
      <c r="AA98" s="168"/>
      <c r="AB98" s="168" t="s">
        <v>122</v>
      </c>
      <c r="AC98" s="168"/>
      <c r="AD98" s="168"/>
      <c r="AE98" s="168"/>
      <c r="AF98" s="168" t="s">
        <v>122</v>
      </c>
      <c r="AG98" s="168"/>
      <c r="AH98" s="168"/>
      <c r="AI98" s="168"/>
      <c r="AJ98" s="168" t="s">
        <v>122</v>
      </c>
      <c r="AK98" s="168"/>
      <c r="AL98" s="168"/>
      <c r="AM98" s="168" t="s">
        <v>122</v>
      </c>
      <c r="AN98" s="168"/>
      <c r="AO98" s="168"/>
      <c r="AP98" s="168"/>
    </row>
  </sheetData>
  <mergeCells count="107">
    <mergeCell ref="S45:U45"/>
    <mergeCell ref="S75:U75"/>
    <mergeCell ref="S76:U76"/>
    <mergeCell ref="AK32:AL32"/>
    <mergeCell ref="Q62:AA62"/>
    <mergeCell ref="Q63:T63"/>
    <mergeCell ref="U63:X63"/>
    <mergeCell ref="Y63:AA63"/>
    <mergeCell ref="Q66:T66"/>
    <mergeCell ref="AJ65:AL65"/>
    <mergeCell ref="O41:Q41"/>
    <mergeCell ref="O42:Q42"/>
    <mergeCell ref="S44:U44"/>
    <mergeCell ref="L14:N14"/>
    <mergeCell ref="S14:U14"/>
    <mergeCell ref="H19:I19"/>
    <mergeCell ref="Q32:S32"/>
    <mergeCell ref="O4:R4"/>
    <mergeCell ref="AF4:AG4"/>
    <mergeCell ref="L13:N13"/>
    <mergeCell ref="S13:U13"/>
    <mergeCell ref="AJ63:AL63"/>
    <mergeCell ref="L93:P93"/>
    <mergeCell ref="L94:P94"/>
    <mergeCell ref="L95:P95"/>
    <mergeCell ref="AJ66:AL66"/>
    <mergeCell ref="I34:J34"/>
    <mergeCell ref="AB19:AD19"/>
    <mergeCell ref="AA7:AC7"/>
    <mergeCell ref="AB62:AL62"/>
    <mergeCell ref="L62:P62"/>
    <mergeCell ref="C62:K63"/>
    <mergeCell ref="L63:P63"/>
    <mergeCell ref="AB63:AE63"/>
    <mergeCell ref="AF63:AI63"/>
    <mergeCell ref="AJ64:AL64"/>
    <mergeCell ref="Q64:T64"/>
    <mergeCell ref="U64:X64"/>
    <mergeCell ref="Y64:AA64"/>
    <mergeCell ref="AB64:AE64"/>
    <mergeCell ref="AF64:AI64"/>
    <mergeCell ref="AB65:AE65"/>
    <mergeCell ref="L64:P64"/>
    <mergeCell ref="L65:P65"/>
    <mergeCell ref="L66:P66"/>
    <mergeCell ref="C66:K66"/>
    <mergeCell ref="C64:K64"/>
    <mergeCell ref="C65:K65"/>
    <mergeCell ref="U66:X66"/>
    <mergeCell ref="Q65:T65"/>
    <mergeCell ref="U65:X65"/>
    <mergeCell ref="Y66:AA66"/>
    <mergeCell ref="AB66:AE66"/>
    <mergeCell ref="AF66:AI66"/>
    <mergeCell ref="AM62:AP62"/>
    <mergeCell ref="AM63:AP63"/>
    <mergeCell ref="AF65:AI65"/>
    <mergeCell ref="AM66:AP66"/>
    <mergeCell ref="AM64:AP64"/>
    <mergeCell ref="AM65:AP65"/>
    <mergeCell ref="Y65:AA65"/>
    <mergeCell ref="Q93:AA93"/>
    <mergeCell ref="AB93:AL93"/>
    <mergeCell ref="AM93:AP93"/>
    <mergeCell ref="Q94:T94"/>
    <mergeCell ref="U94:X94"/>
    <mergeCell ref="Y94:AA94"/>
    <mergeCell ref="AB94:AE94"/>
    <mergeCell ref="AF94:AI94"/>
    <mergeCell ref="AJ94:AL94"/>
    <mergeCell ref="AM94:AP94"/>
    <mergeCell ref="C95:K95"/>
    <mergeCell ref="Q95:T95"/>
    <mergeCell ref="U95:X95"/>
    <mergeCell ref="Y95:AA95"/>
    <mergeCell ref="AB95:AE95"/>
    <mergeCell ref="AF95:AI95"/>
    <mergeCell ref="AJ95:AL95"/>
    <mergeCell ref="AM95:AP95"/>
    <mergeCell ref="C93:K94"/>
    <mergeCell ref="C96:K96"/>
    <mergeCell ref="Q96:T96"/>
    <mergeCell ref="U96:X96"/>
    <mergeCell ref="Y96:AA96"/>
    <mergeCell ref="L96:P96"/>
    <mergeCell ref="AB96:AE96"/>
    <mergeCell ref="AF96:AI96"/>
    <mergeCell ref="AJ96:AL96"/>
    <mergeCell ref="AM96:AP96"/>
    <mergeCell ref="C97:K97"/>
    <mergeCell ref="Q97:T97"/>
    <mergeCell ref="U97:X97"/>
    <mergeCell ref="Y97:AA97"/>
    <mergeCell ref="L97:P97"/>
    <mergeCell ref="AB97:AE97"/>
    <mergeCell ref="AF97:AI97"/>
    <mergeCell ref="AJ97:AL97"/>
    <mergeCell ref="AM97:AP97"/>
    <mergeCell ref="C98:K98"/>
    <mergeCell ref="Q98:T98"/>
    <mergeCell ref="U98:X98"/>
    <mergeCell ref="AM98:AP98"/>
    <mergeCell ref="Y98:AA98"/>
    <mergeCell ref="AB98:AE98"/>
    <mergeCell ref="AF98:AI98"/>
    <mergeCell ref="AJ98:AL98"/>
    <mergeCell ref="L98:P98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65"/>
  <sheetViews>
    <sheetView workbookViewId="0" topLeftCell="A55">
      <selection activeCell="A55" sqref="A1:IV16384"/>
    </sheetView>
  </sheetViews>
  <sheetFormatPr defaultColWidth="8.88671875" defaultRowHeight="22.5" customHeight="1"/>
  <cols>
    <col min="1" max="16384" width="1.77734375" style="3" customWidth="1"/>
  </cols>
  <sheetData>
    <row r="1" spans="1:6" s="89" customFormat="1" ht="22.5" customHeight="1">
      <c r="A1" s="90"/>
      <c r="B1" s="91"/>
      <c r="C1" s="88"/>
      <c r="D1" s="88"/>
      <c r="E1" s="88"/>
      <c r="F1" s="88"/>
    </row>
    <row r="2" spans="1:8" ht="22.5" customHeight="1">
      <c r="A2" s="157" t="s">
        <v>294</v>
      </c>
      <c r="D2" s="2"/>
      <c r="E2" s="2"/>
      <c r="F2" s="2"/>
      <c r="H2" s="137" t="s">
        <v>81</v>
      </c>
    </row>
    <row r="3" spans="1:26" s="7" customFormat="1" ht="22.5" customHeight="1">
      <c r="A3" s="10"/>
      <c r="B3" s="10" t="s">
        <v>93</v>
      </c>
      <c r="C3" s="10"/>
      <c r="D3" s="10"/>
      <c r="E3" s="10"/>
      <c r="F3" s="10"/>
      <c r="H3" s="10"/>
      <c r="J3" s="10"/>
      <c r="K3" s="9" t="str">
        <f>IF(AF4&lt;3,"( 單純版 )","( 連続版 )")</f>
        <v>( 連続版 )</v>
      </c>
      <c r="L3" s="10"/>
      <c r="M3" s="10"/>
      <c r="N3" s="10"/>
      <c r="O3" s="10"/>
      <c r="Q3" s="98"/>
      <c r="R3" s="98"/>
      <c r="S3" s="70"/>
      <c r="U3" s="85"/>
      <c r="W3" s="98"/>
      <c r="Y3" s="99"/>
      <c r="Z3" s="123" t="s">
        <v>207</v>
      </c>
    </row>
    <row r="4" spans="1:33" s="7" customFormat="1" ht="22.5" customHeight="1">
      <c r="A4" s="10"/>
      <c r="C4" s="11" t="s">
        <v>95</v>
      </c>
      <c r="D4" s="10"/>
      <c r="E4" s="10"/>
      <c r="F4" s="10"/>
      <c r="G4" s="10"/>
      <c r="H4" s="10"/>
      <c r="M4" s="10" t="s">
        <v>96</v>
      </c>
      <c r="N4" s="10"/>
      <c r="O4" s="224">
        <v>2.4</v>
      </c>
      <c r="P4" s="164"/>
      <c r="Q4" s="164"/>
      <c r="R4" s="164"/>
      <c r="S4" s="10" t="s">
        <v>1</v>
      </c>
      <c r="T4" s="99"/>
      <c r="U4" s="85"/>
      <c r="W4" s="85" t="s">
        <v>208</v>
      </c>
      <c r="X4" s="85"/>
      <c r="Y4" s="85"/>
      <c r="Z4" s="85"/>
      <c r="AA4" s="85"/>
      <c r="AB4" s="85"/>
      <c r="AC4" s="85"/>
      <c r="AD4" s="85" t="s">
        <v>209</v>
      </c>
      <c r="AE4" s="85"/>
      <c r="AF4" s="225">
        <v>4</v>
      </c>
      <c r="AG4" s="163"/>
    </row>
    <row r="5" spans="1:33" s="7" customFormat="1" ht="22.5" customHeight="1">
      <c r="A5" s="10"/>
      <c r="C5" s="2" t="s">
        <v>88</v>
      </c>
      <c r="F5" s="10"/>
      <c r="G5" s="10"/>
      <c r="H5" s="10"/>
      <c r="I5" s="10"/>
      <c r="J5" s="10"/>
      <c r="P5" s="158" t="s">
        <v>89</v>
      </c>
      <c r="S5" s="10"/>
      <c r="T5" s="10"/>
      <c r="U5" s="10"/>
      <c r="X5" s="10" t="s">
        <v>90</v>
      </c>
      <c r="Y5" s="10"/>
      <c r="AA5" s="85"/>
      <c r="AB5" s="85"/>
      <c r="AC5" s="85"/>
      <c r="AD5" s="85"/>
      <c r="AE5" s="85"/>
      <c r="AF5" s="162"/>
      <c r="AG5" s="100"/>
    </row>
    <row r="6" spans="1:47" s="7" customFormat="1" ht="22.5" customHeight="1">
      <c r="A6" s="10"/>
      <c r="C6" s="9" t="str">
        <f>IF(AF4&lt;3,"do = (40·L + 110) =","do = (30·L + 110) =")</f>
        <v>do = (30·L + 110) =</v>
      </c>
      <c r="D6" s="10"/>
      <c r="E6" s="10"/>
      <c r="F6" s="10"/>
      <c r="G6" s="10"/>
      <c r="L6" s="10" t="str">
        <f>IF(AF4&lt;3,"{(40×"&amp;O4&amp;") + 110} = "&amp;ROUND((40*O4+110),0)&amp;" mm &gt; 160 mm","{(30×"&amp;O4&amp;") + 110} = "&amp;ROUND((30*O4+110),0)&amp;" mm &gt; 160 mm")</f>
        <v>{(30×2.4) + 110} = 182 mm &gt; 160 mm</v>
      </c>
      <c r="W6" s="10"/>
      <c r="X6" s="85"/>
      <c r="AG6" s="10"/>
      <c r="AH6" s="10"/>
      <c r="AI6" s="10"/>
      <c r="AJ6" s="10"/>
      <c r="AK6" s="10"/>
      <c r="AL6" s="10"/>
      <c r="AM6" s="10"/>
      <c r="AN6" s="10"/>
      <c r="AP6" s="10"/>
      <c r="AQ6" s="10"/>
      <c r="AR6" s="10"/>
      <c r="AS6" s="10"/>
      <c r="AT6" s="10"/>
      <c r="AU6" s="10"/>
    </row>
    <row r="7" spans="1:37" s="7" customFormat="1" ht="22.5" customHeight="1">
      <c r="A7" s="10"/>
      <c r="C7" s="10" t="s">
        <v>97</v>
      </c>
      <c r="D7" s="10"/>
      <c r="E7" s="10"/>
      <c r="F7" s="10"/>
      <c r="J7" s="101">
        <f>AB8</f>
        <v>1.25</v>
      </c>
      <c r="K7" s="77"/>
      <c r="L7" s="77"/>
      <c r="M7" s="102" t="s">
        <v>98</v>
      </c>
      <c r="N7" s="101">
        <f>AL11</f>
        <v>1</v>
      </c>
      <c r="O7" s="77"/>
      <c r="P7" s="77"/>
      <c r="Q7" s="102" t="s">
        <v>98</v>
      </c>
      <c r="R7" s="103">
        <f>IF(AF4&lt;3,ROUND((40*O4+110),0),ROUND((30*O4+110),0))</f>
        <v>182</v>
      </c>
      <c r="S7" s="78"/>
      <c r="T7" s="78"/>
      <c r="U7" s="102" t="s">
        <v>99</v>
      </c>
      <c r="V7" s="103">
        <f>ROUND(J7*N7*R7,-1)</f>
        <v>230</v>
      </c>
      <c r="W7" s="78"/>
      <c r="X7" s="103"/>
      <c r="Y7" s="10" t="s">
        <v>100</v>
      </c>
      <c r="AA7" s="102" t="s">
        <v>101</v>
      </c>
      <c r="AC7" s="206">
        <f>L13*100</f>
        <v>30</v>
      </c>
      <c r="AD7" s="206"/>
      <c r="AE7" s="206"/>
      <c r="AF7" s="85" t="s">
        <v>102</v>
      </c>
      <c r="AG7" s="10"/>
      <c r="AJ7" s="10" t="str">
        <f>IF(V7&lt;=AC7*10,"O.K.","N.G.")</f>
        <v>O.K.</v>
      </c>
      <c r="AK7" s="10"/>
    </row>
    <row r="8" spans="1:58" s="7" customFormat="1" ht="22.5" customHeight="1">
      <c r="A8" s="10"/>
      <c r="C8" s="10" t="s">
        <v>13</v>
      </c>
      <c r="D8" s="10"/>
      <c r="G8" s="2" t="s">
        <v>14</v>
      </c>
      <c r="H8" s="3"/>
      <c r="Y8" s="10" t="s">
        <v>103</v>
      </c>
      <c r="AB8" s="103">
        <f>IF(P5="500未満",1.1,IF(P5="500以上1000未満",1.15,IF(P5="1000以上2000未満",1.2,IF(P5="2000以上",1.25,"入力確認要望"))))</f>
        <v>1.25</v>
      </c>
      <c r="AC8" s="78"/>
      <c r="AD8" s="10" t="s">
        <v>104</v>
      </c>
      <c r="AN8" s="10"/>
      <c r="AP8" s="10"/>
      <c r="AQ8" s="10"/>
      <c r="AR8" s="10"/>
      <c r="AS8" s="10"/>
      <c r="AT8" s="10"/>
      <c r="AU8" s="10"/>
      <c r="AV8" s="10"/>
      <c r="AW8" s="10"/>
      <c r="AY8" s="10"/>
      <c r="BB8" s="10"/>
      <c r="BC8" s="10"/>
      <c r="BD8" s="10"/>
      <c r="BE8" s="10"/>
      <c r="BF8" s="85"/>
    </row>
    <row r="9" spans="1:58" s="7" customFormat="1" ht="22.5" customHeight="1">
      <c r="A9" s="10"/>
      <c r="C9" s="104"/>
      <c r="D9" s="10"/>
      <c r="E9" s="10"/>
      <c r="G9" s="2" t="s">
        <v>105</v>
      </c>
      <c r="H9" s="3"/>
      <c r="AN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BA9" s="10"/>
      <c r="BB9" s="10"/>
      <c r="BC9" s="10"/>
      <c r="BD9" s="10"/>
      <c r="BE9" s="10"/>
      <c r="BF9" s="85"/>
    </row>
    <row r="10" spans="1:58" s="7" customFormat="1" ht="22.5" customHeight="1">
      <c r="A10" s="10"/>
      <c r="C10" s="104"/>
      <c r="D10" s="10"/>
      <c r="E10" s="10"/>
      <c r="G10" s="7" t="s">
        <v>210</v>
      </c>
      <c r="AU10" s="10"/>
      <c r="AV10" s="10"/>
      <c r="AW10" s="10"/>
      <c r="AX10" s="10"/>
      <c r="AY10" s="10"/>
      <c r="BA10" s="10"/>
      <c r="BB10" s="10"/>
      <c r="BC10" s="10"/>
      <c r="BD10" s="10"/>
      <c r="BE10" s="10"/>
      <c r="BF10" s="85"/>
    </row>
    <row r="11" spans="1:58" s="7" customFormat="1" ht="22.5" customHeight="1">
      <c r="A11" s="10"/>
      <c r="C11" s="104"/>
      <c r="D11" s="10"/>
      <c r="E11" s="10"/>
      <c r="H11" s="7" t="s">
        <v>99</v>
      </c>
      <c r="I11" s="105">
        <v>0.9</v>
      </c>
      <c r="J11" s="105"/>
      <c r="K11" s="7" t="s">
        <v>98</v>
      </c>
      <c r="L11" s="7" t="s">
        <v>211</v>
      </c>
      <c r="N11" s="79">
        <f>L65</f>
        <v>-33.9104</v>
      </c>
      <c r="O11" s="79"/>
      <c r="P11" s="79"/>
      <c r="Q11" s="79"/>
      <c r="R11" s="80" t="s">
        <v>116</v>
      </c>
      <c r="S11" s="79">
        <f>L64</f>
        <v>-33.9104</v>
      </c>
      <c r="T11" s="79"/>
      <c r="U11" s="79"/>
      <c r="V11" s="79"/>
      <c r="W11" s="7" t="s">
        <v>104</v>
      </c>
      <c r="X11" s="7" t="s">
        <v>99</v>
      </c>
      <c r="Y11" s="77">
        <f>0.9*SQRT(N11/S11)</f>
        <v>0.9</v>
      </c>
      <c r="Z11" s="77"/>
      <c r="AA11" s="77"/>
      <c r="AB11" s="223" t="str">
        <f>IF(Y11&gt;=1,"≥","＜")</f>
        <v>＜</v>
      </c>
      <c r="AC11" s="223"/>
      <c r="AD11" s="77">
        <v>1</v>
      </c>
      <c r="AE11" s="77"/>
      <c r="AF11" s="77"/>
      <c r="AH11" s="102" t="s">
        <v>101</v>
      </c>
      <c r="AJ11" s="7" t="s">
        <v>212</v>
      </c>
      <c r="AL11" s="77">
        <f>IF(Y11&gt;=1,Y11,1)</f>
        <v>1</v>
      </c>
      <c r="AM11" s="77"/>
      <c r="AN11" s="77"/>
      <c r="AR11" s="10"/>
      <c r="AS11" s="10"/>
      <c r="AT11" s="10"/>
      <c r="AU11" s="10"/>
      <c r="AV11" s="10"/>
      <c r="AW11" s="10"/>
      <c r="AX11" s="10"/>
      <c r="AY11" s="10"/>
      <c r="BA11" s="10"/>
      <c r="BB11" s="10"/>
      <c r="BC11" s="10"/>
      <c r="BD11" s="10"/>
      <c r="BE11" s="10"/>
      <c r="BF11" s="85"/>
    </row>
    <row r="12" spans="1:33" s="7" customFormat="1" ht="22.5" customHeight="1">
      <c r="A12" s="10"/>
      <c r="B12" s="11" t="s">
        <v>107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92"/>
      <c r="Z12" s="92"/>
      <c r="AA12" s="92"/>
      <c r="AB12" s="92"/>
      <c r="AC12" s="92"/>
      <c r="AD12" s="92"/>
      <c r="AE12" s="92"/>
      <c r="AF12" s="92"/>
      <c r="AG12" s="92"/>
    </row>
    <row r="13" spans="1:33" s="7" customFormat="1" ht="22.5" customHeight="1">
      <c r="A13" s="10"/>
      <c r="B13" s="85"/>
      <c r="C13" s="11" t="s">
        <v>213</v>
      </c>
      <c r="D13" s="85"/>
      <c r="E13" s="85"/>
      <c r="F13" s="85"/>
      <c r="L13" s="226">
        <v>0.3</v>
      </c>
      <c r="M13" s="164"/>
      <c r="N13" s="164"/>
      <c r="O13" s="10" t="s">
        <v>1</v>
      </c>
      <c r="Q13" s="102" t="s">
        <v>98</v>
      </c>
      <c r="S13" s="227">
        <v>24.5</v>
      </c>
      <c r="T13" s="202"/>
      <c r="U13" s="202"/>
      <c r="V13" s="10" t="s">
        <v>80</v>
      </c>
      <c r="W13" s="85"/>
      <c r="X13" s="85"/>
      <c r="Y13" s="92"/>
      <c r="AB13" s="7" t="s">
        <v>99</v>
      </c>
      <c r="AC13" s="79">
        <f>L13*S13</f>
        <v>7.35</v>
      </c>
      <c r="AD13" s="79"/>
      <c r="AE13" s="79"/>
      <c r="AF13" s="79"/>
      <c r="AG13" s="7" t="s">
        <v>133</v>
      </c>
    </row>
    <row r="14" spans="1:35" s="7" customFormat="1" ht="22.5" customHeight="1">
      <c r="A14" s="10"/>
      <c r="B14" s="85"/>
      <c r="C14" s="131" t="s">
        <v>214</v>
      </c>
      <c r="D14" s="108"/>
      <c r="E14" s="108"/>
      <c r="F14" s="108"/>
      <c r="G14" s="107"/>
      <c r="H14" s="107"/>
      <c r="I14" s="107"/>
      <c r="J14" s="107"/>
      <c r="K14" s="107"/>
      <c r="L14" s="228">
        <v>0.08</v>
      </c>
      <c r="M14" s="229"/>
      <c r="N14" s="229"/>
      <c r="O14" s="108" t="s">
        <v>1</v>
      </c>
      <c r="P14" s="107"/>
      <c r="Q14" s="109" t="s">
        <v>98</v>
      </c>
      <c r="R14" s="107"/>
      <c r="S14" s="230">
        <v>22.5</v>
      </c>
      <c r="T14" s="231"/>
      <c r="U14" s="231"/>
      <c r="V14" s="108" t="s">
        <v>80</v>
      </c>
      <c r="W14" s="108"/>
      <c r="X14" s="108"/>
      <c r="Y14" s="107"/>
      <c r="Z14" s="107"/>
      <c r="AA14" s="107"/>
      <c r="AB14" s="107" t="s">
        <v>99</v>
      </c>
      <c r="AC14" s="110">
        <f>L14*S14</f>
        <v>1.8</v>
      </c>
      <c r="AD14" s="110"/>
      <c r="AE14" s="110"/>
      <c r="AF14" s="110"/>
      <c r="AG14" s="107" t="s">
        <v>133</v>
      </c>
      <c r="AH14" s="107"/>
      <c r="AI14" s="107"/>
    </row>
    <row r="15" spans="1:33" s="7" customFormat="1" ht="22.5" customHeight="1">
      <c r="A15" s="10"/>
      <c r="B15" s="85"/>
      <c r="C15" s="11" t="s">
        <v>215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W15" s="85"/>
      <c r="X15" s="85"/>
      <c r="Y15" s="92"/>
      <c r="Z15" s="92" t="s">
        <v>216</v>
      </c>
      <c r="AB15" s="92"/>
      <c r="AC15" s="79">
        <f>SUM(AC13:AC14)</f>
        <v>9.15</v>
      </c>
      <c r="AD15" s="79"/>
      <c r="AE15" s="79"/>
      <c r="AF15" s="79"/>
      <c r="AG15" s="7" t="s">
        <v>133</v>
      </c>
    </row>
    <row r="16" spans="1:33" s="7" customFormat="1" ht="22.5" customHeight="1">
      <c r="A16" s="10"/>
      <c r="B16" s="85"/>
      <c r="C16" s="85" t="s">
        <v>217</v>
      </c>
      <c r="D16" s="85"/>
      <c r="E16" s="85"/>
      <c r="F16" s="132" t="s">
        <v>295</v>
      </c>
      <c r="G16" s="78"/>
      <c r="H16" s="70"/>
      <c r="I16" s="111" t="s">
        <v>116</v>
      </c>
      <c r="J16" s="111">
        <f>IF(AF4&lt;3,8,10)</f>
        <v>10</v>
      </c>
      <c r="K16" s="70"/>
      <c r="L16" s="85" t="s">
        <v>99</v>
      </c>
      <c r="M16" s="79">
        <f>-AC15</f>
        <v>-9.15</v>
      </c>
      <c r="N16" s="79"/>
      <c r="O16" s="79"/>
      <c r="P16" s="79"/>
      <c r="Q16" s="102" t="s">
        <v>98</v>
      </c>
      <c r="R16" s="112">
        <f>O4</f>
        <v>2.4</v>
      </c>
      <c r="S16" s="79"/>
      <c r="T16" s="79"/>
      <c r="U16" s="78"/>
      <c r="V16" s="113" t="s">
        <v>116</v>
      </c>
      <c r="W16" s="111">
        <f>J16</f>
        <v>10</v>
      </c>
      <c r="X16" s="70"/>
      <c r="Y16" s="92" t="s">
        <v>99</v>
      </c>
      <c r="Z16" s="106">
        <f>M16*R16^2/W16</f>
        <v>-5.2704</v>
      </c>
      <c r="AA16" s="106"/>
      <c r="AB16" s="106"/>
      <c r="AC16" s="106"/>
      <c r="AD16" s="7" t="s">
        <v>18</v>
      </c>
      <c r="AG16" s="92"/>
    </row>
    <row r="17" spans="1:33" s="7" customFormat="1" ht="22.5" customHeight="1">
      <c r="A17" s="10"/>
      <c r="B17" s="10"/>
      <c r="C17" s="10"/>
      <c r="D17" s="10"/>
      <c r="H17" s="79"/>
      <c r="I17" s="79"/>
      <c r="J17" s="79"/>
      <c r="K17" s="79"/>
      <c r="L17" s="80"/>
      <c r="M17" s="79"/>
      <c r="N17" s="79"/>
      <c r="O17" s="79"/>
      <c r="P17" s="79"/>
      <c r="Q17" s="85"/>
      <c r="R17" s="79"/>
      <c r="S17" s="79"/>
      <c r="T17" s="79"/>
      <c r="U17" s="79"/>
      <c r="V17" s="85"/>
      <c r="W17" s="79"/>
      <c r="X17" s="79"/>
      <c r="Y17" s="79"/>
      <c r="Z17" s="79"/>
      <c r="AA17" s="85"/>
      <c r="AG17" s="85"/>
    </row>
    <row r="18" spans="1:24" s="7" customFormat="1" ht="22.5" customHeight="1">
      <c r="A18" s="10"/>
      <c r="B18" s="11" t="s">
        <v>119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85"/>
      <c r="X18" s="85"/>
    </row>
    <row r="19" spans="1:33" s="7" customFormat="1" ht="22.5" customHeight="1">
      <c r="A19" s="10"/>
      <c r="B19" s="11"/>
      <c r="C19" s="10" t="s">
        <v>218</v>
      </c>
      <c r="F19" s="10"/>
      <c r="G19" s="10"/>
      <c r="H19" s="224" t="s">
        <v>84</v>
      </c>
      <c r="I19" s="164"/>
      <c r="J19" s="10" t="s">
        <v>85</v>
      </c>
      <c r="K19" s="10"/>
      <c r="L19" s="10"/>
      <c r="M19" s="10"/>
      <c r="N19" s="10"/>
      <c r="O19" s="10"/>
      <c r="P19" s="10"/>
      <c r="Q19" s="10"/>
      <c r="R19" s="10"/>
      <c r="S19" s="10"/>
      <c r="T19" s="10" t="s">
        <v>86</v>
      </c>
      <c r="W19" s="10"/>
      <c r="X19" s="10"/>
      <c r="Y19" s="10"/>
      <c r="Z19" s="10"/>
      <c r="AB19" s="233">
        <v>100</v>
      </c>
      <c r="AC19" s="233"/>
      <c r="AD19" s="233"/>
      <c r="AE19" s="10" t="s">
        <v>87</v>
      </c>
      <c r="AG19" s="104"/>
    </row>
    <row r="20" spans="1:33" s="7" customFormat="1" ht="22.5" customHeight="1">
      <c r="A20" s="10"/>
      <c r="B20" s="11"/>
      <c r="C20" s="10">
        <f>IF(H2="(一般部)","","T荷重(衝撃を含む)による設計曲げモーメントとして8.2.4に規定する値の２倍を用いるものとする。")</f>
      </c>
      <c r="F20" s="10"/>
      <c r="G20" s="10"/>
      <c r="H20" s="103"/>
      <c r="I20" s="78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W20" s="10"/>
      <c r="X20" s="10"/>
      <c r="Y20" s="10"/>
      <c r="Z20" s="10"/>
      <c r="AB20" s="114"/>
      <c r="AC20" s="114"/>
      <c r="AD20" s="114"/>
      <c r="AE20" s="10"/>
      <c r="AG20" s="104"/>
    </row>
    <row r="21" spans="1:24" s="7" customFormat="1" ht="22.5" customHeight="1">
      <c r="A21" s="10"/>
      <c r="B21" s="58" t="s">
        <v>120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85"/>
      <c r="X21" s="85"/>
    </row>
    <row r="22" spans="1:24" s="7" customFormat="1" ht="22.5" customHeight="1">
      <c r="A22" s="10"/>
      <c r="B22" s="125"/>
      <c r="C22" s="2" t="s">
        <v>219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O22" s="10" t="str">
        <f>IF(O4&lt;=2.5,"(L ≤ 2.5 m )","( 2.5 &lt; L ≤ 4.0 m )")</f>
        <v>(L ≤ 2.5 m )</v>
      </c>
      <c r="P22" s="10"/>
      <c r="Q22" s="10"/>
      <c r="R22" s="10"/>
      <c r="S22" s="10"/>
      <c r="T22" s="10"/>
      <c r="U22" s="10"/>
      <c r="V22" s="10"/>
      <c r="W22" s="85"/>
      <c r="X22" s="85"/>
    </row>
    <row r="23" spans="1:24" s="7" customFormat="1" ht="22.5" customHeight="1">
      <c r="A23" s="10"/>
      <c r="B23" s="125"/>
      <c r="C23" s="10" t="s">
        <v>220</v>
      </c>
      <c r="D23" s="10"/>
      <c r="E23" s="10"/>
      <c r="F23" s="10" t="str">
        <f>IF(O4&lt;=2.5,"1.0","1.0 + ( L - 2.5 ) / 12 = "&amp;ROUND(1+(O4-2.5)/12,2))</f>
        <v>1.0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S23" s="10"/>
      <c r="T23" s="10"/>
      <c r="U23" s="10"/>
      <c r="V23" s="10"/>
      <c r="W23" s="85"/>
      <c r="X23" s="85"/>
    </row>
    <row r="24" spans="1:24" ht="22.5" customHeight="1">
      <c r="A24" s="2"/>
      <c r="C24" s="2" t="str">
        <f>IF(AND(H19="B",AF4&lt;3),IF(H2="(一般部)","Ml = -( 0.12 L ＋ 0.07 ) P × λ","Ml = -( 0.12 L ＋ 0.07 ) P × λ × 2"),IF(AND(H19="A",AF4&gt;=3),IF(H2="(一般部)","Ml = -( 0.12 L ＋ 0.07 ) P × λ × 0.80 × 0.80","Ml = -( 0.12 L ＋ 0.07 ) P × λ × 0.80 × 0.80 × 2"),IF(H2="(一般部)","Ml = -( 0.12 L ＋ 0.07 ) P × λ × 0.80","Ml = -( 0.12 L ＋ 0.07 ) P × λ × 0.80 × 2")))</f>
        <v>Ml = -( 0.12 L ＋ 0.07 ) P × λ × 0.80</v>
      </c>
      <c r="D24" s="5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2"/>
      <c r="S24" s="2"/>
      <c r="T24" s="2"/>
      <c r="U24" s="16"/>
      <c r="V24" s="11"/>
      <c r="W24" s="17" t="s">
        <v>221</v>
      </c>
      <c r="X24" s="2"/>
    </row>
    <row r="25" spans="4:40" ht="22.5" customHeight="1">
      <c r="D25" s="19" t="s">
        <v>99</v>
      </c>
      <c r="E25" s="133" t="s">
        <v>122</v>
      </c>
      <c r="F25" s="3" t="s">
        <v>123</v>
      </c>
      <c r="G25" s="61">
        <v>0.12</v>
      </c>
      <c r="H25" s="61"/>
      <c r="I25" s="61"/>
      <c r="J25" s="2" t="s">
        <v>98</v>
      </c>
      <c r="K25" s="5">
        <f>O4</f>
        <v>2.4</v>
      </c>
      <c r="L25" s="6"/>
      <c r="M25" s="6"/>
      <c r="N25" s="3" t="s">
        <v>124</v>
      </c>
      <c r="O25" s="61">
        <v>0.07</v>
      </c>
      <c r="P25" s="61"/>
      <c r="Q25" s="61"/>
      <c r="R25" s="3" t="s">
        <v>104</v>
      </c>
      <c r="S25" s="2" t="s">
        <v>98</v>
      </c>
      <c r="T25" s="60">
        <f>AB19</f>
        <v>100</v>
      </c>
      <c r="U25" s="6"/>
      <c r="V25" s="6"/>
      <c r="W25" s="2" t="s">
        <v>98</v>
      </c>
      <c r="X25" s="124">
        <f>IF(O4&lt;=2.5,1,ROUND(1+(O4-2.5)/12,2))</f>
        <v>1</v>
      </c>
      <c r="Y25" s="61"/>
      <c r="Z25" s="61"/>
      <c r="AA25" s="3" t="str">
        <f>IF(AND(H19="B",AF4&lt;3),IF(H2="(一般部)","","× 2"),IF(AND(H19="A",AF4&gt;=3),IF(H2="(一般部)","× 0.80 × 0.80","× 0.80 × 0.80 × 2"),IF(H2="(一般部)","× 0.80","× 0.80 × 2")))</f>
        <v>× 0.80</v>
      </c>
      <c r="AD25" s="61"/>
      <c r="AI25" s="3" t="s">
        <v>99</v>
      </c>
      <c r="AJ25" s="55">
        <f>IF(AND(H19="B",AF4&lt;3),IF(H2="(一般部)",-(G25*K25+O25)*T25*X25,-(G25*K25+O25)*T25*X25*2),IF(AND(H19="A",AF4&gt;=3),IF(H2="(一般部)",-(G25*K25+O25)*T25*X25*0.8*0.8,-(G25*K25+O25)*T25*X25*0.8*0.8*2),IF(H2="(一般部)",-(G25*K25+O25)*T25*X25*0.8,-(G25*K25+O25)*T25*X25*0.8*2)))</f>
        <v>-28.64</v>
      </c>
      <c r="AK25" s="55"/>
      <c r="AL25" s="55"/>
      <c r="AM25" s="55"/>
      <c r="AN25" s="3" t="s">
        <v>18</v>
      </c>
    </row>
    <row r="26" ht="22.5" customHeight="1">
      <c r="B26" s="58"/>
    </row>
    <row r="27" ht="22.5" customHeight="1">
      <c r="B27" s="3" t="s">
        <v>223</v>
      </c>
    </row>
    <row r="28" spans="1:28" ht="22.5" customHeight="1">
      <c r="A28" s="2"/>
      <c r="B28" s="2"/>
      <c r="C28" s="2" t="s">
        <v>139</v>
      </c>
      <c r="D28" s="2"/>
      <c r="E28" s="2"/>
      <c r="F28" s="2"/>
      <c r="G28" s="2"/>
      <c r="H28" s="2"/>
      <c r="I28" s="2"/>
      <c r="J28" s="142" t="s">
        <v>40</v>
      </c>
      <c r="K28" s="2"/>
      <c r="L28" s="5"/>
      <c r="M28" s="6"/>
      <c r="N28" s="2"/>
      <c r="Y28" s="2"/>
      <c r="Z28" s="2"/>
      <c r="AA28" s="2"/>
      <c r="AB28" s="2"/>
    </row>
    <row r="29" spans="3:38" ht="22.5" customHeight="1">
      <c r="C29" s="2" t="s">
        <v>140</v>
      </c>
      <c r="D29" s="64"/>
      <c r="E29" s="65"/>
      <c r="F29" s="65"/>
      <c r="G29" s="65"/>
      <c r="H29" s="65"/>
      <c r="I29" s="65"/>
      <c r="J29" s="55"/>
      <c r="K29" s="55"/>
      <c r="N29" s="143" t="s">
        <v>141</v>
      </c>
      <c r="O29" s="66"/>
      <c r="Q29" s="203">
        <v>24</v>
      </c>
      <c r="R29" s="163"/>
      <c r="S29" s="163"/>
      <c r="T29" s="65" t="s">
        <v>142</v>
      </c>
      <c r="U29" s="67"/>
      <c r="W29" s="74" t="s">
        <v>143</v>
      </c>
      <c r="Y29" s="74"/>
      <c r="Z29" s="74"/>
      <c r="AA29" s="74"/>
      <c r="AB29" s="74"/>
      <c r="AC29" s="74"/>
      <c r="AD29" s="74"/>
      <c r="AE29" s="74"/>
      <c r="AF29" s="73"/>
      <c r="AG29" s="68"/>
      <c r="AI29" s="144" t="s">
        <v>144</v>
      </c>
      <c r="AJ29" s="74"/>
      <c r="AK29" s="204">
        <v>7</v>
      </c>
      <c r="AL29" s="204"/>
    </row>
    <row r="30" spans="3:33" ht="22.5" customHeight="1">
      <c r="C30" s="3" t="s">
        <v>145</v>
      </c>
      <c r="N30" s="143" t="s">
        <v>146</v>
      </c>
      <c r="Q30" s="143" t="s">
        <v>147</v>
      </c>
      <c r="R30" s="15"/>
      <c r="S30" s="15"/>
      <c r="T30" s="20">
        <f>IF(J28="合成",3.5,IF(J28="非合成",3,"ERROR"))</f>
        <v>3</v>
      </c>
      <c r="U30" s="20"/>
      <c r="V30" s="69" t="s">
        <v>99</v>
      </c>
      <c r="W30" s="63">
        <f>Q29</f>
        <v>24</v>
      </c>
      <c r="X30" s="63"/>
      <c r="Y30" s="56" t="s">
        <v>116</v>
      </c>
      <c r="Z30" s="20">
        <f>T30</f>
        <v>3</v>
      </c>
      <c r="AA30" s="20"/>
      <c r="AB30" s="3" t="s">
        <v>99</v>
      </c>
      <c r="AC30" s="61">
        <f>W30/Z30</f>
        <v>8</v>
      </c>
      <c r="AD30" s="61"/>
      <c r="AE30" s="61"/>
      <c r="AF30" s="65" t="s">
        <v>142</v>
      </c>
      <c r="AG30" s="67"/>
    </row>
    <row r="31" spans="3:26" ht="22.5" customHeight="1">
      <c r="C31" s="74" t="s">
        <v>148</v>
      </c>
      <c r="D31" s="74"/>
      <c r="E31" s="74"/>
      <c r="F31" s="74"/>
      <c r="G31" s="74" t="s">
        <v>149</v>
      </c>
      <c r="H31" s="74"/>
      <c r="I31" s="163">
        <v>295</v>
      </c>
      <c r="J31" s="163"/>
      <c r="K31" s="74" t="s">
        <v>104</v>
      </c>
      <c r="N31" s="143" t="s">
        <v>150</v>
      </c>
      <c r="O31" s="74"/>
      <c r="Q31" s="70">
        <v>140</v>
      </c>
      <c r="R31" s="15"/>
      <c r="S31" s="15"/>
      <c r="T31" s="71" t="s">
        <v>123</v>
      </c>
      <c r="U31" s="70">
        <v>120</v>
      </c>
      <c r="V31" s="15"/>
      <c r="W31" s="3" t="s">
        <v>104</v>
      </c>
      <c r="X31" s="65" t="s">
        <v>142</v>
      </c>
      <c r="Z31" s="67"/>
    </row>
    <row r="32" spans="3:24" s="7" customFormat="1" ht="22.5" customHeight="1">
      <c r="C32" s="145"/>
      <c r="D32" s="145"/>
      <c r="E32" s="145"/>
      <c r="F32" s="145"/>
      <c r="G32" s="145"/>
      <c r="H32" s="145"/>
      <c r="I32" s="146"/>
      <c r="J32" s="146"/>
      <c r="K32" s="145"/>
      <c r="L32" s="147"/>
      <c r="M32" s="145"/>
      <c r="O32" s="70"/>
      <c r="P32" s="70"/>
      <c r="Q32" s="70"/>
      <c r="R32" s="82" t="s">
        <v>151</v>
      </c>
      <c r="S32" s="70"/>
      <c r="T32" s="70"/>
      <c r="U32" s="70"/>
      <c r="W32" s="83"/>
      <c r="X32" s="84"/>
    </row>
    <row r="33" spans="3:24" ht="22.5" customHeight="1">
      <c r="C33" s="74"/>
      <c r="D33" s="74"/>
      <c r="E33" s="74"/>
      <c r="F33" s="74"/>
      <c r="G33" s="74"/>
      <c r="H33" s="74"/>
      <c r="I33" s="160"/>
      <c r="J33" s="160"/>
      <c r="K33" s="74"/>
      <c r="L33" s="143"/>
      <c r="M33" s="74"/>
      <c r="O33" s="70"/>
      <c r="P33" s="15"/>
      <c r="Q33" s="15"/>
      <c r="S33" s="70"/>
      <c r="T33" s="15"/>
      <c r="U33" s="15"/>
      <c r="W33" s="65"/>
      <c r="X33" s="67"/>
    </row>
    <row r="34" ht="22.5" customHeight="1">
      <c r="C34" s="56" t="s">
        <v>287</v>
      </c>
    </row>
    <row r="35" spans="24:33" s="74" customFormat="1" ht="16.5" customHeight="1">
      <c r="X35" s="74" t="s">
        <v>112</v>
      </c>
      <c r="AB35" s="74" t="s">
        <v>112</v>
      </c>
      <c r="AG35" s="74" t="s">
        <v>112</v>
      </c>
    </row>
    <row r="36" spans="4:25" s="2" customFormat="1" ht="21.75" customHeight="1">
      <c r="D36" s="2" t="s">
        <v>153</v>
      </c>
      <c r="M36" s="74" t="s">
        <v>154</v>
      </c>
      <c r="N36" s="74"/>
      <c r="O36" s="70">
        <f>L13*100</f>
        <v>30</v>
      </c>
      <c r="P36" s="15"/>
      <c r="Q36" s="15"/>
      <c r="R36" s="74" t="s">
        <v>155</v>
      </c>
      <c r="S36" s="11"/>
      <c r="W36" s="11"/>
      <c r="X36" s="11"/>
      <c r="Y36" s="11"/>
    </row>
    <row r="37" spans="4:25" s="2" customFormat="1" ht="21.75" customHeight="1">
      <c r="D37" s="2" t="s">
        <v>156</v>
      </c>
      <c r="M37" s="72" t="s">
        <v>157</v>
      </c>
      <c r="N37" s="68"/>
      <c r="O37" s="70">
        <f>O36-O39</f>
        <v>26</v>
      </c>
      <c r="P37" s="15"/>
      <c r="Q37" s="15"/>
      <c r="R37" s="74" t="s">
        <v>155</v>
      </c>
      <c r="S37" s="11"/>
      <c r="W37" s="11"/>
      <c r="X37" s="11"/>
      <c r="Y37" s="11"/>
    </row>
    <row r="38" spans="4:25" s="2" customFormat="1" ht="21.75" customHeight="1">
      <c r="D38" s="8" t="s">
        <v>158</v>
      </c>
      <c r="E38" s="18"/>
      <c r="F38" s="148"/>
      <c r="G38" s="18"/>
      <c r="H38" s="18"/>
      <c r="M38" s="73" t="s">
        <v>159</v>
      </c>
      <c r="N38" s="68"/>
      <c r="O38" s="203">
        <v>4</v>
      </c>
      <c r="P38" s="163"/>
      <c r="Q38" s="163"/>
      <c r="R38" s="74" t="s">
        <v>155</v>
      </c>
      <c r="S38" s="11"/>
      <c r="W38" s="11"/>
      <c r="X38" s="11"/>
      <c r="Y38" s="11"/>
    </row>
    <row r="39" spans="4:25" s="2" customFormat="1" ht="21.75" customHeight="1">
      <c r="D39" s="8" t="s">
        <v>160</v>
      </c>
      <c r="G39" s="149"/>
      <c r="H39" s="149"/>
      <c r="M39" s="73" t="s">
        <v>161</v>
      </c>
      <c r="N39" s="68"/>
      <c r="O39" s="203">
        <v>4</v>
      </c>
      <c r="P39" s="163"/>
      <c r="Q39" s="163"/>
      <c r="R39" s="74" t="s">
        <v>155</v>
      </c>
      <c r="S39" s="11"/>
      <c r="W39" s="11"/>
      <c r="X39" s="11"/>
      <c r="Y39" s="11"/>
    </row>
    <row r="40" spans="4:18" s="2" customFormat="1" ht="21.75" customHeight="1">
      <c r="D40" s="2" t="s">
        <v>162</v>
      </c>
      <c r="M40" s="18" t="s">
        <v>163</v>
      </c>
      <c r="N40" s="18"/>
      <c r="O40" s="70">
        <v>100</v>
      </c>
      <c r="P40" s="15"/>
      <c r="Q40" s="15"/>
      <c r="R40" s="74" t="s">
        <v>155</v>
      </c>
    </row>
    <row r="41" spans="4:40" s="2" customFormat="1" ht="21.75" customHeight="1">
      <c r="D41" s="74" t="s">
        <v>164</v>
      </c>
      <c r="E41" s="74"/>
      <c r="F41" s="74"/>
      <c r="G41" s="74"/>
      <c r="H41" s="74"/>
      <c r="J41" s="74" t="s">
        <v>19</v>
      </c>
      <c r="K41" s="74"/>
      <c r="L41" s="73">
        <v>19</v>
      </c>
      <c r="M41" s="68"/>
      <c r="N41" s="144"/>
      <c r="O41" s="74"/>
      <c r="P41" s="74" t="s">
        <v>20</v>
      </c>
      <c r="Q41" s="74"/>
      <c r="S41" s="203">
        <v>125</v>
      </c>
      <c r="T41" s="163"/>
      <c r="U41" s="163"/>
      <c r="V41" s="74" t="s">
        <v>100</v>
      </c>
      <c r="Y41" s="74" t="s">
        <v>165</v>
      </c>
      <c r="Z41" s="74"/>
      <c r="AA41" s="74"/>
      <c r="AB41" s="74"/>
      <c r="AC41" s="74"/>
      <c r="AD41" s="74"/>
      <c r="AE41" s="74"/>
      <c r="AH41" s="74" t="s">
        <v>166</v>
      </c>
      <c r="AI41" s="74"/>
      <c r="AJ41" s="75">
        <f>IF(L41=13,1.267*1000/S41,IF(L41=16,1.986*1000/S41,IF(L41=19,2.865*1000/S41,IF(L41=22,3.871*1000/S41,IF(L41=25,5.067*1000/S41,IF(L41=29,6.424*1000/S41,7.942*1000/S41))))))</f>
        <v>22.92</v>
      </c>
      <c r="AK41" s="153"/>
      <c r="AL41" s="153"/>
      <c r="AM41" s="153"/>
      <c r="AN41" s="74" t="s">
        <v>167</v>
      </c>
    </row>
    <row r="42" spans="4:40" s="2" customFormat="1" ht="21.75" customHeight="1">
      <c r="D42" s="74" t="s">
        <v>168</v>
      </c>
      <c r="E42" s="74"/>
      <c r="F42" s="74"/>
      <c r="G42" s="74"/>
      <c r="H42" s="74"/>
      <c r="I42" s="74"/>
      <c r="J42" s="74" t="s">
        <v>19</v>
      </c>
      <c r="K42" s="74"/>
      <c r="L42" s="73">
        <v>19</v>
      </c>
      <c r="M42" s="68"/>
      <c r="N42" s="144"/>
      <c r="O42" s="74"/>
      <c r="P42" s="74" t="s">
        <v>20</v>
      </c>
      <c r="Q42" s="74"/>
      <c r="S42" s="203">
        <v>250</v>
      </c>
      <c r="T42" s="163"/>
      <c r="U42" s="163"/>
      <c r="V42" s="74" t="s">
        <v>100</v>
      </c>
      <c r="X42" s="74"/>
      <c r="Y42" s="74" t="s">
        <v>169</v>
      </c>
      <c r="Z42" s="74"/>
      <c r="AA42" s="74"/>
      <c r="AB42" s="74"/>
      <c r="AC42" s="74"/>
      <c r="AD42" s="74"/>
      <c r="AE42" s="74"/>
      <c r="AH42" s="74" t="s">
        <v>170</v>
      </c>
      <c r="AI42" s="74"/>
      <c r="AJ42" s="75">
        <f>IF(L42=13,1.267*1000/S42,IF(L42=16,1.986*1000/S42,IF(L42=19,2.865*1000/S42,IF(L42=22,3.871*1000/S42,IF(L42=25,5.067*1000/S42,IF(L42=29,6.424*1000/S42,7.942*1000/S42))))))</f>
        <v>11.46</v>
      </c>
      <c r="AK42" s="153"/>
      <c r="AL42" s="153"/>
      <c r="AM42" s="153"/>
      <c r="AN42" s="74" t="s">
        <v>167</v>
      </c>
    </row>
    <row r="43" spans="3:13" s="74" customFormat="1" ht="16.5" customHeight="1">
      <c r="C43" s="74" t="s">
        <v>173</v>
      </c>
      <c r="K43" s="154"/>
      <c r="L43" s="154"/>
      <c r="M43" s="154"/>
    </row>
    <row r="44" spans="4:13" s="74" customFormat="1" ht="16.5" customHeight="1">
      <c r="D44" s="74" t="s">
        <v>172</v>
      </c>
      <c r="K44" s="154"/>
      <c r="L44" s="154"/>
      <c r="M44" s="154"/>
    </row>
    <row r="45" spans="5:13" s="74" customFormat="1" ht="16.5" customHeight="1">
      <c r="E45" s="74" t="str">
        <f>"= -"&amp;$AK$29&amp;"×("&amp;ROUND(AJ41,2)&amp;" + "&amp;ROUND(AJ42,2)&amp;")/100 + √[ {"&amp;$AK$29&amp;"×("&amp;ROUND(AJ41,2)&amp;" + "&amp;ROUND(AJ42,2)&amp;")/100}^2 + 2×"&amp;$AK$29&amp;"×("&amp;O37&amp;"×"&amp;ROUND(AJ41,2)&amp;" + "&amp;O38&amp;"×"&amp;ROUND(AJ42,2)&amp;")/100 ]"</f>
        <v>= -7×(22.92 + 11.46)/100 + √[ {7×(22.92 + 11.46)/100}^2 + 2×7×(26×22.92 + 4×11.46)/100 ]</v>
      </c>
      <c r="K45" s="154"/>
      <c r="L45" s="154"/>
      <c r="M45" s="154"/>
    </row>
    <row r="46" spans="5:13" s="74" customFormat="1" ht="16.5" customHeight="1">
      <c r="E46" s="74" t="s">
        <v>99</v>
      </c>
      <c r="F46" s="61">
        <f>-$AK$29*(AJ41+AJ42)/100+SQRT(($AK$29*(AJ41+AJ42)/100)^2+2*$AK$29*(O37*AJ41+O38*AJ42)/100)</f>
        <v>7.372874605519461</v>
      </c>
      <c r="G46" s="55"/>
      <c r="H46" s="55"/>
      <c r="I46" s="74" t="s">
        <v>155</v>
      </c>
      <c r="K46" s="154"/>
      <c r="L46" s="154"/>
      <c r="M46" s="154"/>
    </row>
    <row r="47" spans="3:13" s="74" customFormat="1" ht="16.5" customHeight="1">
      <c r="C47" s="74" t="s">
        <v>173</v>
      </c>
      <c r="K47" s="154"/>
      <c r="L47" s="154"/>
      <c r="M47" s="154"/>
    </row>
    <row r="48" spans="4:13" s="74" customFormat="1" ht="16.5" customHeight="1">
      <c r="D48" s="74" t="s">
        <v>174</v>
      </c>
      <c r="K48" s="154"/>
      <c r="L48" s="154"/>
      <c r="M48" s="154"/>
    </row>
    <row r="49" spans="5:13" s="74" customFormat="1" ht="16.5" customHeight="1">
      <c r="E49" s="74" t="str">
        <f>"= ( 100 × "&amp;ROUND(F46,2)&amp;" / 2 ) × ( "&amp;O37&amp;" - "&amp;ROUND(F46,2)&amp;" / 3 ) + "&amp;$AK$29&amp;" × "&amp;ROUND(AJ42,2)&amp;" ×( "&amp;ROUND(F46,2)&amp;" - "&amp;O38&amp;" ) / "&amp;ROUND(F46,2)&amp;" ×( "&amp;O37&amp;" - "&amp;O38&amp;" )"</f>
        <v>= ( 100 × 7.37 / 2 ) × ( 26 - 7.37 / 3 ) + 7 × 11.46 ×( 7.37 - 4 ) / 7.37 ×( 26 - 4 )</v>
      </c>
      <c r="K49" s="154"/>
      <c r="L49" s="154"/>
      <c r="M49" s="154"/>
    </row>
    <row r="50" spans="5:13" s="74" customFormat="1" ht="16.5" customHeight="1">
      <c r="E50" s="74" t="s">
        <v>99</v>
      </c>
      <c r="F50" s="155">
        <f>(100*ROUND(F46,2)/2)*(O37-ROUND(F46,2)/3)+$AK$29*AJ42*(ROUND(F46,2)-O38)/ROUND(F46,2)*(O37-O38)</f>
        <v>9482.707587064675</v>
      </c>
      <c r="G50" s="155"/>
      <c r="H50" s="155"/>
      <c r="I50" s="155"/>
      <c r="J50" s="74" t="s">
        <v>175</v>
      </c>
      <c r="K50" s="154"/>
      <c r="L50" s="154"/>
      <c r="M50" s="154"/>
    </row>
    <row r="51" spans="3:13" s="74" customFormat="1" ht="16.5" customHeight="1">
      <c r="C51" s="74" t="s">
        <v>176</v>
      </c>
      <c r="K51" s="154"/>
      <c r="L51" s="154"/>
      <c r="M51" s="154"/>
    </row>
    <row r="52" spans="4:13" s="74" customFormat="1" ht="16.5" customHeight="1">
      <c r="D52" s="74" t="s">
        <v>177</v>
      </c>
      <c r="K52" s="154"/>
      <c r="L52" s="154"/>
      <c r="M52" s="154"/>
    </row>
    <row r="53" spans="4:13" s="74" customFormat="1" ht="16.5" customHeight="1">
      <c r="D53" s="137" t="str">
        <f>"= (1/"&amp;$AK$29&amp;")×( "&amp;ROUND(F46,2)&amp;" / ( "&amp;O37&amp;"- "&amp;ROUND(F46,2)&amp;" ))×"&amp;ROUND(F50,1)</f>
        <v>= (1/7)×( 7.37 / ( 26- 7.37 ))×9482.7</v>
      </c>
      <c r="K53" s="154"/>
      <c r="L53" s="154"/>
      <c r="M53" s="154"/>
    </row>
    <row r="54" spans="4:13" s="74" customFormat="1" ht="16.5" customHeight="1">
      <c r="D54" s="74" t="s">
        <v>99</v>
      </c>
      <c r="E54" s="155">
        <f>1/$AK$29*(ROUND(F46,2)/(O37-ROUND(F46,2)))*ROUND(F50,1)</f>
        <v>535.905981136416</v>
      </c>
      <c r="F54" s="155"/>
      <c r="G54" s="155"/>
      <c r="H54" s="155"/>
      <c r="I54" s="74" t="s">
        <v>175</v>
      </c>
      <c r="K54" s="154"/>
      <c r="L54" s="154"/>
      <c r="M54" s="154"/>
    </row>
    <row r="55" spans="11:13" s="74" customFormat="1" ht="16.5" customHeight="1">
      <c r="K55" s="154"/>
      <c r="L55" s="154"/>
      <c r="M55" s="154"/>
    </row>
    <row r="56" spans="3:23" s="74" customFormat="1" ht="16.5" customHeight="1">
      <c r="C56" s="74" t="s">
        <v>178</v>
      </c>
      <c r="K56" s="76" t="s">
        <v>179</v>
      </c>
      <c r="L56" s="154"/>
      <c r="M56" s="154"/>
      <c r="W56" s="156"/>
    </row>
    <row r="57" spans="3:17" s="74" customFormat="1" ht="16.5" customHeight="1">
      <c r="C57" s="74" t="s">
        <v>180</v>
      </c>
      <c r="K57" s="74" t="s">
        <v>181</v>
      </c>
      <c r="L57" s="154"/>
      <c r="M57" s="154"/>
      <c r="Q57" s="74" t="s">
        <v>182</v>
      </c>
    </row>
    <row r="58" spans="11:13" s="74" customFormat="1" ht="16.5" customHeight="1">
      <c r="K58" s="154"/>
      <c r="L58" s="154"/>
      <c r="M58" s="154"/>
    </row>
    <row r="59" spans="1:42" s="74" customFormat="1" ht="16.5" customHeight="1">
      <c r="A59" s="3"/>
      <c r="B59" s="3"/>
      <c r="C59" s="168" t="s">
        <v>183</v>
      </c>
      <c r="D59" s="168"/>
      <c r="E59" s="168"/>
      <c r="F59" s="168"/>
      <c r="G59" s="168"/>
      <c r="H59" s="168"/>
      <c r="I59" s="168"/>
      <c r="J59" s="168"/>
      <c r="K59" s="168"/>
      <c r="L59" s="176" t="s">
        <v>184</v>
      </c>
      <c r="M59" s="177"/>
      <c r="N59" s="177"/>
      <c r="O59" s="177"/>
      <c r="P59" s="178"/>
      <c r="Q59" s="168" t="s">
        <v>185</v>
      </c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 t="s">
        <v>186</v>
      </c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72" t="s">
        <v>187</v>
      </c>
      <c r="AN59" s="173"/>
      <c r="AO59" s="173"/>
      <c r="AP59" s="174"/>
    </row>
    <row r="60" spans="1:42" s="74" customFormat="1" ht="16.5" customHeight="1">
      <c r="A60" s="3"/>
      <c r="B60" s="3"/>
      <c r="C60" s="168"/>
      <c r="D60" s="168"/>
      <c r="E60" s="168"/>
      <c r="F60" s="168"/>
      <c r="G60" s="168"/>
      <c r="H60" s="168"/>
      <c r="I60" s="168"/>
      <c r="J60" s="168"/>
      <c r="K60" s="168"/>
      <c r="L60" s="179" t="s">
        <v>188</v>
      </c>
      <c r="M60" s="180"/>
      <c r="N60" s="180"/>
      <c r="O60" s="180"/>
      <c r="P60" s="181"/>
      <c r="Q60" s="168" t="s">
        <v>189</v>
      </c>
      <c r="R60" s="168"/>
      <c r="S60" s="168"/>
      <c r="T60" s="168"/>
      <c r="U60" s="168" t="s">
        <v>187</v>
      </c>
      <c r="V60" s="168"/>
      <c r="W60" s="168"/>
      <c r="X60" s="168"/>
      <c r="Y60" s="168" t="s">
        <v>190</v>
      </c>
      <c r="Z60" s="168"/>
      <c r="AA60" s="168"/>
      <c r="AB60" s="168" t="s">
        <v>189</v>
      </c>
      <c r="AC60" s="168"/>
      <c r="AD60" s="168"/>
      <c r="AE60" s="168"/>
      <c r="AF60" s="168" t="s">
        <v>187</v>
      </c>
      <c r="AG60" s="168"/>
      <c r="AH60" s="168"/>
      <c r="AI60" s="168"/>
      <c r="AJ60" s="168" t="s">
        <v>190</v>
      </c>
      <c r="AK60" s="168"/>
      <c r="AL60" s="168"/>
      <c r="AM60" s="151" t="s">
        <v>191</v>
      </c>
      <c r="AN60" s="152"/>
      <c r="AO60" s="152"/>
      <c r="AP60" s="134"/>
    </row>
    <row r="61" spans="1:42" s="74" customFormat="1" ht="22.5" customHeight="1">
      <c r="A61" s="3"/>
      <c r="B61" s="3"/>
      <c r="C61" s="167" t="s">
        <v>192</v>
      </c>
      <c r="D61" s="167"/>
      <c r="E61" s="167"/>
      <c r="F61" s="167"/>
      <c r="G61" s="167"/>
      <c r="H61" s="167"/>
      <c r="I61" s="167"/>
      <c r="J61" s="167"/>
      <c r="K61" s="167"/>
      <c r="L61" s="182">
        <f>Z16</f>
        <v>-5.2704</v>
      </c>
      <c r="M61" s="183"/>
      <c r="N61" s="183"/>
      <c r="O61" s="183"/>
      <c r="P61" s="184"/>
      <c r="Q61" s="168" t="s">
        <v>122</v>
      </c>
      <c r="R61" s="168"/>
      <c r="S61" s="168"/>
      <c r="T61" s="168"/>
      <c r="U61" s="168" t="s">
        <v>122</v>
      </c>
      <c r="V61" s="168"/>
      <c r="W61" s="168"/>
      <c r="X61" s="168"/>
      <c r="Y61" s="168" t="s">
        <v>122</v>
      </c>
      <c r="Z61" s="168"/>
      <c r="AA61" s="168"/>
      <c r="AB61" s="168" t="s">
        <v>122</v>
      </c>
      <c r="AC61" s="168"/>
      <c r="AD61" s="168"/>
      <c r="AE61" s="168"/>
      <c r="AF61" s="168" t="s">
        <v>122</v>
      </c>
      <c r="AG61" s="168"/>
      <c r="AH61" s="168"/>
      <c r="AI61" s="168"/>
      <c r="AJ61" s="168" t="s">
        <v>122</v>
      </c>
      <c r="AK61" s="168"/>
      <c r="AL61" s="168"/>
      <c r="AM61" s="168" t="s">
        <v>122</v>
      </c>
      <c r="AN61" s="168"/>
      <c r="AO61" s="168"/>
      <c r="AP61" s="168"/>
    </row>
    <row r="62" spans="1:42" s="145" customFormat="1" ht="22.5" customHeight="1">
      <c r="A62" s="7"/>
      <c r="B62" s="7"/>
      <c r="C62" s="211" t="s">
        <v>193</v>
      </c>
      <c r="D62" s="211"/>
      <c r="E62" s="211"/>
      <c r="F62" s="211"/>
      <c r="G62" s="211"/>
      <c r="H62" s="211"/>
      <c r="I62" s="211"/>
      <c r="J62" s="211"/>
      <c r="K62" s="211"/>
      <c r="L62" s="212">
        <f>AJ25</f>
        <v>-28.64</v>
      </c>
      <c r="M62" s="213"/>
      <c r="N62" s="213"/>
      <c r="O62" s="213"/>
      <c r="P62" s="214"/>
      <c r="Q62" s="207" t="s">
        <v>122</v>
      </c>
      <c r="R62" s="207"/>
      <c r="S62" s="207"/>
      <c r="T62" s="207"/>
      <c r="U62" s="207" t="s">
        <v>122</v>
      </c>
      <c r="V62" s="207"/>
      <c r="W62" s="207"/>
      <c r="X62" s="207"/>
      <c r="Y62" s="207" t="s">
        <v>122</v>
      </c>
      <c r="Z62" s="207"/>
      <c r="AA62" s="207"/>
      <c r="AB62" s="207" t="s">
        <v>122</v>
      </c>
      <c r="AC62" s="207"/>
      <c r="AD62" s="207"/>
      <c r="AE62" s="207"/>
      <c r="AF62" s="207" t="s">
        <v>122</v>
      </c>
      <c r="AG62" s="207"/>
      <c r="AH62" s="207"/>
      <c r="AI62" s="207"/>
      <c r="AJ62" s="207" t="s">
        <v>122</v>
      </c>
      <c r="AK62" s="207"/>
      <c r="AL62" s="207"/>
      <c r="AM62" s="207" t="s">
        <v>122</v>
      </c>
      <c r="AN62" s="207"/>
      <c r="AO62" s="207"/>
      <c r="AP62" s="207"/>
    </row>
    <row r="63" spans="1:42" s="145" customFormat="1" ht="22.5" customHeight="1">
      <c r="A63" s="7"/>
      <c r="B63" s="7"/>
      <c r="C63" s="215" t="s">
        <v>288</v>
      </c>
      <c r="D63" s="215"/>
      <c r="E63" s="215"/>
      <c r="F63" s="215"/>
      <c r="G63" s="215"/>
      <c r="H63" s="215"/>
      <c r="I63" s="215"/>
      <c r="J63" s="215"/>
      <c r="K63" s="215"/>
      <c r="L63" s="220">
        <v>0</v>
      </c>
      <c r="M63" s="221"/>
      <c r="N63" s="221"/>
      <c r="O63" s="221"/>
      <c r="P63" s="222"/>
      <c r="Q63" s="210" t="s">
        <v>122</v>
      </c>
      <c r="R63" s="210"/>
      <c r="S63" s="210"/>
      <c r="T63" s="210"/>
      <c r="U63" s="210" t="s">
        <v>122</v>
      </c>
      <c r="V63" s="210"/>
      <c r="W63" s="210"/>
      <c r="X63" s="210"/>
      <c r="Y63" s="210" t="s">
        <v>122</v>
      </c>
      <c r="Z63" s="210"/>
      <c r="AA63" s="210"/>
      <c r="AB63" s="210" t="s">
        <v>122</v>
      </c>
      <c r="AC63" s="210"/>
      <c r="AD63" s="210"/>
      <c r="AE63" s="210"/>
      <c r="AF63" s="210" t="s">
        <v>122</v>
      </c>
      <c r="AG63" s="210"/>
      <c r="AH63" s="210"/>
      <c r="AI63" s="210"/>
      <c r="AJ63" s="210" t="s">
        <v>122</v>
      </c>
      <c r="AK63" s="210"/>
      <c r="AL63" s="210"/>
      <c r="AM63" s="210" t="s">
        <v>122</v>
      </c>
      <c r="AN63" s="210"/>
      <c r="AO63" s="210"/>
      <c r="AP63" s="210"/>
    </row>
    <row r="64" spans="3:42" s="7" customFormat="1" ht="22.5" customHeight="1">
      <c r="C64" s="211" t="s">
        <v>289</v>
      </c>
      <c r="D64" s="211"/>
      <c r="E64" s="211"/>
      <c r="F64" s="211"/>
      <c r="G64" s="211"/>
      <c r="H64" s="211"/>
      <c r="I64" s="211"/>
      <c r="J64" s="211"/>
      <c r="K64" s="211"/>
      <c r="L64" s="212">
        <f>L61+L62</f>
        <v>-33.9104</v>
      </c>
      <c r="M64" s="213"/>
      <c r="N64" s="213"/>
      <c r="O64" s="213"/>
      <c r="P64" s="214"/>
      <c r="Q64" s="208">
        <f>ABS(L64)/F50*1000</f>
        <v>3.576025063375048</v>
      </c>
      <c r="R64" s="208"/>
      <c r="S64" s="208"/>
      <c r="T64" s="208"/>
      <c r="U64" s="208">
        <f>$AC$30</f>
        <v>8</v>
      </c>
      <c r="V64" s="208"/>
      <c r="W64" s="208"/>
      <c r="X64" s="208"/>
      <c r="Y64" s="207" t="str">
        <f>IF(Q64&lt;=U64,"O.K.","N.G.")</f>
        <v>O.K.</v>
      </c>
      <c r="Z64" s="207"/>
      <c r="AA64" s="207"/>
      <c r="AB64" s="208">
        <f>ABS(L64)/E54*1000</f>
        <v>63.27677091435192</v>
      </c>
      <c r="AC64" s="208"/>
      <c r="AD64" s="208"/>
      <c r="AE64" s="208"/>
      <c r="AF64" s="209">
        <f>$U$31</f>
        <v>120</v>
      </c>
      <c r="AG64" s="209"/>
      <c r="AH64" s="209"/>
      <c r="AI64" s="209"/>
      <c r="AJ64" s="207" t="str">
        <f>IF(AB64&lt;=AF64,"O.K.","N.G.")</f>
        <v>O.K.</v>
      </c>
      <c r="AK64" s="207"/>
      <c r="AL64" s="207"/>
      <c r="AM64" s="208">
        <v>1</v>
      </c>
      <c r="AN64" s="208"/>
      <c r="AO64" s="208"/>
      <c r="AP64" s="208"/>
    </row>
    <row r="65" spans="3:42" s="7" customFormat="1" ht="22.5" customHeight="1">
      <c r="C65" s="211" t="s">
        <v>290</v>
      </c>
      <c r="D65" s="211"/>
      <c r="E65" s="211"/>
      <c r="F65" s="211"/>
      <c r="G65" s="211"/>
      <c r="H65" s="211"/>
      <c r="I65" s="211"/>
      <c r="J65" s="211"/>
      <c r="K65" s="211"/>
      <c r="L65" s="216">
        <f>L64+L63</f>
        <v>-33.9104</v>
      </c>
      <c r="M65" s="216"/>
      <c r="N65" s="216"/>
      <c r="O65" s="216"/>
      <c r="P65" s="216"/>
      <c r="Q65" s="208">
        <f>ABS(L65)/F50*1000</f>
        <v>3.576025063375048</v>
      </c>
      <c r="R65" s="208"/>
      <c r="S65" s="208"/>
      <c r="T65" s="208"/>
      <c r="U65" s="208">
        <f>$AC$30</f>
        <v>8</v>
      </c>
      <c r="V65" s="208"/>
      <c r="W65" s="208"/>
      <c r="X65" s="208"/>
      <c r="Y65" s="207" t="str">
        <f>IF(Q65&lt;=U65,"O.K.","N.G.")</f>
        <v>O.K.</v>
      </c>
      <c r="Z65" s="207"/>
      <c r="AA65" s="207"/>
      <c r="AB65" s="208">
        <f>ABS(L65)/E54*1000</f>
        <v>63.27677091435192</v>
      </c>
      <c r="AC65" s="208"/>
      <c r="AD65" s="208"/>
      <c r="AE65" s="208"/>
      <c r="AF65" s="209">
        <f>$Q$31</f>
        <v>140</v>
      </c>
      <c r="AG65" s="209"/>
      <c r="AH65" s="209"/>
      <c r="AI65" s="209"/>
      <c r="AJ65" s="207" t="str">
        <f>IF(AB65&lt;=AF65,"O.K.","N.G.")</f>
        <v>O.K.</v>
      </c>
      <c r="AK65" s="207"/>
      <c r="AL65" s="207"/>
      <c r="AM65" s="208">
        <v>1</v>
      </c>
      <c r="AN65" s="208"/>
      <c r="AO65" s="208"/>
      <c r="AP65" s="208"/>
    </row>
    <row r="66" s="7" customFormat="1" ht="22.5" customHeight="1"/>
  </sheetData>
  <mergeCells count="75">
    <mergeCell ref="S42:U42"/>
    <mergeCell ref="AK29:AL29"/>
    <mergeCell ref="O38:Q38"/>
    <mergeCell ref="O39:Q39"/>
    <mergeCell ref="S41:U41"/>
    <mergeCell ref="L14:N14"/>
    <mergeCell ref="S14:U14"/>
    <mergeCell ref="H19:I19"/>
    <mergeCell ref="Q29:S29"/>
    <mergeCell ref="O4:R4"/>
    <mergeCell ref="AF4:AG4"/>
    <mergeCell ref="L13:N13"/>
    <mergeCell ref="S13:U13"/>
    <mergeCell ref="AJ65:AL65"/>
    <mergeCell ref="AM65:AP65"/>
    <mergeCell ref="AB11:AC11"/>
    <mergeCell ref="AF63:AI63"/>
    <mergeCell ref="AJ63:AL63"/>
    <mergeCell ref="AM63:AP63"/>
    <mergeCell ref="AJ61:AL61"/>
    <mergeCell ref="AF61:AI61"/>
    <mergeCell ref="AJ62:AL62"/>
    <mergeCell ref="AF62:AI62"/>
    <mergeCell ref="C65:K65"/>
    <mergeCell ref="L65:P65"/>
    <mergeCell ref="Q65:T65"/>
    <mergeCell ref="U65:X65"/>
    <mergeCell ref="Y65:AA65"/>
    <mergeCell ref="AB65:AE65"/>
    <mergeCell ref="AF65:AI65"/>
    <mergeCell ref="Q63:T63"/>
    <mergeCell ref="U63:X63"/>
    <mergeCell ref="Y63:AA63"/>
    <mergeCell ref="AB63:AE63"/>
    <mergeCell ref="Y64:AA64"/>
    <mergeCell ref="AB64:AE64"/>
    <mergeCell ref="AF64:AI64"/>
    <mergeCell ref="I31:J31"/>
    <mergeCell ref="AB19:AD19"/>
    <mergeCell ref="AC7:AE7"/>
    <mergeCell ref="AB59:AL59"/>
    <mergeCell ref="C59:K60"/>
    <mergeCell ref="L59:P59"/>
    <mergeCell ref="L60:P60"/>
    <mergeCell ref="AF60:AI60"/>
    <mergeCell ref="AJ60:AL60"/>
    <mergeCell ref="Q59:AA59"/>
    <mergeCell ref="Q60:T60"/>
    <mergeCell ref="U60:X60"/>
    <mergeCell ref="Y60:AA60"/>
    <mergeCell ref="AB60:AE60"/>
    <mergeCell ref="Q61:T61"/>
    <mergeCell ref="U61:X61"/>
    <mergeCell ref="Y61:AA61"/>
    <mergeCell ref="AB61:AE61"/>
    <mergeCell ref="C64:K64"/>
    <mergeCell ref="C61:K61"/>
    <mergeCell ref="C62:K62"/>
    <mergeCell ref="U64:X64"/>
    <mergeCell ref="Q64:T64"/>
    <mergeCell ref="L61:P61"/>
    <mergeCell ref="L62:P62"/>
    <mergeCell ref="L64:P64"/>
    <mergeCell ref="C63:K63"/>
    <mergeCell ref="Q62:T62"/>
    <mergeCell ref="L63:P63"/>
    <mergeCell ref="AM59:AP59"/>
    <mergeCell ref="AM60:AP60"/>
    <mergeCell ref="AM64:AP64"/>
    <mergeCell ref="AM61:AP61"/>
    <mergeCell ref="AM62:AP62"/>
    <mergeCell ref="AJ64:AL64"/>
    <mergeCell ref="U62:X62"/>
    <mergeCell ref="Y62:AA62"/>
    <mergeCell ref="AB62:AE62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65"/>
  <sheetViews>
    <sheetView workbookViewId="0" topLeftCell="A55">
      <selection activeCell="AV64" sqref="AV64"/>
    </sheetView>
  </sheetViews>
  <sheetFormatPr defaultColWidth="8.88671875" defaultRowHeight="22.5" customHeight="1"/>
  <cols>
    <col min="1" max="16384" width="1.77734375" style="3" customWidth="1"/>
  </cols>
  <sheetData>
    <row r="1" spans="1:6" s="89" customFormat="1" ht="22.5" customHeight="1">
      <c r="A1" s="90"/>
      <c r="B1" s="91"/>
      <c r="C1" s="88"/>
      <c r="D1" s="88"/>
      <c r="E1" s="88"/>
      <c r="F1" s="88"/>
    </row>
    <row r="2" spans="1:8" ht="22.5" customHeight="1">
      <c r="A2" s="157" t="s">
        <v>296</v>
      </c>
      <c r="D2" s="2"/>
      <c r="E2" s="2"/>
      <c r="F2" s="2"/>
      <c r="H2" s="137" t="s">
        <v>202</v>
      </c>
    </row>
    <row r="3" spans="1:26" s="7" customFormat="1" ht="22.5" customHeight="1">
      <c r="A3" s="10"/>
      <c r="B3" s="10" t="s">
        <v>93</v>
      </c>
      <c r="C3" s="10"/>
      <c r="D3" s="10"/>
      <c r="E3" s="10"/>
      <c r="F3" s="10"/>
      <c r="H3" s="10"/>
      <c r="J3" s="10"/>
      <c r="K3" s="9" t="str">
        <f>IF(AF4&lt;3,"( 單純版 )","( 連続版 )")</f>
        <v>( 連続版 )</v>
      </c>
      <c r="L3" s="10"/>
      <c r="M3" s="10"/>
      <c r="N3" s="10"/>
      <c r="O3" s="10"/>
      <c r="Q3" s="98"/>
      <c r="R3" s="98"/>
      <c r="S3" s="70"/>
      <c r="U3" s="85"/>
      <c r="W3" s="98"/>
      <c r="Y3" s="99"/>
      <c r="Z3" s="123" t="s">
        <v>207</v>
      </c>
    </row>
    <row r="4" spans="1:33" s="7" customFormat="1" ht="22.5" customHeight="1">
      <c r="A4" s="10"/>
      <c r="C4" s="11" t="s">
        <v>95</v>
      </c>
      <c r="D4" s="10"/>
      <c r="E4" s="10"/>
      <c r="F4" s="10"/>
      <c r="G4" s="10"/>
      <c r="H4" s="10"/>
      <c r="M4" s="10" t="s">
        <v>96</v>
      </c>
      <c r="N4" s="10"/>
      <c r="O4" s="224">
        <v>2.4</v>
      </c>
      <c r="P4" s="164"/>
      <c r="Q4" s="164"/>
      <c r="R4" s="164"/>
      <c r="S4" s="10" t="s">
        <v>1</v>
      </c>
      <c r="T4" s="99"/>
      <c r="U4" s="85"/>
      <c r="W4" s="85" t="s">
        <v>208</v>
      </c>
      <c r="X4" s="85"/>
      <c r="Y4" s="85"/>
      <c r="Z4" s="85"/>
      <c r="AA4" s="85"/>
      <c r="AB4" s="85"/>
      <c r="AC4" s="85"/>
      <c r="AD4" s="85" t="s">
        <v>209</v>
      </c>
      <c r="AE4" s="85"/>
      <c r="AF4" s="225">
        <v>4</v>
      </c>
      <c r="AG4" s="163"/>
    </row>
    <row r="5" spans="1:33" s="7" customFormat="1" ht="22.5" customHeight="1">
      <c r="A5" s="10"/>
      <c r="C5" s="2" t="s">
        <v>88</v>
      </c>
      <c r="F5" s="10"/>
      <c r="G5" s="10"/>
      <c r="H5" s="10"/>
      <c r="I5" s="10"/>
      <c r="J5" s="10"/>
      <c r="P5" s="158" t="s">
        <v>89</v>
      </c>
      <c r="S5" s="10"/>
      <c r="T5" s="10"/>
      <c r="U5" s="10"/>
      <c r="X5" s="10" t="s">
        <v>90</v>
      </c>
      <c r="Y5" s="10"/>
      <c r="AA5" s="85"/>
      <c r="AB5" s="85"/>
      <c r="AC5" s="85"/>
      <c r="AD5" s="85"/>
      <c r="AE5" s="85"/>
      <c r="AF5" s="162"/>
      <c r="AG5" s="100"/>
    </row>
    <row r="6" spans="1:47" s="7" customFormat="1" ht="22.5" customHeight="1">
      <c r="A6" s="10"/>
      <c r="C6" s="9" t="str">
        <f>IF(AF4&lt;3,"do = (40·L + 110) =","do = (30·L + 110) =")</f>
        <v>do = (30·L + 110) =</v>
      </c>
      <c r="D6" s="10"/>
      <c r="E6" s="10"/>
      <c r="F6" s="10"/>
      <c r="G6" s="10"/>
      <c r="L6" s="10" t="str">
        <f>IF(AF4&lt;3,"{(40×"&amp;O4&amp;") + 110} = "&amp;ROUND((40*O4+110),0)&amp;" mm &gt; 160 mm","{(30×"&amp;O4&amp;") + 110} = "&amp;ROUND((30*O4+110),0)&amp;" mm &gt; 160 mm")</f>
        <v>{(30×2.4) + 110} = 182 mm &gt; 160 mm</v>
      </c>
      <c r="W6" s="10"/>
      <c r="X6" s="85"/>
      <c r="AG6" s="10"/>
      <c r="AH6" s="10"/>
      <c r="AI6" s="10"/>
      <c r="AJ6" s="10"/>
      <c r="AK6" s="10"/>
      <c r="AL6" s="10"/>
      <c r="AM6" s="10"/>
      <c r="AN6" s="10"/>
      <c r="AP6" s="10"/>
      <c r="AQ6" s="10"/>
      <c r="AR6" s="10"/>
      <c r="AS6" s="10"/>
      <c r="AT6" s="10"/>
      <c r="AU6" s="10"/>
    </row>
    <row r="7" spans="1:37" s="7" customFormat="1" ht="22.5" customHeight="1">
      <c r="A7" s="10"/>
      <c r="C7" s="10" t="s">
        <v>97</v>
      </c>
      <c r="D7" s="10"/>
      <c r="E7" s="10"/>
      <c r="F7" s="10"/>
      <c r="J7" s="101">
        <f>AB8</f>
        <v>1.25</v>
      </c>
      <c r="K7" s="77"/>
      <c r="L7" s="77"/>
      <c r="M7" s="102" t="s">
        <v>98</v>
      </c>
      <c r="N7" s="101">
        <f>AL11</f>
        <v>1</v>
      </c>
      <c r="O7" s="77"/>
      <c r="P7" s="77"/>
      <c r="Q7" s="102" t="s">
        <v>98</v>
      </c>
      <c r="R7" s="103">
        <f>IF(AF4&lt;3,ROUND((40*O4+110),0),ROUND((30*O4+110),0))</f>
        <v>182</v>
      </c>
      <c r="S7" s="78"/>
      <c r="T7" s="78"/>
      <c r="U7" s="102" t="s">
        <v>99</v>
      </c>
      <c r="V7" s="103">
        <f>ROUND(J7*N7*R7,-1)</f>
        <v>230</v>
      </c>
      <c r="W7" s="78"/>
      <c r="X7" s="103"/>
      <c r="Y7" s="10" t="s">
        <v>100</v>
      </c>
      <c r="AA7" s="102" t="s">
        <v>101</v>
      </c>
      <c r="AC7" s="206">
        <f>L13*100</f>
        <v>30</v>
      </c>
      <c r="AD7" s="206"/>
      <c r="AE7" s="206"/>
      <c r="AF7" s="85" t="s">
        <v>102</v>
      </c>
      <c r="AG7" s="10"/>
      <c r="AJ7" s="10" t="str">
        <f>IF(V7&lt;=AC7*10,"O.K.","N.G.")</f>
        <v>O.K.</v>
      </c>
      <c r="AK7" s="10"/>
    </row>
    <row r="8" spans="1:58" s="7" customFormat="1" ht="22.5" customHeight="1">
      <c r="A8" s="10"/>
      <c r="C8" s="10" t="s">
        <v>13</v>
      </c>
      <c r="D8" s="10"/>
      <c r="G8" s="2" t="s">
        <v>14</v>
      </c>
      <c r="H8" s="3"/>
      <c r="Y8" s="10" t="s">
        <v>103</v>
      </c>
      <c r="AB8" s="103">
        <f>IF(P5="500未満",1.1,IF(P5="500以上1000未満",1.15,IF(P5="1000以上2000未満",1.2,IF(P5="2000以上",1.25,"入力確認要望"))))</f>
        <v>1.25</v>
      </c>
      <c r="AC8" s="78"/>
      <c r="AD8" s="10" t="s">
        <v>104</v>
      </c>
      <c r="AN8" s="10"/>
      <c r="AP8" s="10"/>
      <c r="AQ8" s="10"/>
      <c r="AR8" s="10"/>
      <c r="AS8" s="10"/>
      <c r="AT8" s="10"/>
      <c r="AU8" s="10"/>
      <c r="AV8" s="10"/>
      <c r="AW8" s="10"/>
      <c r="AY8" s="10"/>
      <c r="BB8" s="10"/>
      <c r="BC8" s="10"/>
      <c r="BD8" s="10"/>
      <c r="BE8" s="10"/>
      <c r="BF8" s="85"/>
    </row>
    <row r="9" spans="1:58" s="7" customFormat="1" ht="22.5" customHeight="1">
      <c r="A9" s="10"/>
      <c r="C9" s="104"/>
      <c r="D9" s="10"/>
      <c r="E9" s="10"/>
      <c r="G9" s="2" t="s">
        <v>105</v>
      </c>
      <c r="H9" s="3"/>
      <c r="AN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BA9" s="10"/>
      <c r="BB9" s="10"/>
      <c r="BC9" s="10"/>
      <c r="BD9" s="10"/>
      <c r="BE9" s="10"/>
      <c r="BF9" s="85"/>
    </row>
    <row r="10" spans="1:58" s="7" customFormat="1" ht="22.5" customHeight="1">
      <c r="A10" s="10"/>
      <c r="C10" s="104"/>
      <c r="D10" s="10"/>
      <c r="E10" s="10"/>
      <c r="G10" s="7" t="s">
        <v>210</v>
      </c>
      <c r="AU10" s="10"/>
      <c r="AV10" s="10"/>
      <c r="AW10" s="10"/>
      <c r="AX10" s="10"/>
      <c r="AY10" s="10"/>
      <c r="BA10" s="10"/>
      <c r="BB10" s="10"/>
      <c r="BC10" s="10"/>
      <c r="BD10" s="10"/>
      <c r="BE10" s="10"/>
      <c r="BF10" s="85"/>
    </row>
    <row r="11" spans="1:58" s="7" customFormat="1" ht="22.5" customHeight="1">
      <c r="A11" s="10"/>
      <c r="C11" s="104"/>
      <c r="D11" s="10"/>
      <c r="E11" s="10"/>
      <c r="H11" s="7" t="s">
        <v>99</v>
      </c>
      <c r="I11" s="105">
        <v>0.9</v>
      </c>
      <c r="J11" s="105"/>
      <c r="K11" s="7" t="s">
        <v>98</v>
      </c>
      <c r="L11" s="7" t="s">
        <v>211</v>
      </c>
      <c r="N11" s="79">
        <f>L65</f>
        <v>-62.5504</v>
      </c>
      <c r="O11" s="79"/>
      <c r="P11" s="79"/>
      <c r="Q11" s="79"/>
      <c r="R11" s="80" t="s">
        <v>116</v>
      </c>
      <c r="S11" s="79">
        <f>L64</f>
        <v>-62.5504</v>
      </c>
      <c r="T11" s="79"/>
      <c r="U11" s="79"/>
      <c r="V11" s="79"/>
      <c r="W11" s="7" t="s">
        <v>104</v>
      </c>
      <c r="X11" s="7" t="s">
        <v>99</v>
      </c>
      <c r="Y11" s="77">
        <f>0.9*SQRT(N11/S11)</f>
        <v>0.9</v>
      </c>
      <c r="Z11" s="77"/>
      <c r="AA11" s="77"/>
      <c r="AB11" s="223" t="str">
        <f>IF(Y11&gt;=1,"≥","＜")</f>
        <v>＜</v>
      </c>
      <c r="AC11" s="223"/>
      <c r="AD11" s="77">
        <v>1</v>
      </c>
      <c r="AE11" s="77"/>
      <c r="AF11" s="77"/>
      <c r="AH11" s="102" t="s">
        <v>101</v>
      </c>
      <c r="AJ11" s="7" t="s">
        <v>212</v>
      </c>
      <c r="AL11" s="77">
        <f>IF(Y11&gt;=1,Y11,1)</f>
        <v>1</v>
      </c>
      <c r="AM11" s="77"/>
      <c r="AN11" s="77"/>
      <c r="AR11" s="10"/>
      <c r="AS11" s="10"/>
      <c r="AT11" s="10"/>
      <c r="AU11" s="10"/>
      <c r="AV11" s="10"/>
      <c r="AW11" s="10"/>
      <c r="AX11" s="10"/>
      <c r="AY11" s="10"/>
      <c r="BA11" s="10"/>
      <c r="BB11" s="10"/>
      <c r="BC11" s="10"/>
      <c r="BD11" s="10"/>
      <c r="BE11" s="10"/>
      <c r="BF11" s="85"/>
    </row>
    <row r="12" spans="1:33" s="7" customFormat="1" ht="22.5" customHeight="1">
      <c r="A12" s="10"/>
      <c r="B12" s="11" t="s">
        <v>107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92"/>
      <c r="Z12" s="92"/>
      <c r="AA12" s="92"/>
      <c r="AB12" s="92"/>
      <c r="AC12" s="92"/>
      <c r="AD12" s="92"/>
      <c r="AE12" s="92"/>
      <c r="AF12" s="92"/>
      <c r="AG12" s="92"/>
    </row>
    <row r="13" spans="1:33" s="7" customFormat="1" ht="22.5" customHeight="1">
      <c r="A13" s="10"/>
      <c r="B13" s="85"/>
      <c r="C13" s="11" t="s">
        <v>213</v>
      </c>
      <c r="D13" s="85"/>
      <c r="E13" s="85"/>
      <c r="F13" s="85"/>
      <c r="L13" s="226">
        <v>0.3</v>
      </c>
      <c r="M13" s="164"/>
      <c r="N13" s="164"/>
      <c r="O13" s="10" t="s">
        <v>1</v>
      </c>
      <c r="Q13" s="102" t="s">
        <v>98</v>
      </c>
      <c r="S13" s="227">
        <v>24.5</v>
      </c>
      <c r="T13" s="202"/>
      <c r="U13" s="202"/>
      <c r="V13" s="10" t="s">
        <v>80</v>
      </c>
      <c r="W13" s="85"/>
      <c r="X13" s="85"/>
      <c r="Y13" s="92"/>
      <c r="AB13" s="7" t="s">
        <v>99</v>
      </c>
      <c r="AC13" s="79">
        <f>L13*S13</f>
        <v>7.35</v>
      </c>
      <c r="AD13" s="79"/>
      <c r="AE13" s="79"/>
      <c r="AF13" s="79"/>
      <c r="AG13" s="7" t="s">
        <v>133</v>
      </c>
    </row>
    <row r="14" spans="1:35" s="7" customFormat="1" ht="22.5" customHeight="1">
      <c r="A14" s="10"/>
      <c r="B14" s="85"/>
      <c r="C14" s="131" t="s">
        <v>214</v>
      </c>
      <c r="D14" s="108"/>
      <c r="E14" s="108"/>
      <c r="F14" s="108"/>
      <c r="G14" s="107"/>
      <c r="H14" s="107"/>
      <c r="I14" s="107"/>
      <c r="J14" s="107"/>
      <c r="K14" s="107"/>
      <c r="L14" s="228">
        <v>0.08</v>
      </c>
      <c r="M14" s="229"/>
      <c r="N14" s="229"/>
      <c r="O14" s="108" t="s">
        <v>1</v>
      </c>
      <c r="P14" s="107"/>
      <c r="Q14" s="109" t="s">
        <v>98</v>
      </c>
      <c r="R14" s="107"/>
      <c r="S14" s="230">
        <v>22.5</v>
      </c>
      <c r="T14" s="231"/>
      <c r="U14" s="231"/>
      <c r="V14" s="108" t="s">
        <v>80</v>
      </c>
      <c r="W14" s="108"/>
      <c r="X14" s="108"/>
      <c r="Y14" s="107"/>
      <c r="Z14" s="107"/>
      <c r="AA14" s="107"/>
      <c r="AB14" s="107" t="s">
        <v>99</v>
      </c>
      <c r="AC14" s="110">
        <f>L14*S14</f>
        <v>1.8</v>
      </c>
      <c r="AD14" s="110"/>
      <c r="AE14" s="110"/>
      <c r="AF14" s="110"/>
      <c r="AG14" s="107" t="s">
        <v>133</v>
      </c>
      <c r="AH14" s="107"/>
      <c r="AI14" s="107"/>
    </row>
    <row r="15" spans="1:33" s="7" customFormat="1" ht="22.5" customHeight="1">
      <c r="A15" s="10"/>
      <c r="B15" s="85"/>
      <c r="C15" s="11" t="s">
        <v>215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W15" s="85"/>
      <c r="X15" s="85"/>
      <c r="Y15" s="92"/>
      <c r="Z15" s="92" t="s">
        <v>216</v>
      </c>
      <c r="AB15" s="92"/>
      <c r="AC15" s="79">
        <f>SUM(AC13:AC14)</f>
        <v>9.15</v>
      </c>
      <c r="AD15" s="79"/>
      <c r="AE15" s="79"/>
      <c r="AF15" s="79"/>
      <c r="AG15" s="7" t="s">
        <v>133</v>
      </c>
    </row>
    <row r="16" spans="1:33" s="7" customFormat="1" ht="22.5" customHeight="1">
      <c r="A16" s="10"/>
      <c r="B16" s="85"/>
      <c r="C16" s="85" t="s">
        <v>217</v>
      </c>
      <c r="D16" s="85"/>
      <c r="E16" s="85"/>
      <c r="F16" s="132" t="s">
        <v>295</v>
      </c>
      <c r="G16" s="78"/>
      <c r="H16" s="70"/>
      <c r="I16" s="111" t="s">
        <v>116</v>
      </c>
      <c r="J16" s="111">
        <f>IF(AF4&lt;3,8,10)</f>
        <v>10</v>
      </c>
      <c r="K16" s="70"/>
      <c r="L16" s="85" t="s">
        <v>99</v>
      </c>
      <c r="M16" s="79">
        <f>-AC15</f>
        <v>-9.15</v>
      </c>
      <c r="N16" s="79"/>
      <c r="O16" s="79"/>
      <c r="P16" s="79"/>
      <c r="Q16" s="102" t="s">
        <v>98</v>
      </c>
      <c r="R16" s="112">
        <f>O4</f>
        <v>2.4</v>
      </c>
      <c r="S16" s="79"/>
      <c r="T16" s="79"/>
      <c r="U16" s="78"/>
      <c r="V16" s="113" t="s">
        <v>116</v>
      </c>
      <c r="W16" s="111">
        <f>J16</f>
        <v>10</v>
      </c>
      <c r="X16" s="70"/>
      <c r="Y16" s="92" t="s">
        <v>99</v>
      </c>
      <c r="Z16" s="106">
        <f>M16*R16^2/W16</f>
        <v>-5.2704</v>
      </c>
      <c r="AA16" s="106"/>
      <c r="AB16" s="106"/>
      <c r="AC16" s="106"/>
      <c r="AD16" s="7" t="s">
        <v>18</v>
      </c>
      <c r="AG16" s="92"/>
    </row>
    <row r="17" spans="1:33" s="7" customFormat="1" ht="22.5" customHeight="1">
      <c r="A17" s="10"/>
      <c r="B17" s="10"/>
      <c r="C17" s="10"/>
      <c r="D17" s="10"/>
      <c r="H17" s="79"/>
      <c r="I17" s="79"/>
      <c r="J17" s="79"/>
      <c r="K17" s="79"/>
      <c r="L17" s="80"/>
      <c r="M17" s="79"/>
      <c r="N17" s="79"/>
      <c r="O17" s="79"/>
      <c r="P17" s="79"/>
      <c r="Q17" s="85"/>
      <c r="R17" s="79"/>
      <c r="S17" s="79"/>
      <c r="T17" s="79"/>
      <c r="U17" s="79"/>
      <c r="V17" s="85"/>
      <c r="W17" s="79"/>
      <c r="X17" s="79"/>
      <c r="Y17" s="79"/>
      <c r="Z17" s="79"/>
      <c r="AA17" s="85"/>
      <c r="AG17" s="85"/>
    </row>
    <row r="18" spans="1:24" s="7" customFormat="1" ht="22.5" customHeight="1">
      <c r="A18" s="10"/>
      <c r="B18" s="11" t="s">
        <v>119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85"/>
      <c r="X18" s="85"/>
    </row>
    <row r="19" spans="1:33" s="7" customFormat="1" ht="22.5" customHeight="1">
      <c r="A19" s="10"/>
      <c r="B19" s="11"/>
      <c r="C19" s="10" t="s">
        <v>218</v>
      </c>
      <c r="F19" s="10"/>
      <c r="G19" s="10"/>
      <c r="H19" s="224" t="s">
        <v>84</v>
      </c>
      <c r="I19" s="164"/>
      <c r="J19" s="10" t="s">
        <v>85</v>
      </c>
      <c r="K19" s="10"/>
      <c r="L19" s="10"/>
      <c r="M19" s="10"/>
      <c r="N19" s="10"/>
      <c r="O19" s="10"/>
      <c r="P19" s="10"/>
      <c r="Q19" s="10"/>
      <c r="R19" s="10"/>
      <c r="S19" s="10"/>
      <c r="T19" s="10" t="s">
        <v>86</v>
      </c>
      <c r="W19" s="10"/>
      <c r="X19" s="10"/>
      <c r="Y19" s="10"/>
      <c r="Z19" s="10"/>
      <c r="AB19" s="233">
        <v>100</v>
      </c>
      <c r="AC19" s="233"/>
      <c r="AD19" s="233"/>
      <c r="AE19" s="10" t="s">
        <v>87</v>
      </c>
      <c r="AG19" s="104"/>
    </row>
    <row r="20" spans="1:33" s="7" customFormat="1" ht="22.5" customHeight="1">
      <c r="A20" s="10"/>
      <c r="B20" s="11"/>
      <c r="C20" s="10" t="str">
        <f>IF(H2="(一般部)","","T荷重(衝撃を含む)による設計曲げモーメントとして8.2.4に規定する値の２倍を用いるものとする。")</f>
        <v>T荷重(衝撃を含む)による設計曲げモーメントとして8.2.4に規定する値の２倍を用いるものとする。</v>
      </c>
      <c r="F20" s="10"/>
      <c r="G20" s="10"/>
      <c r="H20" s="103"/>
      <c r="I20" s="78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W20" s="10"/>
      <c r="X20" s="10"/>
      <c r="Y20" s="10"/>
      <c r="Z20" s="10"/>
      <c r="AB20" s="114"/>
      <c r="AC20" s="114"/>
      <c r="AD20" s="114"/>
      <c r="AE20" s="10"/>
      <c r="AG20" s="104"/>
    </row>
    <row r="21" spans="1:24" s="7" customFormat="1" ht="22.5" customHeight="1">
      <c r="A21" s="10"/>
      <c r="B21" s="58" t="s">
        <v>120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85"/>
      <c r="X21" s="85"/>
    </row>
    <row r="22" spans="1:24" s="7" customFormat="1" ht="22.5" customHeight="1">
      <c r="A22" s="10"/>
      <c r="B22" s="125"/>
      <c r="C22" s="2" t="s">
        <v>219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O22" s="10" t="str">
        <f>IF(O4&lt;=2.5,"(L ≤ 2.5 m )","( 2.5 &lt; L ≤ 4.0 m )")</f>
        <v>(L ≤ 2.5 m )</v>
      </c>
      <c r="P22" s="10"/>
      <c r="Q22" s="10"/>
      <c r="R22" s="10"/>
      <c r="S22" s="10"/>
      <c r="T22" s="10"/>
      <c r="U22" s="10"/>
      <c r="V22" s="10"/>
      <c r="W22" s="85"/>
      <c r="X22" s="85"/>
    </row>
    <row r="23" spans="1:24" s="7" customFormat="1" ht="22.5" customHeight="1">
      <c r="A23" s="10"/>
      <c r="B23" s="125"/>
      <c r="C23" s="10" t="s">
        <v>220</v>
      </c>
      <c r="D23" s="10"/>
      <c r="E23" s="10"/>
      <c r="F23" s="10" t="str">
        <f>IF(O4&lt;=2.5,"1.0","1.0 + ( L - 2.5 ) / 12 = "&amp;ROUND(1+(O4-2.5)/12,2))</f>
        <v>1.0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S23" s="10"/>
      <c r="T23" s="10"/>
      <c r="U23" s="10"/>
      <c r="V23" s="10"/>
      <c r="W23" s="85"/>
      <c r="X23" s="85"/>
    </row>
    <row r="24" spans="1:24" ht="22.5" customHeight="1">
      <c r="A24" s="2"/>
      <c r="C24" s="2" t="str">
        <f>IF(AND(H19="B",AF4&lt;3),IF(H2="(一般部)","Ml = -( 0.12 L ＋ 0.07 ) P × λ","Ml = -( 0.12 L ＋ 0.07 ) P × λ × 2"),IF(AND(H19="A",AF4&gt;=3),IF(H2="(一般部)","Ml = -( 0.12 L ＋ 0.07 ) P × λ × 0.80 × 0.80","Ml = -( 0.12 L ＋ 0.07 ) P × λ × 0.80 × 0.80 × 2"),IF(H2="(一般部)","Ml = -( 0.12 L ＋ 0.07 ) P × λ × 0.80","Ml = -( 0.12 L ＋ 0.07 ) P × λ × 0.80 × 2")))</f>
        <v>Ml = -( 0.12 L ＋ 0.07 ) P × λ × 0.80 × 2</v>
      </c>
      <c r="D24" s="5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2"/>
      <c r="S24" s="2"/>
      <c r="T24" s="2"/>
      <c r="U24" s="16"/>
      <c r="V24" s="11"/>
      <c r="W24" s="17" t="s">
        <v>221</v>
      </c>
      <c r="X24" s="2"/>
    </row>
    <row r="25" spans="4:40" ht="22.5" customHeight="1">
      <c r="D25" s="19" t="s">
        <v>99</v>
      </c>
      <c r="E25" s="133" t="s">
        <v>122</v>
      </c>
      <c r="F25" s="3" t="s">
        <v>123</v>
      </c>
      <c r="G25" s="61">
        <v>0.12</v>
      </c>
      <c r="H25" s="61"/>
      <c r="I25" s="61"/>
      <c r="J25" s="2" t="s">
        <v>98</v>
      </c>
      <c r="K25" s="5">
        <f>O4</f>
        <v>2.4</v>
      </c>
      <c r="L25" s="6"/>
      <c r="M25" s="6"/>
      <c r="N25" s="3" t="s">
        <v>124</v>
      </c>
      <c r="O25" s="61">
        <v>0.07</v>
      </c>
      <c r="P25" s="61"/>
      <c r="Q25" s="61"/>
      <c r="R25" s="3" t="s">
        <v>104</v>
      </c>
      <c r="S25" s="2" t="s">
        <v>98</v>
      </c>
      <c r="T25" s="60">
        <f>AB19</f>
        <v>100</v>
      </c>
      <c r="U25" s="6"/>
      <c r="V25" s="6"/>
      <c r="W25" s="2" t="s">
        <v>98</v>
      </c>
      <c r="X25" s="124">
        <f>IF(O4&lt;=2.5,1,ROUND(1+(O4-2.5)/12,2))</f>
        <v>1</v>
      </c>
      <c r="Y25" s="61"/>
      <c r="Z25" s="61"/>
      <c r="AA25" s="3" t="str">
        <f>IF(AND(H19="B",AF4&lt;3),IF(H2="(一般部)","","× 2"),IF(AND(H19="A",AF4&gt;=3),IF(H2="(一般部)","× 0.80 × 0.80","× 0.80 × 0.80 × 2"),IF(H2="(一般部)","× 0.80","× 0.80 × 2")))</f>
        <v>× 0.80 × 2</v>
      </c>
      <c r="AD25" s="61"/>
      <c r="AI25" s="3" t="s">
        <v>99</v>
      </c>
      <c r="AJ25" s="55">
        <f>IF(AND(H19="B",AF4&lt;3),IF(H2="(一般部)",-(G25*K25+O25)*T25*X25,-(G25*K25+O25)*T25*X25*2),IF(AND(H19="A",AF4&gt;=3),IF(H2="(一般部)",-(G25*K25+O25)*T25*X25*0.8*0.8,-(G25*K25+O25)*T25*X25*0.8*0.8*2),IF(H2="(一般部)",-(G25*K25+O25)*T25*X25*0.8,-(G25*K25+O25)*T25*X25*0.8*2)))</f>
        <v>-57.28</v>
      </c>
      <c r="AK25" s="55"/>
      <c r="AL25" s="55"/>
      <c r="AM25" s="55"/>
      <c r="AN25" s="3" t="s">
        <v>18</v>
      </c>
    </row>
    <row r="26" ht="22.5" customHeight="1">
      <c r="B26" s="58"/>
    </row>
    <row r="27" ht="22.5" customHeight="1">
      <c r="B27" s="3" t="s">
        <v>223</v>
      </c>
    </row>
    <row r="28" spans="1:28" ht="22.5" customHeight="1">
      <c r="A28" s="2"/>
      <c r="B28" s="2"/>
      <c r="C28" s="2" t="s">
        <v>139</v>
      </c>
      <c r="D28" s="2"/>
      <c r="E28" s="2"/>
      <c r="F28" s="2"/>
      <c r="G28" s="2"/>
      <c r="H28" s="2"/>
      <c r="I28" s="2"/>
      <c r="J28" s="142" t="s">
        <v>40</v>
      </c>
      <c r="K28" s="2"/>
      <c r="L28" s="5"/>
      <c r="M28" s="6"/>
      <c r="N28" s="2"/>
      <c r="Y28" s="2"/>
      <c r="Z28" s="2"/>
      <c r="AA28" s="2"/>
      <c r="AB28" s="2"/>
    </row>
    <row r="29" spans="3:38" ht="22.5" customHeight="1">
      <c r="C29" s="2" t="s">
        <v>140</v>
      </c>
      <c r="D29" s="64"/>
      <c r="E29" s="65"/>
      <c r="F29" s="65"/>
      <c r="G29" s="65"/>
      <c r="H29" s="65"/>
      <c r="I29" s="65"/>
      <c r="J29" s="55"/>
      <c r="K29" s="55"/>
      <c r="N29" s="143" t="s">
        <v>141</v>
      </c>
      <c r="O29" s="66"/>
      <c r="Q29" s="203">
        <v>24</v>
      </c>
      <c r="R29" s="163"/>
      <c r="S29" s="163"/>
      <c r="T29" s="65" t="s">
        <v>142</v>
      </c>
      <c r="U29" s="67"/>
      <c r="W29" s="74" t="s">
        <v>143</v>
      </c>
      <c r="Y29" s="74"/>
      <c r="Z29" s="74"/>
      <c r="AA29" s="74"/>
      <c r="AB29" s="74"/>
      <c r="AC29" s="74"/>
      <c r="AD29" s="74"/>
      <c r="AE29" s="74"/>
      <c r="AF29" s="73"/>
      <c r="AG29" s="68"/>
      <c r="AI29" s="144" t="s">
        <v>144</v>
      </c>
      <c r="AJ29" s="74"/>
      <c r="AK29" s="204">
        <v>7</v>
      </c>
      <c r="AL29" s="204"/>
    </row>
    <row r="30" spans="3:33" ht="22.5" customHeight="1">
      <c r="C30" s="3" t="s">
        <v>145</v>
      </c>
      <c r="N30" s="143" t="s">
        <v>146</v>
      </c>
      <c r="Q30" s="143" t="s">
        <v>147</v>
      </c>
      <c r="R30" s="15"/>
      <c r="S30" s="15"/>
      <c r="T30" s="20">
        <f>IF(J28="合成",3.5,IF(J28="非合成",3,"ERROR"))</f>
        <v>3</v>
      </c>
      <c r="U30" s="20"/>
      <c r="V30" s="69" t="s">
        <v>99</v>
      </c>
      <c r="W30" s="63">
        <f>Q29</f>
        <v>24</v>
      </c>
      <c r="X30" s="63"/>
      <c r="Y30" s="56" t="s">
        <v>116</v>
      </c>
      <c r="Z30" s="20">
        <f>T30</f>
        <v>3</v>
      </c>
      <c r="AA30" s="20"/>
      <c r="AB30" s="3" t="s">
        <v>99</v>
      </c>
      <c r="AC30" s="61">
        <f>W30/Z30</f>
        <v>8</v>
      </c>
      <c r="AD30" s="61"/>
      <c r="AE30" s="61"/>
      <c r="AF30" s="65" t="s">
        <v>142</v>
      </c>
      <c r="AG30" s="67"/>
    </row>
    <row r="31" spans="3:26" ht="22.5" customHeight="1">
      <c r="C31" s="74" t="s">
        <v>148</v>
      </c>
      <c r="D31" s="74"/>
      <c r="E31" s="74"/>
      <c r="F31" s="74"/>
      <c r="G31" s="74" t="s">
        <v>149</v>
      </c>
      <c r="H31" s="74"/>
      <c r="I31" s="163">
        <v>295</v>
      </c>
      <c r="J31" s="163"/>
      <c r="K31" s="74" t="s">
        <v>104</v>
      </c>
      <c r="N31" s="143" t="s">
        <v>150</v>
      </c>
      <c r="O31" s="74"/>
      <c r="Q31" s="70">
        <v>140</v>
      </c>
      <c r="R31" s="15"/>
      <c r="S31" s="15"/>
      <c r="T31" s="71" t="s">
        <v>123</v>
      </c>
      <c r="U31" s="70">
        <v>120</v>
      </c>
      <c r="V31" s="15"/>
      <c r="W31" s="3" t="s">
        <v>104</v>
      </c>
      <c r="X31" s="65" t="s">
        <v>142</v>
      </c>
      <c r="Z31" s="67"/>
    </row>
    <row r="32" spans="3:24" s="7" customFormat="1" ht="22.5" customHeight="1">
      <c r="C32" s="145"/>
      <c r="D32" s="145"/>
      <c r="E32" s="145"/>
      <c r="F32" s="145"/>
      <c r="G32" s="145"/>
      <c r="H32" s="145"/>
      <c r="I32" s="146"/>
      <c r="J32" s="146"/>
      <c r="K32" s="145"/>
      <c r="L32" s="147"/>
      <c r="M32" s="145"/>
      <c r="O32" s="70"/>
      <c r="P32" s="70"/>
      <c r="Q32" s="70"/>
      <c r="R32" s="82" t="s">
        <v>151</v>
      </c>
      <c r="S32" s="70"/>
      <c r="T32" s="70"/>
      <c r="U32" s="70"/>
      <c r="W32" s="83"/>
      <c r="X32" s="84"/>
    </row>
    <row r="33" spans="3:24" ht="22.5" customHeight="1">
      <c r="C33" s="74"/>
      <c r="D33" s="74"/>
      <c r="E33" s="74"/>
      <c r="F33" s="74"/>
      <c r="G33" s="74"/>
      <c r="H33" s="74"/>
      <c r="I33" s="160"/>
      <c r="J33" s="160"/>
      <c r="K33" s="74"/>
      <c r="L33" s="143"/>
      <c r="M33" s="74"/>
      <c r="O33" s="70"/>
      <c r="P33" s="15"/>
      <c r="Q33" s="15"/>
      <c r="S33" s="70"/>
      <c r="T33" s="15"/>
      <c r="U33" s="15"/>
      <c r="W33" s="65"/>
      <c r="X33" s="67"/>
    </row>
    <row r="34" ht="22.5" customHeight="1">
      <c r="C34" s="56" t="s">
        <v>287</v>
      </c>
    </row>
    <row r="35" spans="24:33" s="74" customFormat="1" ht="16.5" customHeight="1">
      <c r="X35" s="74" t="s">
        <v>112</v>
      </c>
      <c r="AB35" s="74" t="s">
        <v>112</v>
      </c>
      <c r="AG35" s="74" t="s">
        <v>112</v>
      </c>
    </row>
    <row r="36" spans="4:25" s="2" customFormat="1" ht="21.75" customHeight="1">
      <c r="D36" s="2" t="s">
        <v>153</v>
      </c>
      <c r="M36" s="74" t="s">
        <v>154</v>
      </c>
      <c r="N36" s="74"/>
      <c r="O36" s="70">
        <f>L13*100</f>
        <v>30</v>
      </c>
      <c r="P36" s="15"/>
      <c r="Q36" s="15"/>
      <c r="R36" s="74" t="s">
        <v>155</v>
      </c>
      <c r="S36" s="11"/>
      <c r="W36" s="11"/>
      <c r="X36" s="11"/>
      <c r="Y36" s="11"/>
    </row>
    <row r="37" spans="4:25" s="2" customFormat="1" ht="21.75" customHeight="1">
      <c r="D37" s="2" t="s">
        <v>156</v>
      </c>
      <c r="M37" s="72" t="s">
        <v>157</v>
      </c>
      <c r="N37" s="68"/>
      <c r="O37" s="70">
        <f>O36-O39</f>
        <v>26</v>
      </c>
      <c r="P37" s="15"/>
      <c r="Q37" s="15"/>
      <c r="R37" s="74" t="s">
        <v>155</v>
      </c>
      <c r="S37" s="11"/>
      <c r="W37" s="11"/>
      <c r="X37" s="11"/>
      <c r="Y37" s="11"/>
    </row>
    <row r="38" spans="4:25" s="2" customFormat="1" ht="21.75" customHeight="1">
      <c r="D38" s="8" t="s">
        <v>158</v>
      </c>
      <c r="E38" s="18"/>
      <c r="F38" s="148"/>
      <c r="G38" s="18"/>
      <c r="H38" s="18"/>
      <c r="M38" s="73" t="s">
        <v>159</v>
      </c>
      <c r="N38" s="68"/>
      <c r="O38" s="203">
        <v>4</v>
      </c>
      <c r="P38" s="163"/>
      <c r="Q38" s="163"/>
      <c r="R38" s="74" t="s">
        <v>155</v>
      </c>
      <c r="S38" s="11"/>
      <c r="W38" s="11"/>
      <c r="X38" s="11"/>
      <c r="Y38" s="11"/>
    </row>
    <row r="39" spans="4:25" s="2" customFormat="1" ht="21.75" customHeight="1">
      <c r="D39" s="8" t="s">
        <v>160</v>
      </c>
      <c r="G39" s="149"/>
      <c r="H39" s="149"/>
      <c r="M39" s="73" t="s">
        <v>161</v>
      </c>
      <c r="N39" s="68"/>
      <c r="O39" s="203">
        <v>4</v>
      </c>
      <c r="P39" s="163"/>
      <c r="Q39" s="163"/>
      <c r="R39" s="74" t="s">
        <v>155</v>
      </c>
      <c r="S39" s="11"/>
      <c r="W39" s="11"/>
      <c r="X39" s="11"/>
      <c r="Y39" s="11"/>
    </row>
    <row r="40" spans="4:18" s="2" customFormat="1" ht="21.75" customHeight="1">
      <c r="D40" s="2" t="s">
        <v>162</v>
      </c>
      <c r="M40" s="18" t="s">
        <v>163</v>
      </c>
      <c r="N40" s="18"/>
      <c r="O40" s="70">
        <v>100</v>
      </c>
      <c r="P40" s="15"/>
      <c r="Q40" s="15"/>
      <c r="R40" s="74" t="s">
        <v>155</v>
      </c>
    </row>
    <row r="41" spans="4:40" s="2" customFormat="1" ht="21.75" customHeight="1">
      <c r="D41" s="74" t="s">
        <v>164</v>
      </c>
      <c r="E41" s="74"/>
      <c r="F41" s="74"/>
      <c r="G41" s="74"/>
      <c r="H41" s="74"/>
      <c r="J41" s="74" t="s">
        <v>19</v>
      </c>
      <c r="K41" s="74"/>
      <c r="L41" s="73">
        <v>19</v>
      </c>
      <c r="M41" s="68"/>
      <c r="N41" s="144"/>
      <c r="O41" s="74"/>
      <c r="P41" s="74" t="s">
        <v>20</v>
      </c>
      <c r="Q41" s="74"/>
      <c r="S41" s="203">
        <v>125</v>
      </c>
      <c r="T41" s="163"/>
      <c r="U41" s="163"/>
      <c r="V41" s="74" t="s">
        <v>100</v>
      </c>
      <c r="Y41" s="74" t="s">
        <v>165</v>
      </c>
      <c r="Z41" s="74"/>
      <c r="AA41" s="74"/>
      <c r="AB41" s="74"/>
      <c r="AC41" s="74"/>
      <c r="AD41" s="74"/>
      <c r="AE41" s="74"/>
      <c r="AH41" s="74" t="s">
        <v>166</v>
      </c>
      <c r="AI41" s="74"/>
      <c r="AJ41" s="75">
        <f>IF(L41=13,1.267*1000/S41,IF(L41=16,1.986*1000/S41,IF(L41=19,2.865*1000/S41,IF(L41=22,3.871*1000/S41,IF(L41=25,5.067*1000/S41,IF(L41=29,6.424*1000/S41,7.942*1000/S41))))))</f>
        <v>22.92</v>
      </c>
      <c r="AK41" s="153"/>
      <c r="AL41" s="153"/>
      <c r="AM41" s="153"/>
      <c r="AN41" s="74" t="s">
        <v>167</v>
      </c>
    </row>
    <row r="42" spans="4:40" s="2" customFormat="1" ht="21.75" customHeight="1">
      <c r="D42" s="74" t="s">
        <v>168</v>
      </c>
      <c r="E42" s="74"/>
      <c r="F42" s="74"/>
      <c r="G42" s="74"/>
      <c r="H42" s="74"/>
      <c r="I42" s="74"/>
      <c r="J42" s="74" t="s">
        <v>19</v>
      </c>
      <c r="K42" s="74"/>
      <c r="L42" s="73">
        <v>19</v>
      </c>
      <c r="M42" s="68"/>
      <c r="N42" s="144"/>
      <c r="O42" s="74"/>
      <c r="P42" s="74" t="s">
        <v>20</v>
      </c>
      <c r="Q42" s="74"/>
      <c r="S42" s="203">
        <v>250</v>
      </c>
      <c r="T42" s="163"/>
      <c r="U42" s="163"/>
      <c r="V42" s="74" t="s">
        <v>100</v>
      </c>
      <c r="X42" s="74"/>
      <c r="Y42" s="74" t="s">
        <v>169</v>
      </c>
      <c r="Z42" s="74"/>
      <c r="AA42" s="74"/>
      <c r="AB42" s="74"/>
      <c r="AC42" s="74"/>
      <c r="AD42" s="74"/>
      <c r="AE42" s="74"/>
      <c r="AH42" s="74" t="s">
        <v>170</v>
      </c>
      <c r="AI42" s="74"/>
      <c r="AJ42" s="75">
        <f>IF(L42=13,1.267*1000/S42,IF(L42=16,1.986*1000/S42,IF(L42=19,2.865*1000/S42,IF(L42=22,3.871*1000/S42,IF(L42=25,5.067*1000/S42,IF(L42=29,6.424*1000/S42,7.942*1000/S42))))))</f>
        <v>11.46</v>
      </c>
      <c r="AK42" s="153"/>
      <c r="AL42" s="153"/>
      <c r="AM42" s="153"/>
      <c r="AN42" s="74" t="s">
        <v>167</v>
      </c>
    </row>
    <row r="43" spans="3:13" s="74" customFormat="1" ht="16.5" customHeight="1">
      <c r="C43" s="74" t="s">
        <v>173</v>
      </c>
      <c r="K43" s="154"/>
      <c r="L43" s="154"/>
      <c r="M43" s="154"/>
    </row>
    <row r="44" spans="4:13" s="74" customFormat="1" ht="16.5" customHeight="1">
      <c r="D44" s="74" t="s">
        <v>172</v>
      </c>
      <c r="K44" s="154"/>
      <c r="L44" s="154"/>
      <c r="M44" s="154"/>
    </row>
    <row r="45" spans="5:13" s="74" customFormat="1" ht="16.5" customHeight="1">
      <c r="E45" s="74" t="str">
        <f>"= -"&amp;$AK$29&amp;"×("&amp;ROUND(AJ41,2)&amp;" + "&amp;ROUND(AJ42,2)&amp;")/100 + √[ {"&amp;$AK$29&amp;"×("&amp;ROUND(AJ41,2)&amp;" + "&amp;ROUND(AJ42,2)&amp;")/100}^2 + 2×"&amp;$AK$29&amp;"×("&amp;O37&amp;"×"&amp;ROUND(AJ41,2)&amp;" + "&amp;O38&amp;"×"&amp;ROUND(AJ42,2)&amp;")/100 ]"</f>
        <v>= -7×(22.92 + 11.46)/100 + √[ {7×(22.92 + 11.46)/100}^2 + 2×7×(26×22.92 + 4×11.46)/100 ]</v>
      </c>
      <c r="K45" s="154"/>
      <c r="L45" s="154"/>
      <c r="M45" s="154"/>
    </row>
    <row r="46" spans="5:13" s="74" customFormat="1" ht="16.5" customHeight="1">
      <c r="E46" s="74" t="s">
        <v>99</v>
      </c>
      <c r="F46" s="61">
        <f>-$AK$29*(AJ41+AJ42)/100+SQRT(($AK$29*(AJ41+AJ42)/100)^2+2*$AK$29*(O37*AJ41+O38*AJ42)/100)</f>
        <v>7.372874605519461</v>
      </c>
      <c r="G46" s="55"/>
      <c r="H46" s="55"/>
      <c r="I46" s="74" t="s">
        <v>155</v>
      </c>
      <c r="K46" s="154"/>
      <c r="L46" s="154"/>
      <c r="M46" s="154"/>
    </row>
    <row r="47" spans="3:13" s="74" customFormat="1" ht="16.5" customHeight="1">
      <c r="C47" s="74" t="s">
        <v>173</v>
      </c>
      <c r="K47" s="154"/>
      <c r="L47" s="154"/>
      <c r="M47" s="154"/>
    </row>
    <row r="48" spans="4:13" s="74" customFormat="1" ht="16.5" customHeight="1">
      <c r="D48" s="74" t="s">
        <v>174</v>
      </c>
      <c r="K48" s="154"/>
      <c r="L48" s="154"/>
      <c r="M48" s="154"/>
    </row>
    <row r="49" spans="5:13" s="74" customFormat="1" ht="16.5" customHeight="1">
      <c r="E49" s="74" t="str">
        <f>"= ( 100 × "&amp;ROUND(F46,2)&amp;" / 2 ) × ( "&amp;O37&amp;" - "&amp;ROUND(F46,2)&amp;" / 3 ) + "&amp;$AK$29&amp;" × "&amp;ROUND(AJ42,2)&amp;" ×( "&amp;ROUND(F46,2)&amp;" - "&amp;O38&amp;" ) / "&amp;ROUND(F46,2)&amp;" ×( "&amp;O37&amp;" - "&amp;O38&amp;" )"</f>
        <v>= ( 100 × 7.37 / 2 ) × ( 26 - 7.37 / 3 ) + 7 × 11.46 ×( 7.37 - 4 ) / 7.37 ×( 26 - 4 )</v>
      </c>
      <c r="K49" s="154"/>
      <c r="L49" s="154"/>
      <c r="M49" s="154"/>
    </row>
    <row r="50" spans="5:13" s="74" customFormat="1" ht="16.5" customHeight="1">
      <c r="E50" s="74" t="s">
        <v>99</v>
      </c>
      <c r="F50" s="155">
        <f>(100*ROUND(F46,2)/2)*(O37-ROUND(F46,2)/3)+$AK$29*AJ42*(ROUND(F46,2)-O38)/ROUND(F46,2)*(O37-O38)</f>
        <v>9482.707587064675</v>
      </c>
      <c r="G50" s="155"/>
      <c r="H50" s="155"/>
      <c r="I50" s="155"/>
      <c r="J50" s="74" t="s">
        <v>175</v>
      </c>
      <c r="K50" s="154"/>
      <c r="L50" s="154"/>
      <c r="M50" s="154"/>
    </row>
    <row r="51" spans="3:13" s="74" customFormat="1" ht="16.5" customHeight="1">
      <c r="C51" s="74" t="s">
        <v>176</v>
      </c>
      <c r="K51" s="154"/>
      <c r="L51" s="154"/>
      <c r="M51" s="154"/>
    </row>
    <row r="52" spans="4:13" s="74" customFormat="1" ht="16.5" customHeight="1">
      <c r="D52" s="74" t="s">
        <v>177</v>
      </c>
      <c r="K52" s="154"/>
      <c r="L52" s="154"/>
      <c r="M52" s="154"/>
    </row>
    <row r="53" spans="4:13" s="74" customFormat="1" ht="16.5" customHeight="1">
      <c r="D53" s="137" t="str">
        <f>"= (1/"&amp;$AK$29&amp;")×( "&amp;ROUND(F46,2)&amp;" / ( "&amp;O37&amp;"- "&amp;ROUND(F46,2)&amp;" ))×"&amp;ROUND(F50,1)</f>
        <v>= (1/7)×( 7.37 / ( 26- 7.37 ))×9482.7</v>
      </c>
      <c r="K53" s="154"/>
      <c r="L53" s="154"/>
      <c r="M53" s="154"/>
    </row>
    <row r="54" spans="4:13" s="74" customFormat="1" ht="16.5" customHeight="1">
      <c r="D54" s="74" t="s">
        <v>99</v>
      </c>
      <c r="E54" s="155">
        <f>1/$AK$29*(ROUND(F46,2)/(O37-ROUND(F46,2)))*ROUND(F50,1)</f>
        <v>535.905981136416</v>
      </c>
      <c r="F54" s="155"/>
      <c r="G54" s="155"/>
      <c r="H54" s="155"/>
      <c r="I54" s="74" t="s">
        <v>175</v>
      </c>
      <c r="K54" s="154"/>
      <c r="L54" s="154"/>
      <c r="M54" s="154"/>
    </row>
    <row r="55" spans="11:13" s="74" customFormat="1" ht="16.5" customHeight="1">
      <c r="K55" s="154"/>
      <c r="L55" s="154"/>
      <c r="M55" s="154"/>
    </row>
    <row r="56" spans="3:23" s="74" customFormat="1" ht="16.5" customHeight="1">
      <c r="C56" s="74" t="s">
        <v>178</v>
      </c>
      <c r="K56" s="76" t="s">
        <v>179</v>
      </c>
      <c r="L56" s="154"/>
      <c r="M56" s="154"/>
      <c r="W56" s="156"/>
    </row>
    <row r="57" spans="3:17" s="74" customFormat="1" ht="16.5" customHeight="1">
      <c r="C57" s="74" t="s">
        <v>180</v>
      </c>
      <c r="K57" s="74" t="s">
        <v>181</v>
      </c>
      <c r="L57" s="154"/>
      <c r="M57" s="154"/>
      <c r="Q57" s="74" t="s">
        <v>182</v>
      </c>
    </row>
    <row r="58" spans="11:13" s="74" customFormat="1" ht="16.5" customHeight="1">
      <c r="K58" s="154"/>
      <c r="L58" s="154"/>
      <c r="M58" s="154"/>
    </row>
    <row r="59" spans="1:42" s="74" customFormat="1" ht="16.5" customHeight="1">
      <c r="A59" s="3"/>
      <c r="B59" s="3"/>
      <c r="C59" s="168" t="s">
        <v>183</v>
      </c>
      <c r="D59" s="168"/>
      <c r="E59" s="168"/>
      <c r="F59" s="168"/>
      <c r="G59" s="168"/>
      <c r="H59" s="168"/>
      <c r="I59" s="168"/>
      <c r="J59" s="168"/>
      <c r="K59" s="168"/>
      <c r="L59" s="176" t="s">
        <v>184</v>
      </c>
      <c r="M59" s="177"/>
      <c r="N59" s="177"/>
      <c r="O59" s="177"/>
      <c r="P59" s="178"/>
      <c r="Q59" s="168" t="s">
        <v>185</v>
      </c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 t="s">
        <v>186</v>
      </c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72" t="s">
        <v>187</v>
      </c>
      <c r="AN59" s="173"/>
      <c r="AO59" s="173"/>
      <c r="AP59" s="174"/>
    </row>
    <row r="60" spans="1:42" s="74" customFormat="1" ht="16.5" customHeight="1">
      <c r="A60" s="3"/>
      <c r="B60" s="3"/>
      <c r="C60" s="168"/>
      <c r="D60" s="168"/>
      <c r="E60" s="168"/>
      <c r="F60" s="168"/>
      <c r="G60" s="168"/>
      <c r="H60" s="168"/>
      <c r="I60" s="168"/>
      <c r="J60" s="168"/>
      <c r="K60" s="168"/>
      <c r="L60" s="179" t="s">
        <v>188</v>
      </c>
      <c r="M60" s="180"/>
      <c r="N60" s="180"/>
      <c r="O60" s="180"/>
      <c r="P60" s="181"/>
      <c r="Q60" s="168" t="s">
        <v>189</v>
      </c>
      <c r="R60" s="168"/>
      <c r="S60" s="168"/>
      <c r="T60" s="168"/>
      <c r="U60" s="168" t="s">
        <v>187</v>
      </c>
      <c r="V60" s="168"/>
      <c r="W60" s="168"/>
      <c r="X60" s="168"/>
      <c r="Y60" s="168" t="s">
        <v>190</v>
      </c>
      <c r="Z60" s="168"/>
      <c r="AA60" s="168"/>
      <c r="AB60" s="168" t="s">
        <v>189</v>
      </c>
      <c r="AC60" s="168"/>
      <c r="AD60" s="168"/>
      <c r="AE60" s="168"/>
      <c r="AF60" s="168" t="s">
        <v>187</v>
      </c>
      <c r="AG60" s="168"/>
      <c r="AH60" s="168"/>
      <c r="AI60" s="168"/>
      <c r="AJ60" s="168" t="s">
        <v>190</v>
      </c>
      <c r="AK60" s="168"/>
      <c r="AL60" s="168"/>
      <c r="AM60" s="151" t="s">
        <v>191</v>
      </c>
      <c r="AN60" s="152"/>
      <c r="AO60" s="152"/>
      <c r="AP60" s="134"/>
    </row>
    <row r="61" spans="1:42" s="74" customFormat="1" ht="22.5" customHeight="1">
      <c r="A61" s="3"/>
      <c r="B61" s="3"/>
      <c r="C61" s="167" t="s">
        <v>192</v>
      </c>
      <c r="D61" s="167"/>
      <c r="E61" s="167"/>
      <c r="F61" s="167"/>
      <c r="G61" s="167"/>
      <c r="H61" s="167"/>
      <c r="I61" s="167"/>
      <c r="J61" s="167"/>
      <c r="K61" s="167"/>
      <c r="L61" s="182">
        <f>Z16</f>
        <v>-5.2704</v>
      </c>
      <c r="M61" s="183"/>
      <c r="N61" s="183"/>
      <c r="O61" s="183"/>
      <c r="P61" s="184"/>
      <c r="Q61" s="168" t="s">
        <v>122</v>
      </c>
      <c r="R61" s="168"/>
      <c r="S61" s="168"/>
      <c r="T61" s="168"/>
      <c r="U61" s="168" t="s">
        <v>122</v>
      </c>
      <c r="V61" s="168"/>
      <c r="W61" s="168"/>
      <c r="X61" s="168"/>
      <c r="Y61" s="168" t="s">
        <v>122</v>
      </c>
      <c r="Z61" s="168"/>
      <c r="AA61" s="168"/>
      <c r="AB61" s="168" t="s">
        <v>122</v>
      </c>
      <c r="AC61" s="168"/>
      <c r="AD61" s="168"/>
      <c r="AE61" s="168"/>
      <c r="AF61" s="168" t="s">
        <v>122</v>
      </c>
      <c r="AG61" s="168"/>
      <c r="AH61" s="168"/>
      <c r="AI61" s="168"/>
      <c r="AJ61" s="168" t="s">
        <v>122</v>
      </c>
      <c r="AK61" s="168"/>
      <c r="AL61" s="168"/>
      <c r="AM61" s="168" t="s">
        <v>122</v>
      </c>
      <c r="AN61" s="168"/>
      <c r="AO61" s="168"/>
      <c r="AP61" s="168"/>
    </row>
    <row r="62" spans="1:42" s="145" customFormat="1" ht="22.5" customHeight="1">
      <c r="A62" s="7"/>
      <c r="B62" s="7"/>
      <c r="C62" s="211" t="s">
        <v>193</v>
      </c>
      <c r="D62" s="211"/>
      <c r="E62" s="211"/>
      <c r="F62" s="211"/>
      <c r="G62" s="211"/>
      <c r="H62" s="211"/>
      <c r="I62" s="211"/>
      <c r="J62" s="211"/>
      <c r="K62" s="211"/>
      <c r="L62" s="212">
        <f>AJ25</f>
        <v>-57.28</v>
      </c>
      <c r="M62" s="213"/>
      <c r="N62" s="213"/>
      <c r="O62" s="213"/>
      <c r="P62" s="214"/>
      <c r="Q62" s="207" t="s">
        <v>122</v>
      </c>
      <c r="R62" s="207"/>
      <c r="S62" s="207"/>
      <c r="T62" s="207"/>
      <c r="U62" s="207" t="s">
        <v>122</v>
      </c>
      <c r="V62" s="207"/>
      <c r="W62" s="207"/>
      <c r="X62" s="207"/>
      <c r="Y62" s="207" t="s">
        <v>122</v>
      </c>
      <c r="Z62" s="207"/>
      <c r="AA62" s="207"/>
      <c r="AB62" s="207" t="s">
        <v>122</v>
      </c>
      <c r="AC62" s="207"/>
      <c r="AD62" s="207"/>
      <c r="AE62" s="207"/>
      <c r="AF62" s="207" t="s">
        <v>122</v>
      </c>
      <c r="AG62" s="207"/>
      <c r="AH62" s="207"/>
      <c r="AI62" s="207"/>
      <c r="AJ62" s="207" t="s">
        <v>122</v>
      </c>
      <c r="AK62" s="207"/>
      <c r="AL62" s="207"/>
      <c r="AM62" s="207" t="s">
        <v>122</v>
      </c>
      <c r="AN62" s="207"/>
      <c r="AO62" s="207"/>
      <c r="AP62" s="207"/>
    </row>
    <row r="63" spans="1:42" s="145" customFormat="1" ht="22.5" customHeight="1">
      <c r="A63" s="7"/>
      <c r="B63" s="7"/>
      <c r="C63" s="215" t="s">
        <v>288</v>
      </c>
      <c r="D63" s="215"/>
      <c r="E63" s="215"/>
      <c r="F63" s="215"/>
      <c r="G63" s="215"/>
      <c r="H63" s="215"/>
      <c r="I63" s="215"/>
      <c r="J63" s="215"/>
      <c r="K63" s="215"/>
      <c r="L63" s="220">
        <v>0</v>
      </c>
      <c r="M63" s="221"/>
      <c r="N63" s="221"/>
      <c r="O63" s="221"/>
      <c r="P63" s="222"/>
      <c r="Q63" s="210" t="s">
        <v>122</v>
      </c>
      <c r="R63" s="210"/>
      <c r="S63" s="210"/>
      <c r="T63" s="210"/>
      <c r="U63" s="210" t="s">
        <v>122</v>
      </c>
      <c r="V63" s="210"/>
      <c r="W63" s="210"/>
      <c r="X63" s="210"/>
      <c r="Y63" s="210" t="s">
        <v>122</v>
      </c>
      <c r="Z63" s="210"/>
      <c r="AA63" s="210"/>
      <c r="AB63" s="210" t="s">
        <v>122</v>
      </c>
      <c r="AC63" s="210"/>
      <c r="AD63" s="210"/>
      <c r="AE63" s="210"/>
      <c r="AF63" s="210" t="s">
        <v>122</v>
      </c>
      <c r="AG63" s="210"/>
      <c r="AH63" s="210"/>
      <c r="AI63" s="210"/>
      <c r="AJ63" s="210" t="s">
        <v>122</v>
      </c>
      <c r="AK63" s="210"/>
      <c r="AL63" s="210"/>
      <c r="AM63" s="210" t="s">
        <v>122</v>
      </c>
      <c r="AN63" s="210"/>
      <c r="AO63" s="210"/>
      <c r="AP63" s="210"/>
    </row>
    <row r="64" spans="3:42" s="7" customFormat="1" ht="22.5" customHeight="1">
      <c r="C64" s="211" t="s">
        <v>289</v>
      </c>
      <c r="D64" s="211"/>
      <c r="E64" s="211"/>
      <c r="F64" s="211"/>
      <c r="G64" s="211"/>
      <c r="H64" s="211"/>
      <c r="I64" s="211"/>
      <c r="J64" s="211"/>
      <c r="K64" s="211"/>
      <c r="L64" s="212">
        <f>L61+L62</f>
        <v>-62.5504</v>
      </c>
      <c r="M64" s="213"/>
      <c r="N64" s="213"/>
      <c r="O64" s="213"/>
      <c r="P64" s="214"/>
      <c r="Q64" s="208">
        <f>ABS(L64)/F50*1000</f>
        <v>6.59625949927263</v>
      </c>
      <c r="R64" s="208"/>
      <c r="S64" s="208"/>
      <c r="T64" s="208"/>
      <c r="U64" s="208">
        <f>$AC$30</f>
        <v>8</v>
      </c>
      <c r="V64" s="208"/>
      <c r="W64" s="208"/>
      <c r="X64" s="208"/>
      <c r="Y64" s="207" t="str">
        <f>IF(Q64&lt;=U64,"O.K.","N.G.")</f>
        <v>O.K.</v>
      </c>
      <c r="Z64" s="207"/>
      <c r="AA64" s="207"/>
      <c r="AB64" s="208">
        <f>ABS(L64)/E54*1000</f>
        <v>116.71898094393103</v>
      </c>
      <c r="AC64" s="208"/>
      <c r="AD64" s="208"/>
      <c r="AE64" s="208"/>
      <c r="AF64" s="209">
        <f>$U$31</f>
        <v>120</v>
      </c>
      <c r="AG64" s="209"/>
      <c r="AH64" s="209"/>
      <c r="AI64" s="209"/>
      <c r="AJ64" s="207" t="str">
        <f>IF(AB64&lt;=AF64,"O.K.","N.G.")</f>
        <v>O.K.</v>
      </c>
      <c r="AK64" s="207"/>
      <c r="AL64" s="207"/>
      <c r="AM64" s="208">
        <v>1</v>
      </c>
      <c r="AN64" s="208"/>
      <c r="AO64" s="208"/>
      <c r="AP64" s="208"/>
    </row>
    <row r="65" spans="3:42" s="7" customFormat="1" ht="22.5" customHeight="1">
      <c r="C65" s="211" t="s">
        <v>290</v>
      </c>
      <c r="D65" s="211"/>
      <c r="E65" s="211"/>
      <c r="F65" s="211"/>
      <c r="G65" s="211"/>
      <c r="H65" s="211"/>
      <c r="I65" s="211"/>
      <c r="J65" s="211"/>
      <c r="K65" s="211"/>
      <c r="L65" s="216">
        <f>L64+L63</f>
        <v>-62.5504</v>
      </c>
      <c r="M65" s="216"/>
      <c r="N65" s="216"/>
      <c r="O65" s="216"/>
      <c r="P65" s="216"/>
      <c r="Q65" s="208">
        <f>ABS(L65)/F50*1000</f>
        <v>6.59625949927263</v>
      </c>
      <c r="R65" s="208"/>
      <c r="S65" s="208"/>
      <c r="T65" s="208"/>
      <c r="U65" s="208">
        <f>$AC$30</f>
        <v>8</v>
      </c>
      <c r="V65" s="208"/>
      <c r="W65" s="208"/>
      <c r="X65" s="208"/>
      <c r="Y65" s="207" t="str">
        <f>IF(Q65&lt;=U65,"O.K.","N.G.")</f>
        <v>O.K.</v>
      </c>
      <c r="Z65" s="207"/>
      <c r="AA65" s="207"/>
      <c r="AB65" s="208">
        <f>ABS(L65)/E54*1000</f>
        <v>116.71898094393103</v>
      </c>
      <c r="AC65" s="208"/>
      <c r="AD65" s="208"/>
      <c r="AE65" s="208"/>
      <c r="AF65" s="209">
        <f>$Q$31</f>
        <v>140</v>
      </c>
      <c r="AG65" s="209"/>
      <c r="AH65" s="209"/>
      <c r="AI65" s="209"/>
      <c r="AJ65" s="207" t="str">
        <f>IF(AB65&lt;=AF65,"O.K.","N.G.")</f>
        <v>O.K.</v>
      </c>
      <c r="AK65" s="207"/>
      <c r="AL65" s="207"/>
      <c r="AM65" s="208">
        <v>1</v>
      </c>
      <c r="AN65" s="208"/>
      <c r="AO65" s="208"/>
      <c r="AP65" s="208"/>
    </row>
    <row r="66" s="7" customFormat="1" ht="22.5" customHeight="1"/>
  </sheetData>
  <mergeCells count="75">
    <mergeCell ref="S42:U42"/>
    <mergeCell ref="AK29:AL29"/>
    <mergeCell ref="O38:Q38"/>
    <mergeCell ref="O39:Q39"/>
    <mergeCell ref="S41:U41"/>
    <mergeCell ref="L14:N14"/>
    <mergeCell ref="S14:U14"/>
    <mergeCell ref="H19:I19"/>
    <mergeCell ref="Q29:S29"/>
    <mergeCell ref="O4:R4"/>
    <mergeCell ref="AF4:AG4"/>
    <mergeCell ref="L13:N13"/>
    <mergeCell ref="S13:U13"/>
    <mergeCell ref="AJ65:AL65"/>
    <mergeCell ref="AM65:AP65"/>
    <mergeCell ref="AB11:AC11"/>
    <mergeCell ref="AF63:AI63"/>
    <mergeCell ref="AJ63:AL63"/>
    <mergeCell ref="AM63:AP63"/>
    <mergeCell ref="AJ61:AL61"/>
    <mergeCell ref="AF61:AI61"/>
    <mergeCell ref="AJ62:AL62"/>
    <mergeCell ref="AF62:AI62"/>
    <mergeCell ref="C65:K65"/>
    <mergeCell ref="L65:P65"/>
    <mergeCell ref="Q65:T65"/>
    <mergeCell ref="U65:X65"/>
    <mergeCell ref="Y65:AA65"/>
    <mergeCell ref="AB65:AE65"/>
    <mergeCell ref="AF65:AI65"/>
    <mergeCell ref="Q63:T63"/>
    <mergeCell ref="U63:X63"/>
    <mergeCell ref="Y63:AA63"/>
    <mergeCell ref="AB63:AE63"/>
    <mergeCell ref="Y64:AA64"/>
    <mergeCell ref="AB64:AE64"/>
    <mergeCell ref="AF64:AI64"/>
    <mergeCell ref="I31:J31"/>
    <mergeCell ref="AB19:AD19"/>
    <mergeCell ref="AC7:AE7"/>
    <mergeCell ref="AB59:AL59"/>
    <mergeCell ref="C59:K60"/>
    <mergeCell ref="L59:P59"/>
    <mergeCell ref="L60:P60"/>
    <mergeCell ref="AF60:AI60"/>
    <mergeCell ref="AJ60:AL60"/>
    <mergeCell ref="Q59:AA59"/>
    <mergeCell ref="Q60:T60"/>
    <mergeCell ref="U60:X60"/>
    <mergeCell ref="Y60:AA60"/>
    <mergeCell ref="AB60:AE60"/>
    <mergeCell ref="Q61:T61"/>
    <mergeCell ref="U61:X61"/>
    <mergeCell ref="Y61:AA61"/>
    <mergeCell ref="AB61:AE61"/>
    <mergeCell ref="C64:K64"/>
    <mergeCell ref="C61:K61"/>
    <mergeCell ref="C62:K62"/>
    <mergeCell ref="U64:X64"/>
    <mergeCell ref="Q64:T64"/>
    <mergeCell ref="L61:P61"/>
    <mergeCell ref="L62:P62"/>
    <mergeCell ref="L64:P64"/>
    <mergeCell ref="C63:K63"/>
    <mergeCell ref="Q62:T62"/>
    <mergeCell ref="L63:P63"/>
    <mergeCell ref="AM59:AP59"/>
    <mergeCell ref="AM60:AP60"/>
    <mergeCell ref="AM64:AP64"/>
    <mergeCell ref="AM61:AP61"/>
    <mergeCell ref="AM62:AP62"/>
    <mergeCell ref="AJ64:AL64"/>
    <mergeCell ref="U62:X62"/>
    <mergeCell ref="Y62:AA62"/>
    <mergeCell ref="AB62:AE62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30"/>
  <sheetViews>
    <sheetView workbookViewId="0" topLeftCell="A3">
      <selection activeCell="AY6" sqref="AY6"/>
    </sheetView>
  </sheetViews>
  <sheetFormatPr defaultColWidth="8.88671875" defaultRowHeight="22.5" customHeight="1"/>
  <cols>
    <col min="1" max="16384" width="1.77734375" style="93" customWidth="1"/>
  </cols>
  <sheetData>
    <row r="2" s="95" customFormat="1" ht="22.5" customHeight="1">
      <c r="AR2" s="94"/>
    </row>
    <row r="28" spans="1:2" ht="22.5" customHeight="1">
      <c r="A28" s="165" t="s">
        <v>25</v>
      </c>
      <c r="B28" s="166"/>
    </row>
    <row r="29" spans="1:2" ht="22.5" customHeight="1">
      <c r="A29" s="166"/>
      <c r="B29" s="166"/>
    </row>
    <row r="30" spans="1:2" ht="22.5" customHeight="1">
      <c r="A30" s="166"/>
      <c r="B30" s="166"/>
    </row>
  </sheetData>
  <mergeCells count="1">
    <mergeCell ref="A28:B3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40"/>
  <sheetViews>
    <sheetView workbookViewId="0" topLeftCell="A118">
      <selection activeCell="A118" sqref="A1:IV16384"/>
    </sheetView>
  </sheetViews>
  <sheetFormatPr defaultColWidth="8.88671875" defaultRowHeight="22.5" customHeight="1"/>
  <cols>
    <col min="1" max="16384" width="1.77734375" style="3" customWidth="1"/>
  </cols>
  <sheetData>
    <row r="1" spans="1:6" ht="22.5" customHeight="1">
      <c r="A1" s="97" t="s">
        <v>75</v>
      </c>
      <c r="B1" s="1"/>
      <c r="C1" s="2"/>
      <c r="D1" s="2"/>
      <c r="E1" s="2"/>
      <c r="F1" s="2"/>
    </row>
    <row r="2" spans="1:33" ht="22.5" customHeight="1">
      <c r="A2" s="4" t="s">
        <v>76</v>
      </c>
      <c r="C2" s="2"/>
      <c r="D2" s="2"/>
      <c r="E2" s="2"/>
      <c r="F2" s="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22.5" customHeight="1">
      <c r="A3" s="142" t="s">
        <v>77</v>
      </c>
      <c r="D3" s="2"/>
      <c r="E3" s="2"/>
      <c r="F3" s="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0:33" ht="22.5" customHeight="1"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0:33" ht="22.5" customHeight="1"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0:33" ht="22.5" customHeight="1"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0:33" ht="22.5" customHeight="1"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0:33" ht="22.5" customHeight="1"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0:33" ht="22.5" customHeight="1"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0:33" ht="22.5" customHeight="1"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0:33" ht="22.5" customHeight="1"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0:33" ht="22.5" customHeight="1"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0:33" ht="22.5" customHeight="1"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45" ht="22.5" customHeight="1">
      <c r="A14" s="2"/>
      <c r="B14" s="2" t="s">
        <v>0</v>
      </c>
      <c r="D14" s="197">
        <v>0.25</v>
      </c>
      <c r="E14" s="164"/>
      <c r="F14" s="164"/>
      <c r="G14" s="2" t="s">
        <v>1</v>
      </c>
      <c r="H14" s="2"/>
      <c r="I14" s="2" t="s">
        <v>78</v>
      </c>
      <c r="K14" s="197">
        <v>0</v>
      </c>
      <c r="L14" s="164"/>
      <c r="M14" s="164"/>
      <c r="N14" s="2" t="s">
        <v>1</v>
      </c>
      <c r="P14" s="2" t="s">
        <v>79</v>
      </c>
      <c r="S14" s="2"/>
      <c r="T14" s="2"/>
      <c r="U14" s="2"/>
      <c r="V14" s="2"/>
      <c r="AC14" s="197">
        <v>24.5</v>
      </c>
      <c r="AD14" s="164"/>
      <c r="AE14" s="164"/>
      <c r="AF14" s="2" t="s">
        <v>80</v>
      </c>
      <c r="AG14" s="2"/>
      <c r="AS14" s="137" t="s">
        <v>81</v>
      </c>
    </row>
    <row r="15" spans="1:33" ht="22.5" customHeight="1">
      <c r="A15" s="2"/>
      <c r="B15" s="2" t="s">
        <v>3</v>
      </c>
      <c r="D15" s="197">
        <v>0.11</v>
      </c>
      <c r="E15" s="164"/>
      <c r="F15" s="164"/>
      <c r="G15" s="2" t="s">
        <v>1</v>
      </c>
      <c r="H15" s="2"/>
      <c r="I15" s="2" t="s">
        <v>2</v>
      </c>
      <c r="K15" s="197">
        <v>0.25</v>
      </c>
      <c r="L15" s="164"/>
      <c r="M15" s="164"/>
      <c r="N15" s="2" t="s">
        <v>1</v>
      </c>
      <c r="P15" s="2" t="s">
        <v>82</v>
      </c>
      <c r="S15" s="2"/>
      <c r="T15" s="2"/>
      <c r="U15" s="2"/>
      <c r="V15" s="2"/>
      <c r="AC15" s="197">
        <v>22.5</v>
      </c>
      <c r="AD15" s="164"/>
      <c r="AE15" s="164"/>
      <c r="AF15" s="2" t="s">
        <v>80</v>
      </c>
      <c r="AG15" s="2"/>
    </row>
    <row r="16" spans="1:34" ht="22.5" customHeight="1">
      <c r="A16" s="2"/>
      <c r="B16" s="2" t="s">
        <v>5</v>
      </c>
      <c r="D16" s="197">
        <v>0.18</v>
      </c>
      <c r="E16" s="164"/>
      <c r="F16" s="164"/>
      <c r="G16" s="2" t="s">
        <v>1</v>
      </c>
      <c r="H16" s="2"/>
      <c r="I16" s="2" t="s">
        <v>4</v>
      </c>
      <c r="K16" s="197">
        <v>0.09</v>
      </c>
      <c r="L16" s="164"/>
      <c r="M16" s="164"/>
      <c r="N16" s="2" t="s">
        <v>1</v>
      </c>
      <c r="P16" s="2" t="s">
        <v>83</v>
      </c>
      <c r="S16" s="2"/>
      <c r="T16" s="2"/>
      <c r="U16" s="200" t="s">
        <v>84</v>
      </c>
      <c r="V16" s="164"/>
      <c r="W16" s="2" t="s">
        <v>85</v>
      </c>
      <c r="X16" s="2"/>
      <c r="Y16" s="2"/>
      <c r="Z16" s="2"/>
      <c r="AA16" s="2"/>
      <c r="AB16" s="2"/>
      <c r="AC16" s="2"/>
      <c r="AD16" s="7"/>
      <c r="AE16" s="7"/>
      <c r="AF16" s="7"/>
      <c r="AG16" s="7"/>
      <c r="AH16" s="7"/>
    </row>
    <row r="17" spans="1:29" ht="22.5" customHeight="1">
      <c r="A17" s="2"/>
      <c r="B17" s="2" t="s">
        <v>7</v>
      </c>
      <c r="D17" s="197">
        <v>0.89</v>
      </c>
      <c r="E17" s="164"/>
      <c r="F17" s="164"/>
      <c r="G17" s="2" t="s">
        <v>1</v>
      </c>
      <c r="H17" s="2"/>
      <c r="I17" s="2" t="s">
        <v>6</v>
      </c>
      <c r="K17" s="197">
        <v>0.125</v>
      </c>
      <c r="L17" s="164"/>
      <c r="M17" s="164"/>
      <c r="N17" s="2" t="s">
        <v>1</v>
      </c>
      <c r="P17" s="2" t="s">
        <v>86</v>
      </c>
      <c r="S17" s="2"/>
      <c r="T17" s="2"/>
      <c r="U17" s="2"/>
      <c r="V17" s="2"/>
      <c r="X17" s="201">
        <v>100</v>
      </c>
      <c r="Y17" s="201"/>
      <c r="Z17" s="201"/>
      <c r="AA17" s="2" t="s">
        <v>87</v>
      </c>
      <c r="AC17" s="8"/>
    </row>
    <row r="18" spans="1:36" ht="22.5" customHeight="1">
      <c r="A18" s="2"/>
      <c r="B18" s="2" t="s">
        <v>9</v>
      </c>
      <c r="D18" s="197">
        <v>0.3</v>
      </c>
      <c r="E18" s="164"/>
      <c r="F18" s="164"/>
      <c r="G18" s="2" t="s">
        <v>1</v>
      </c>
      <c r="H18" s="2"/>
      <c r="I18" s="2" t="s">
        <v>8</v>
      </c>
      <c r="K18" s="197">
        <v>0.535</v>
      </c>
      <c r="L18" s="164"/>
      <c r="M18" s="164"/>
      <c r="N18" s="2" t="s">
        <v>1</v>
      </c>
      <c r="P18" s="2" t="s">
        <v>88</v>
      </c>
      <c r="S18" s="2"/>
      <c r="T18" s="2"/>
      <c r="U18" s="2"/>
      <c r="V18" s="2"/>
      <c r="W18" s="2"/>
      <c r="AC18" s="142" t="s">
        <v>89</v>
      </c>
      <c r="AH18" s="7"/>
      <c r="AJ18" s="2" t="s">
        <v>90</v>
      </c>
    </row>
    <row r="19" spans="1:28" ht="22.5" customHeight="1">
      <c r="A19" s="2"/>
      <c r="B19" s="2" t="s">
        <v>11</v>
      </c>
      <c r="D19" s="197">
        <v>0.08</v>
      </c>
      <c r="E19" s="164"/>
      <c r="F19" s="164"/>
      <c r="G19" s="2" t="s">
        <v>1</v>
      </c>
      <c r="H19" s="2"/>
      <c r="I19" s="2" t="s">
        <v>10</v>
      </c>
      <c r="K19" s="197">
        <v>0.06</v>
      </c>
      <c r="L19" s="164"/>
      <c r="M19" s="164"/>
      <c r="N19" s="2" t="s">
        <v>1</v>
      </c>
      <c r="Y19" s="2"/>
      <c r="Z19" s="2"/>
      <c r="AA19" s="2"/>
      <c r="AB19" s="2"/>
    </row>
    <row r="20" spans="1:29" ht="22.5" customHeight="1">
      <c r="A20" s="2"/>
      <c r="B20" s="2"/>
      <c r="D20" s="2"/>
      <c r="E20" s="2"/>
      <c r="G20" s="2"/>
      <c r="H20" s="2"/>
      <c r="I20" s="2" t="s">
        <v>12</v>
      </c>
      <c r="K20" s="197">
        <v>0.12</v>
      </c>
      <c r="L20" s="164"/>
      <c r="M20" s="164"/>
      <c r="N20" s="2" t="s">
        <v>1</v>
      </c>
      <c r="U20" s="10"/>
      <c r="V20" s="10"/>
      <c r="W20" s="103"/>
      <c r="X20" s="103"/>
      <c r="Y20" s="10"/>
      <c r="Z20" s="10"/>
      <c r="AA20" s="10"/>
      <c r="AB20" s="11"/>
      <c r="AC20" s="11"/>
    </row>
    <row r="21" spans="1:14" ht="22.5" customHeight="1">
      <c r="A21" s="2"/>
      <c r="B21" s="2"/>
      <c r="D21" s="2"/>
      <c r="E21" s="2"/>
      <c r="G21" s="2"/>
      <c r="H21" s="2"/>
      <c r="I21" s="2" t="s">
        <v>91</v>
      </c>
      <c r="K21" s="197">
        <f>K14+K15+K16+K17+K18-K20</f>
        <v>0.88</v>
      </c>
      <c r="L21" s="164"/>
      <c r="M21" s="164"/>
      <c r="N21" s="2" t="s">
        <v>1</v>
      </c>
    </row>
    <row r="22" spans="1:28" ht="22.5" customHeight="1">
      <c r="A22" s="2"/>
      <c r="B22" s="2"/>
      <c r="D22" s="2"/>
      <c r="E22" s="2"/>
      <c r="G22" s="2"/>
      <c r="H22" s="2"/>
      <c r="I22" s="2" t="s">
        <v>92</v>
      </c>
      <c r="K22" s="197">
        <v>0.25</v>
      </c>
      <c r="L22" s="164"/>
      <c r="M22" s="164"/>
      <c r="N22" s="2" t="s">
        <v>1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2.5" customHeight="1">
      <c r="A23" s="2"/>
      <c r="B23" s="2"/>
      <c r="D23" s="2"/>
      <c r="E23" s="2"/>
      <c r="G23" s="2"/>
      <c r="H23" s="2"/>
      <c r="I23" s="2"/>
      <c r="K23" s="12"/>
      <c r="L23" s="5"/>
      <c r="M23" s="6"/>
      <c r="N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6" ht="22.5" customHeight="1">
      <c r="A24" s="2"/>
      <c r="B24" s="2" t="s">
        <v>93</v>
      </c>
      <c r="C24" s="2"/>
      <c r="D24" s="2"/>
      <c r="E24" s="2"/>
      <c r="F24" s="2"/>
      <c r="H24" s="2"/>
      <c r="J24" s="2"/>
      <c r="K24" s="13" t="str">
        <f>IF(P25&gt;0.25,"( L&gt;0.25mの場合)","( L≤0.25mの場合)")</f>
        <v>( L≤0.25mの場合)</v>
      </c>
      <c r="L24" s="2"/>
      <c r="M24" s="2"/>
      <c r="N24" s="2"/>
      <c r="O24" s="2"/>
      <c r="Q24" s="14"/>
      <c r="R24" s="14"/>
      <c r="S24" s="15"/>
      <c r="U24" s="11"/>
      <c r="W24" s="14"/>
      <c r="Y24" s="16"/>
      <c r="Z24" s="17" t="s">
        <v>94</v>
      </c>
    </row>
    <row r="25" spans="1:23" ht="22.5" customHeight="1">
      <c r="A25" s="2"/>
      <c r="C25" s="11" t="s">
        <v>95</v>
      </c>
      <c r="D25" s="2"/>
      <c r="E25" s="2"/>
      <c r="F25" s="2"/>
      <c r="G25" s="2"/>
      <c r="H25" s="2"/>
      <c r="N25" s="2" t="s">
        <v>96</v>
      </c>
      <c r="O25" s="2"/>
      <c r="P25" s="5">
        <f>(K18-K19-K22)</f>
        <v>0.22500000000000003</v>
      </c>
      <c r="Q25" s="6"/>
      <c r="R25" s="6"/>
      <c r="S25" s="18"/>
      <c r="T25" s="2" t="s">
        <v>1</v>
      </c>
      <c r="U25" s="16"/>
      <c r="V25" s="14"/>
      <c r="W25" s="14"/>
    </row>
    <row r="26" spans="1:47" ht="22.5" customHeight="1">
      <c r="A26" s="2"/>
      <c r="C26" s="13" t="str">
        <f>IF(P25&gt;0.25,"do = (80·L + 210) =","do = (280·L + 160) =")</f>
        <v>do = (280·L + 160) =</v>
      </c>
      <c r="D26" s="2"/>
      <c r="E26" s="2"/>
      <c r="F26" s="2"/>
      <c r="G26" s="2"/>
      <c r="L26" s="2" t="str">
        <f>IF(P25&gt;0.25,"{(80×"&amp;P25&amp;") + 210} = "&amp;ROUND((80*P25+210),0)&amp;" mm &gt; 160 mm","{(280×"&amp;P25&amp;") + 160} = "&amp;ROUND((280*P25+160),0)&amp;" mm &gt; 160 mm")</f>
        <v>{(280×0.225) + 160} = 223 mm &gt; 160 mm</v>
      </c>
      <c r="W26" s="2"/>
      <c r="X26" s="11"/>
      <c r="AG26" s="2"/>
      <c r="AH26" s="2"/>
      <c r="AI26" s="2"/>
      <c r="AJ26" s="2"/>
      <c r="AK26" s="2"/>
      <c r="AL26" s="2"/>
      <c r="AM26" s="2"/>
      <c r="AN26" s="2"/>
      <c r="AP26" s="2"/>
      <c r="AQ26" s="2"/>
      <c r="AR26" s="2"/>
      <c r="AS26" s="2"/>
      <c r="AT26" s="2"/>
      <c r="AU26" s="2"/>
    </row>
    <row r="27" spans="1:35" ht="22.5" customHeight="1">
      <c r="A27" s="2"/>
      <c r="C27" s="2" t="s">
        <v>97</v>
      </c>
      <c r="D27" s="2"/>
      <c r="E27" s="2"/>
      <c r="F27" s="2"/>
      <c r="J27" s="18">
        <f>AB28</f>
        <v>1.25</v>
      </c>
      <c r="K27" s="6"/>
      <c r="L27" s="19" t="s">
        <v>98</v>
      </c>
      <c r="M27" s="20">
        <v>1</v>
      </c>
      <c r="N27" s="6"/>
      <c r="O27" s="19" t="s">
        <v>98</v>
      </c>
      <c r="P27" s="18">
        <f>IF(P25&gt;0.25,ROUND((80*P25+210),0),ROUND((280*P25+160),0))</f>
        <v>223</v>
      </c>
      <c r="Q27" s="6"/>
      <c r="R27" s="6"/>
      <c r="S27" s="19" t="s">
        <v>99</v>
      </c>
      <c r="T27" s="18">
        <f>ROUND(J27*M27*P27,-1)</f>
        <v>280</v>
      </c>
      <c r="U27" s="6"/>
      <c r="V27" s="18"/>
      <c r="W27" s="2" t="s">
        <v>100</v>
      </c>
      <c r="Y27" s="19" t="s">
        <v>101</v>
      </c>
      <c r="AA27" s="185">
        <f>D18*100</f>
        <v>30</v>
      </c>
      <c r="AB27" s="185"/>
      <c r="AC27" s="185"/>
      <c r="AD27" s="11" t="s">
        <v>102</v>
      </c>
      <c r="AE27" s="2"/>
      <c r="AH27" s="2" t="str">
        <f>IF(T27&lt;=AA27*10,"O.K.","N.G.")</f>
        <v>O.K.</v>
      </c>
      <c r="AI27" s="2"/>
    </row>
    <row r="28" spans="1:58" ht="22.5" customHeight="1">
      <c r="A28" s="2"/>
      <c r="C28" s="2" t="s">
        <v>13</v>
      </c>
      <c r="D28" s="2"/>
      <c r="G28" s="2" t="s">
        <v>14</v>
      </c>
      <c r="Y28" s="2" t="s">
        <v>103</v>
      </c>
      <c r="AB28" s="18">
        <f>IF(AC18="500未満",1.1,IF(AC18="500以上1000未満",1.15,IF(AC18="1000以上2000未満",1.2,IF(AC18="2000以上",1.25,"入力確認要望"))))</f>
        <v>1.25</v>
      </c>
      <c r="AC28" s="78"/>
      <c r="AD28" s="2" t="s">
        <v>104</v>
      </c>
      <c r="AN28" s="2"/>
      <c r="AP28" s="2"/>
      <c r="AQ28" s="2"/>
      <c r="AR28" s="2"/>
      <c r="AS28" s="2"/>
      <c r="AT28" s="2"/>
      <c r="AU28" s="2"/>
      <c r="AV28" s="2"/>
      <c r="AW28" s="2"/>
      <c r="AY28" s="2"/>
      <c r="BB28" s="2"/>
      <c r="BC28" s="2"/>
      <c r="BD28" s="2"/>
      <c r="BE28" s="2"/>
      <c r="BF28" s="11"/>
    </row>
    <row r="29" spans="1:58" ht="22.5" customHeight="1">
      <c r="A29" s="2"/>
      <c r="C29" s="8"/>
      <c r="D29" s="2"/>
      <c r="E29" s="2"/>
      <c r="G29" s="2" t="s">
        <v>105</v>
      </c>
      <c r="AN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BA29" s="2"/>
      <c r="BB29" s="2"/>
      <c r="BC29" s="2"/>
      <c r="BD29" s="2"/>
      <c r="BE29" s="2"/>
      <c r="BF29" s="11"/>
    </row>
    <row r="30" spans="1:58" ht="22.5" customHeight="1">
      <c r="A30" s="2"/>
      <c r="C30" s="8"/>
      <c r="D30" s="2"/>
      <c r="E30" s="2"/>
      <c r="G30" s="2"/>
      <c r="I30" s="2" t="s">
        <v>106</v>
      </c>
      <c r="Z30" s="2"/>
      <c r="AN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BA30" s="2"/>
      <c r="BB30" s="2"/>
      <c r="BC30" s="2"/>
      <c r="BD30" s="2"/>
      <c r="BE30" s="2"/>
      <c r="BF30" s="11"/>
    </row>
    <row r="31" spans="1:33" ht="22.5" customHeight="1" thickBot="1">
      <c r="A31" s="2"/>
      <c r="B31" s="11" t="s">
        <v>107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3" t="s">
        <v>81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4" ht="22.5" customHeight="1" thickBot="1">
      <c r="A32" s="2"/>
      <c r="B32" s="187" t="s">
        <v>15</v>
      </c>
      <c r="C32" s="187"/>
      <c r="D32" s="187"/>
      <c r="E32" s="187"/>
      <c r="F32" s="188"/>
      <c r="G32" s="186" t="s">
        <v>108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8"/>
      <c r="Y32" s="186" t="s">
        <v>109</v>
      </c>
      <c r="Z32" s="187"/>
      <c r="AA32" s="187"/>
      <c r="AB32" s="188"/>
      <c r="AC32" s="186" t="s">
        <v>110</v>
      </c>
      <c r="AD32" s="187"/>
      <c r="AE32" s="187"/>
      <c r="AF32" s="187"/>
      <c r="AG32" s="187"/>
      <c r="AH32" s="187"/>
    </row>
    <row r="33" spans="1:34" ht="22.5" customHeight="1" thickTop="1">
      <c r="A33" s="2"/>
      <c r="B33" s="189">
        <v>1</v>
      </c>
      <c r="C33" s="189"/>
      <c r="D33" s="189"/>
      <c r="E33" s="189"/>
      <c r="F33" s="190"/>
      <c r="G33" s="23" t="str">
        <f>K15&amp;" × "&amp;D17&amp;" × "&amp;AC14</f>
        <v>0.25 × 0.89 × 24.5</v>
      </c>
      <c r="H33" s="24"/>
      <c r="I33" s="24"/>
      <c r="J33" s="24"/>
      <c r="K33" s="24"/>
      <c r="L33" s="24"/>
      <c r="M33" s="25"/>
      <c r="N33" s="25"/>
      <c r="O33" s="25"/>
      <c r="P33" s="25"/>
      <c r="Q33" s="25"/>
      <c r="R33" s="25"/>
      <c r="S33" s="25"/>
      <c r="T33" s="26" t="s">
        <v>16</v>
      </c>
      <c r="U33" s="27">
        <f>ROUND(D17*K15*AC14,3)</f>
        <v>5.451</v>
      </c>
      <c r="V33" s="27"/>
      <c r="W33" s="26"/>
      <c r="X33" s="28"/>
      <c r="Y33" s="29">
        <f>ROUND(K18+K17+K16+K15/2-K19,3)</f>
        <v>0.815</v>
      </c>
      <c r="Z33" s="27"/>
      <c r="AA33" s="27"/>
      <c r="AB33" s="28"/>
      <c r="AC33" s="29">
        <f>-ROUND(U33*Y33,3)</f>
        <v>-4.443</v>
      </c>
      <c r="AD33" s="27"/>
      <c r="AE33" s="27"/>
      <c r="AF33" s="27"/>
      <c r="AG33" s="28"/>
      <c r="AH33" s="28"/>
    </row>
    <row r="34" spans="1:34" ht="22.5" customHeight="1">
      <c r="A34" s="2"/>
      <c r="B34" s="191">
        <v>2</v>
      </c>
      <c r="C34" s="191"/>
      <c r="D34" s="191"/>
      <c r="E34" s="191"/>
      <c r="F34" s="192"/>
      <c r="G34" s="30" t="str">
        <f>"½ × "&amp;K16&amp;" × "&amp;D17&amp;" × "&amp;AC14</f>
        <v>½ × 0.09 × 0.89 × 24.5</v>
      </c>
      <c r="H34" s="11"/>
      <c r="I34" s="11"/>
      <c r="J34" s="11"/>
      <c r="K34" s="11"/>
      <c r="L34" s="11"/>
      <c r="T34" s="15" t="s">
        <v>16</v>
      </c>
      <c r="U34" s="31">
        <f>ROUND(0.5*K16*D17*AC14,3)</f>
        <v>0.981</v>
      </c>
      <c r="V34" s="31"/>
      <c r="W34" s="15"/>
      <c r="X34" s="6"/>
      <c r="Y34" s="32">
        <f>ROUND(K18+K17+K16*2/3-K19,3)</f>
        <v>0.66</v>
      </c>
      <c r="Z34" s="31"/>
      <c r="AA34" s="31"/>
      <c r="AB34" s="6"/>
      <c r="AC34" s="32">
        <f>-ROUND(U34*Y34,3)</f>
        <v>-0.647</v>
      </c>
      <c r="AD34" s="31"/>
      <c r="AE34" s="31"/>
      <c r="AF34" s="31"/>
      <c r="AG34" s="6"/>
      <c r="AH34" s="6"/>
    </row>
    <row r="35" spans="1:34" ht="22.5" customHeight="1">
      <c r="A35" s="2"/>
      <c r="B35" s="189">
        <v>3</v>
      </c>
      <c r="C35" s="189"/>
      <c r="D35" s="189"/>
      <c r="E35" s="189"/>
      <c r="F35" s="190"/>
      <c r="G35" s="33" t="str">
        <f>(K15+K16)&amp;" × "&amp;(D15+D16)&amp;" × "&amp;AC14</f>
        <v>0.34 × 0.29 × 24.5</v>
      </c>
      <c r="H35" s="34"/>
      <c r="I35" s="34"/>
      <c r="J35" s="34"/>
      <c r="K35" s="34"/>
      <c r="L35" s="34"/>
      <c r="M35" s="35"/>
      <c r="N35" s="35"/>
      <c r="O35" s="35"/>
      <c r="P35" s="35"/>
      <c r="Q35" s="35"/>
      <c r="R35" s="35"/>
      <c r="S35" s="35"/>
      <c r="T35" s="36" t="s">
        <v>16</v>
      </c>
      <c r="U35" s="37">
        <f>ROUND((K15+K16)*(D15+D16)*AC14,3)</f>
        <v>2.416</v>
      </c>
      <c r="V35" s="37"/>
      <c r="W35" s="36"/>
      <c r="X35" s="38"/>
      <c r="Y35" s="39">
        <f>ROUND(K18+K17+(K16+K15)/2-K19,3)</f>
        <v>0.77</v>
      </c>
      <c r="Z35" s="37"/>
      <c r="AA35" s="37"/>
      <c r="AB35" s="38"/>
      <c r="AC35" s="39">
        <f>-ROUND(U35*Y35,3)</f>
        <v>-1.86</v>
      </c>
      <c r="AD35" s="37"/>
      <c r="AE35" s="37"/>
      <c r="AF35" s="37"/>
      <c r="AG35" s="38"/>
      <c r="AH35" s="38"/>
    </row>
    <row r="36" spans="1:34" ht="22.5" customHeight="1">
      <c r="A36" s="2"/>
      <c r="B36" s="191">
        <v>4</v>
      </c>
      <c r="C36" s="191"/>
      <c r="D36" s="191"/>
      <c r="E36" s="191"/>
      <c r="F36" s="192"/>
      <c r="G36" s="30" t="str">
        <f>"½ × "&amp;K17&amp;" × "&amp;D16&amp;" × "&amp;AC14</f>
        <v>½ × 0.125 × 0.18 × 24.5</v>
      </c>
      <c r="H36" s="11"/>
      <c r="I36" s="11"/>
      <c r="J36" s="11"/>
      <c r="K36" s="11"/>
      <c r="L36" s="11"/>
      <c r="T36" s="15" t="s">
        <v>16</v>
      </c>
      <c r="U36" s="31">
        <f>ROUND(0.5*K17*D16*AC14,3)</f>
        <v>0.276</v>
      </c>
      <c r="V36" s="31"/>
      <c r="W36" s="15"/>
      <c r="X36" s="6"/>
      <c r="Y36" s="32">
        <f>ROUND(K18+K17*2/3-K19,3)</f>
        <v>0.558</v>
      </c>
      <c r="Z36" s="31"/>
      <c r="AA36" s="31"/>
      <c r="AB36" s="6"/>
      <c r="AC36" s="32">
        <f>-ROUND(U36*Y36,3)</f>
        <v>-0.154</v>
      </c>
      <c r="AD36" s="31"/>
      <c r="AE36" s="31"/>
      <c r="AF36" s="31"/>
      <c r="AG36" s="6"/>
      <c r="AH36" s="6"/>
    </row>
    <row r="37" spans="1:34" ht="22.5" customHeight="1" thickBot="1">
      <c r="A37" s="2"/>
      <c r="B37" s="193">
        <v>5</v>
      </c>
      <c r="C37" s="193"/>
      <c r="D37" s="193"/>
      <c r="E37" s="193"/>
      <c r="F37" s="194"/>
      <c r="G37" s="116" t="str">
        <f>K17&amp;" × "&amp;D15&amp;" × "&amp;AC14</f>
        <v>0.125 × 0.11 × 24.5</v>
      </c>
      <c r="H37" s="117"/>
      <c r="I37" s="117"/>
      <c r="J37" s="117"/>
      <c r="K37" s="117"/>
      <c r="L37" s="117"/>
      <c r="M37" s="118"/>
      <c r="N37" s="118"/>
      <c r="O37" s="118"/>
      <c r="P37" s="118"/>
      <c r="Q37" s="118"/>
      <c r="R37" s="118"/>
      <c r="S37" s="118"/>
      <c r="T37" s="119" t="s">
        <v>16</v>
      </c>
      <c r="U37" s="120">
        <f>ROUND(K17*D15*AC14,3)</f>
        <v>0.337</v>
      </c>
      <c r="V37" s="120"/>
      <c r="W37" s="119"/>
      <c r="X37" s="121"/>
      <c r="Y37" s="122">
        <f>ROUND(K18+K17/2-K19,3)</f>
        <v>0.538</v>
      </c>
      <c r="Z37" s="120"/>
      <c r="AA37" s="120"/>
      <c r="AB37" s="121"/>
      <c r="AC37" s="122">
        <f>-ROUND(U37*Y37,3)</f>
        <v>-0.181</v>
      </c>
      <c r="AD37" s="120"/>
      <c r="AE37" s="120"/>
      <c r="AF37" s="120"/>
      <c r="AG37" s="121"/>
      <c r="AH37" s="121"/>
    </row>
    <row r="38" spans="1:34" ht="22.5" customHeight="1" thickBot="1" thickTop="1">
      <c r="A38" s="2"/>
      <c r="B38" s="195" t="s">
        <v>111</v>
      </c>
      <c r="C38" s="195"/>
      <c r="D38" s="195"/>
      <c r="E38" s="195"/>
      <c r="F38" s="196"/>
      <c r="G38" s="40"/>
      <c r="H38" s="41"/>
      <c r="I38" s="41"/>
      <c r="J38" s="41"/>
      <c r="K38" s="41"/>
      <c r="L38" s="41"/>
      <c r="M38" s="42"/>
      <c r="N38" s="42"/>
      <c r="O38" s="42"/>
      <c r="P38" s="42"/>
      <c r="Q38" s="42"/>
      <c r="R38" s="42"/>
      <c r="S38" s="42"/>
      <c r="T38" s="43"/>
      <c r="U38" s="44">
        <f>SUM(U33:U37)</f>
        <v>9.460999999999999</v>
      </c>
      <c r="V38" s="44"/>
      <c r="W38" s="43"/>
      <c r="X38" s="45"/>
      <c r="Y38" s="46" t="s">
        <v>112</v>
      </c>
      <c r="Z38" s="44"/>
      <c r="AA38" s="44"/>
      <c r="AB38" s="45"/>
      <c r="AC38" s="46">
        <f>SUM(AC33:AC37)</f>
        <v>-7.285</v>
      </c>
      <c r="AD38" s="44"/>
      <c r="AE38" s="44"/>
      <c r="AF38" s="44"/>
      <c r="AG38" s="45"/>
      <c r="AH38" s="45"/>
    </row>
    <row r="39" spans="1:34" ht="22.5" customHeight="1" thickTop="1">
      <c r="A39" s="2"/>
      <c r="B39" s="189">
        <v>6</v>
      </c>
      <c r="C39" s="189"/>
      <c r="D39" s="189"/>
      <c r="E39" s="189"/>
      <c r="F39" s="190"/>
      <c r="G39" s="30" t="str">
        <f>K14+K15+K16+K17+K18-K19&amp;" × "&amp;D14&amp;" × "&amp;AC14</f>
        <v>0.94 × 0.25 × 24.5</v>
      </c>
      <c r="H39" s="11"/>
      <c r="I39" s="11"/>
      <c r="J39" s="11"/>
      <c r="K39" s="11"/>
      <c r="L39" s="11"/>
      <c r="T39" s="15" t="s">
        <v>16</v>
      </c>
      <c r="U39" s="31">
        <f>ROUND((K14+K15+K16+K17+K18-K19)*D14*AC14,3)</f>
        <v>5.758</v>
      </c>
      <c r="V39" s="31"/>
      <c r="W39" s="15"/>
      <c r="X39" s="6"/>
      <c r="Y39" s="32">
        <f>ROUND((K14+K15+K16+K17+K18-K19)/2,3)</f>
        <v>0.47</v>
      </c>
      <c r="Z39" s="31"/>
      <c r="AA39" s="31"/>
      <c r="AB39" s="6"/>
      <c r="AC39" s="32">
        <f>-ROUND(U39*Y39,3)</f>
        <v>-2.706</v>
      </c>
      <c r="AD39" s="31"/>
      <c r="AE39" s="31"/>
      <c r="AF39" s="31"/>
      <c r="AG39" s="6"/>
      <c r="AH39" s="6"/>
    </row>
    <row r="40" spans="1:34" ht="22.5" customHeight="1">
      <c r="A40" s="2"/>
      <c r="B40" s="191">
        <v>7</v>
      </c>
      <c r="C40" s="191"/>
      <c r="D40" s="191"/>
      <c r="E40" s="191"/>
      <c r="F40" s="192"/>
      <c r="G40" s="33" t="str">
        <f>K18-K19&amp;" × "&amp;D19&amp;" × "&amp;AC15</f>
        <v>0.475 × 0.08 × 22.5</v>
      </c>
      <c r="H40" s="34"/>
      <c r="I40" s="34"/>
      <c r="J40" s="34"/>
      <c r="K40" s="34"/>
      <c r="L40" s="34"/>
      <c r="M40" s="35"/>
      <c r="N40" s="35"/>
      <c r="O40" s="35"/>
      <c r="P40" s="35"/>
      <c r="Q40" s="35"/>
      <c r="R40" s="35"/>
      <c r="S40" s="35"/>
      <c r="T40" s="36" t="s">
        <v>16</v>
      </c>
      <c r="U40" s="37">
        <f>ROUND((K18-K19)*D19*AC15,3)</f>
        <v>0.855</v>
      </c>
      <c r="V40" s="37"/>
      <c r="W40" s="36"/>
      <c r="X40" s="38"/>
      <c r="Y40" s="39">
        <f>ROUND((K18-K19)/2,3)</f>
        <v>0.238</v>
      </c>
      <c r="Z40" s="37"/>
      <c r="AA40" s="37"/>
      <c r="AB40" s="38"/>
      <c r="AC40" s="39">
        <f>-ROUND(U40*Y40,3)</f>
        <v>-0.203</v>
      </c>
      <c r="AD40" s="37"/>
      <c r="AE40" s="37"/>
      <c r="AF40" s="37"/>
      <c r="AG40" s="38"/>
      <c r="AH40" s="38"/>
    </row>
    <row r="41" spans="1:34" ht="22.5" customHeight="1">
      <c r="A41" s="2"/>
      <c r="B41" s="189">
        <v>8</v>
      </c>
      <c r="C41" s="189"/>
      <c r="D41" s="189"/>
      <c r="E41" s="189"/>
      <c r="F41" s="190"/>
      <c r="G41" s="30" t="str">
        <f>"½ × "&amp;K21&amp;" × "&amp;D18-D14&amp;" × "&amp;AC14</f>
        <v>½ × 0.88 × 0.05 × 24.5</v>
      </c>
      <c r="H41" s="11"/>
      <c r="I41" s="11"/>
      <c r="J41" s="11"/>
      <c r="K41" s="11"/>
      <c r="L41" s="11"/>
      <c r="T41" s="15" t="s">
        <v>16</v>
      </c>
      <c r="U41" s="31">
        <f>ROUND(0.5*K21*(D18-D14)*AC14,3)</f>
        <v>0.539</v>
      </c>
      <c r="V41" s="31"/>
      <c r="W41" s="15"/>
      <c r="X41" s="6"/>
      <c r="Y41" s="32">
        <f>ROUND((K20-K19)+(K21)/3,3)</f>
        <v>0.353</v>
      </c>
      <c r="Z41" s="31"/>
      <c r="AA41" s="31"/>
      <c r="AB41" s="6"/>
      <c r="AC41" s="32">
        <f>-ROUND(U41*Y41,3)</f>
        <v>-0.19</v>
      </c>
      <c r="AD41" s="31"/>
      <c r="AE41" s="31"/>
      <c r="AF41" s="31"/>
      <c r="AG41" s="6"/>
      <c r="AH41" s="6"/>
    </row>
    <row r="42" spans="1:34" ht="22.5" customHeight="1">
      <c r="A42" s="2"/>
      <c r="B42" s="191">
        <v>9</v>
      </c>
      <c r="C42" s="191"/>
      <c r="D42" s="191"/>
      <c r="E42" s="191"/>
      <c r="F42" s="192"/>
      <c r="G42" s="33" t="str">
        <f>K20-K19&amp;" × "&amp;D18-D14&amp;" × "&amp;AC14</f>
        <v>0.06 × 0.05 × 24.5</v>
      </c>
      <c r="H42" s="34"/>
      <c r="I42" s="34"/>
      <c r="J42" s="34"/>
      <c r="K42" s="34"/>
      <c r="L42" s="34"/>
      <c r="M42" s="35"/>
      <c r="N42" s="35"/>
      <c r="O42" s="35"/>
      <c r="P42" s="35"/>
      <c r="Q42" s="35"/>
      <c r="R42" s="35"/>
      <c r="S42" s="35"/>
      <c r="T42" s="36" t="s">
        <v>16</v>
      </c>
      <c r="U42" s="37">
        <f>(K20-K19)*(D18-D14)*AC14</f>
        <v>0.07349999999999998</v>
      </c>
      <c r="V42" s="37"/>
      <c r="W42" s="36"/>
      <c r="X42" s="38"/>
      <c r="Y42" s="39">
        <f>(K20-K19)/2</f>
        <v>0.03</v>
      </c>
      <c r="Z42" s="37"/>
      <c r="AA42" s="37"/>
      <c r="AB42" s="38"/>
      <c r="AC42" s="47">
        <f>-U42*Y42</f>
        <v>-0.0022049999999999995</v>
      </c>
      <c r="AD42" s="48"/>
      <c r="AE42" s="48"/>
      <c r="AF42" s="48"/>
      <c r="AG42" s="38"/>
      <c r="AH42" s="38"/>
    </row>
    <row r="43" spans="1:34" ht="22.5" customHeight="1" thickBot="1">
      <c r="A43" s="2"/>
      <c r="B43" s="198" t="s">
        <v>17</v>
      </c>
      <c r="C43" s="198"/>
      <c r="D43" s="198"/>
      <c r="E43" s="198"/>
      <c r="F43" s="199"/>
      <c r="G43" s="49"/>
      <c r="H43" s="21"/>
      <c r="I43" s="21"/>
      <c r="J43" s="21"/>
      <c r="K43" s="21"/>
      <c r="L43" s="21"/>
      <c r="M43" s="22"/>
      <c r="N43" s="22"/>
      <c r="O43" s="22"/>
      <c r="P43" s="22"/>
      <c r="Q43" s="22"/>
      <c r="R43" s="22"/>
      <c r="S43" s="22"/>
      <c r="T43" s="50"/>
      <c r="U43" s="51">
        <f>ROUND(SUM(U38:U42),3)</f>
        <v>16.687</v>
      </c>
      <c r="V43" s="51"/>
      <c r="W43" s="50"/>
      <c r="X43" s="52"/>
      <c r="Y43" s="53" t="s">
        <v>112</v>
      </c>
      <c r="Z43" s="51"/>
      <c r="AA43" s="51"/>
      <c r="AB43" s="52"/>
      <c r="AC43" s="53">
        <f>ROUND(SUM(AC38:AC42),3)</f>
        <v>-10.386</v>
      </c>
      <c r="AD43" s="51"/>
      <c r="AE43" s="51"/>
      <c r="AF43" s="51"/>
      <c r="AG43" s="52"/>
      <c r="AH43" s="52"/>
    </row>
    <row r="44" spans="1:34" ht="22.5" customHeight="1">
      <c r="A44" s="2"/>
      <c r="B44" s="2"/>
      <c r="C44" s="2"/>
      <c r="D44" s="2"/>
      <c r="E44" s="2"/>
      <c r="G44" s="2"/>
      <c r="H44" s="2"/>
      <c r="I44" s="2"/>
      <c r="J44" s="2"/>
      <c r="K44" s="2"/>
      <c r="L44" s="2"/>
      <c r="M44" s="2"/>
      <c r="N44" s="2"/>
      <c r="O44" s="2"/>
      <c r="P44" s="2"/>
      <c r="Z44" s="54" t="str">
        <f>"∴ Md = "&amp;AC43&amp;" kN·m "</f>
        <v>∴ Md = -10.386 kN·m </v>
      </c>
      <c r="AA44" s="54"/>
      <c r="AB44" s="54"/>
      <c r="AC44" s="54"/>
      <c r="AD44" s="54"/>
      <c r="AE44" s="54"/>
      <c r="AF44" s="54"/>
      <c r="AG44" s="54"/>
      <c r="AH44" s="54"/>
    </row>
    <row r="45" spans="1:12" ht="22.5" customHeight="1">
      <c r="A45" s="2"/>
      <c r="B45" s="2" t="s">
        <v>113</v>
      </c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34" ht="22.5" customHeight="1">
      <c r="A46" s="2"/>
      <c r="B46" s="2"/>
      <c r="C46" s="3" t="s">
        <v>114</v>
      </c>
      <c r="O46" s="3" t="s">
        <v>99</v>
      </c>
      <c r="P46" s="2" t="s">
        <v>115</v>
      </c>
      <c r="S46" s="3" t="s">
        <v>99</v>
      </c>
      <c r="T46" s="55">
        <f>ABS(AC38)</f>
        <v>7.285</v>
      </c>
      <c r="U46" s="55"/>
      <c r="V46" s="55"/>
      <c r="W46" s="55"/>
      <c r="X46" s="56" t="s">
        <v>116</v>
      </c>
      <c r="Y46" s="55">
        <f>U38</f>
        <v>9.460999999999999</v>
      </c>
      <c r="Z46" s="55"/>
      <c r="AA46" s="55"/>
      <c r="AB46" s="55"/>
      <c r="AC46" s="11" t="s">
        <v>99</v>
      </c>
      <c r="AD46" s="55">
        <f>T46/Y46</f>
        <v>0.7700031709121659</v>
      </c>
      <c r="AE46" s="55"/>
      <c r="AF46" s="55"/>
      <c r="AG46" s="55"/>
      <c r="AH46" s="11" t="s">
        <v>47</v>
      </c>
    </row>
    <row r="47" spans="1:33" ht="22.5" customHeight="1">
      <c r="A47" s="2"/>
      <c r="B47" s="2"/>
      <c r="C47" s="2" t="s">
        <v>117</v>
      </c>
      <c r="D47" s="2"/>
      <c r="H47" s="55"/>
      <c r="I47" s="55"/>
      <c r="J47" s="55"/>
      <c r="K47" s="55"/>
      <c r="L47" s="56"/>
      <c r="M47" s="55"/>
      <c r="N47" s="55"/>
      <c r="O47" s="55" t="s">
        <v>99</v>
      </c>
      <c r="P47" s="55"/>
      <c r="Q47" s="11" t="s">
        <v>118</v>
      </c>
      <c r="R47" s="55"/>
      <c r="S47" s="55">
        <f>K18-K19</f>
        <v>0.47500000000000003</v>
      </c>
      <c r="T47" s="55"/>
      <c r="U47" s="55"/>
      <c r="V47" s="11" t="s">
        <v>99</v>
      </c>
      <c r="W47" s="55">
        <f>AD46-S47</f>
        <v>0.2950031709121658</v>
      </c>
      <c r="X47" s="55"/>
      <c r="Y47" s="55"/>
      <c r="Z47" s="55"/>
      <c r="AA47" s="11" t="s">
        <v>47</v>
      </c>
      <c r="AB47" s="57"/>
      <c r="AC47" s="8"/>
      <c r="AG47" s="11"/>
    </row>
    <row r="48" spans="1:33" ht="22.5" customHeight="1">
      <c r="A48" s="2"/>
      <c r="B48" s="2"/>
      <c r="C48" s="2"/>
      <c r="D48" s="2"/>
      <c r="H48" s="55"/>
      <c r="I48" s="55"/>
      <c r="J48" s="55"/>
      <c r="K48" s="55"/>
      <c r="L48" s="56"/>
      <c r="M48" s="55"/>
      <c r="N48" s="55"/>
      <c r="O48" s="55"/>
      <c r="P48" s="55"/>
      <c r="Q48" s="11"/>
      <c r="R48" s="55"/>
      <c r="S48" s="55"/>
      <c r="T48" s="55"/>
      <c r="U48" s="55"/>
      <c r="V48" s="11"/>
      <c r="W48" s="55"/>
      <c r="X48" s="55"/>
      <c r="Y48" s="55"/>
      <c r="Z48" s="55"/>
      <c r="AA48" s="11"/>
      <c r="AG48" s="11"/>
    </row>
    <row r="49" spans="1:24" ht="22.5" customHeight="1">
      <c r="A49" s="2"/>
      <c r="B49" s="11" t="s">
        <v>119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1"/>
      <c r="X49" s="11"/>
    </row>
    <row r="50" spans="1:24" ht="22.5" customHeight="1">
      <c r="A50" s="2"/>
      <c r="B50" s="11"/>
      <c r="C50" s="2">
        <f>IF(AS14="(一般部)","","T荷重(衝撃を含む)による設計曲げモーメントとして8.2.4に規定する値の２倍を用いるものとする。")</f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1"/>
      <c r="X50" s="11"/>
    </row>
    <row r="51" spans="1:24" ht="22.5" customHeight="1">
      <c r="A51" s="2"/>
      <c r="B51" s="58" t="s">
        <v>120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1"/>
      <c r="X51" s="11"/>
    </row>
    <row r="52" spans="1:24" ht="22.5" customHeight="1">
      <c r="A52" s="2"/>
      <c r="C52" s="2" t="str">
        <f>IF(U16="A",IF(AS14="(一般部)","Ml = - PL / ( 1.30L ＋ 0.25 ) × 0.80","Ml = - PL / ( 1.30L ＋ 0.25 ) × 0.80 × 2"),IF(AS14="(一般部)","Ml = - PL / ( 1.30L ＋ 0.25 )","Ml = - PL / ( 1.30L ＋ 0.25 ) × 2"))</f>
        <v>Ml = - PL / ( 1.30L ＋ 0.25 )</v>
      </c>
      <c r="D52" s="5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R52" s="2"/>
      <c r="S52" s="2"/>
      <c r="T52" s="2"/>
      <c r="U52" s="16"/>
      <c r="V52" s="11"/>
      <c r="W52" s="17" t="s">
        <v>121</v>
      </c>
      <c r="X52" s="2"/>
    </row>
    <row r="53" spans="4:37" ht="22.5" customHeight="1">
      <c r="D53" s="19" t="s">
        <v>99</v>
      </c>
      <c r="E53" s="59" t="s">
        <v>122</v>
      </c>
      <c r="F53" s="60">
        <f>X17</f>
        <v>100</v>
      </c>
      <c r="G53" s="6"/>
      <c r="H53" s="6"/>
      <c r="I53" s="2" t="s">
        <v>98</v>
      </c>
      <c r="J53" s="5">
        <f>P25</f>
        <v>0.22500000000000003</v>
      </c>
      <c r="K53" s="6"/>
      <c r="L53" s="6"/>
      <c r="M53" s="56" t="s">
        <v>116</v>
      </c>
      <c r="N53" s="3" t="s">
        <v>123</v>
      </c>
      <c r="O53" s="61">
        <v>1.3</v>
      </c>
      <c r="P53" s="61"/>
      <c r="Q53" s="61"/>
      <c r="R53" s="2" t="s">
        <v>98</v>
      </c>
      <c r="S53" s="5">
        <f>J53</f>
        <v>0.22500000000000003</v>
      </c>
      <c r="T53" s="6"/>
      <c r="U53" s="6"/>
      <c r="V53" s="3" t="s">
        <v>124</v>
      </c>
      <c r="W53" s="61">
        <v>0.25</v>
      </c>
      <c r="X53" s="61"/>
      <c r="Y53" s="61"/>
      <c r="Z53" s="3" t="s">
        <v>104</v>
      </c>
      <c r="AA53" s="3">
        <f>IF(U16="A",IF(AS14="(一般部)","× 0.80","× 0.80× 2 "),IF(AS14="(一般部)","","× 2"))</f>
      </c>
      <c r="AF53" s="3" t="s">
        <v>99</v>
      </c>
      <c r="AG53" s="55">
        <f>IF(U16="A",IF(AS14="(一般部)",-F53*J53/(O53*S53+W53)*0.8,-F53*J53/(O53*S53+W53)*0.8*2),IF(U16="B",IF(AS14="(一般部)",-F53*J53/(O53*S53+W53),-F53*J53/(O53*S53+W53)*2),"ERROR"))</f>
        <v>-41.47465437788019</v>
      </c>
      <c r="AH53" s="55"/>
      <c r="AI53" s="55"/>
      <c r="AJ53" s="55"/>
      <c r="AK53" s="3" t="s">
        <v>18</v>
      </c>
    </row>
    <row r="54" spans="2:8" ht="22.5" customHeight="1">
      <c r="B54" s="58" t="s">
        <v>125</v>
      </c>
      <c r="H54" s="2"/>
    </row>
    <row r="55" spans="3:14" ht="22.5" customHeight="1">
      <c r="C55" s="2" t="str">
        <f>IF(U16="A",IF(AS14="(一般部)","Ml = ( 0.15L ＋ 0.13 ) P × 0.80","Ml = ( 0.15L ＋ 0.13 ) P × 0.80 × 2"),IF(AS14="(一般部)","Ml = ( 0.15L ＋ 0.13 ) P","Ml = ( 0.15L ＋ 0.13 ) P × 2"))</f>
        <v>Ml = ( 0.15L ＋ 0.13 ) P</v>
      </c>
      <c r="D55" s="58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4:37" ht="22.5" customHeight="1">
      <c r="D56" s="19" t="s">
        <v>99</v>
      </c>
      <c r="E56" s="59" t="s">
        <v>123</v>
      </c>
      <c r="F56" s="62">
        <v>0.15</v>
      </c>
      <c r="G56" s="6"/>
      <c r="H56" s="6"/>
      <c r="I56" s="2" t="s">
        <v>98</v>
      </c>
      <c r="J56" s="5">
        <f>P25</f>
        <v>0.22500000000000003</v>
      </c>
      <c r="K56" s="6"/>
      <c r="L56" s="6"/>
      <c r="M56" s="3" t="s">
        <v>124</v>
      </c>
      <c r="N56" s="61">
        <v>0.13</v>
      </c>
      <c r="O56" s="61"/>
      <c r="P56" s="61"/>
      <c r="Q56" s="3" t="s">
        <v>104</v>
      </c>
      <c r="R56" s="2" t="s">
        <v>98</v>
      </c>
      <c r="S56" s="63">
        <f>X17</f>
        <v>100</v>
      </c>
      <c r="T56" s="61"/>
      <c r="U56" s="61"/>
      <c r="V56" s="3">
        <f>IF(U16="A",IF(AS14="(一般部)","× 0.80","× 0.80× 2"),IF(AS14="(一般部)","","× 2"))</f>
      </c>
      <c r="AF56" s="3" t="s">
        <v>99</v>
      </c>
      <c r="AG56" s="55">
        <f>IF(U16="A",IF(AS14="(一般部)",(F56*J56+N56)*S56*0.8,(F56*J56+N56)*S56*0.8*2),IF(U16="B",IF(AS14="(一般部)",(F56*J56+N56)*S56,(F56*J56+N56)*S56*2),"ERROR"))</f>
        <v>16.375</v>
      </c>
      <c r="AH56" s="55"/>
      <c r="AI56" s="55"/>
      <c r="AJ56" s="55"/>
      <c r="AK56" s="3" t="s">
        <v>18</v>
      </c>
    </row>
    <row r="58" ht="22.5" customHeight="1">
      <c r="B58" s="3" t="s">
        <v>126</v>
      </c>
    </row>
    <row r="59" spans="3:16" ht="22.5" customHeight="1">
      <c r="C59" s="3" t="s">
        <v>127</v>
      </c>
      <c r="M59" s="202">
        <v>22</v>
      </c>
      <c r="N59" s="202"/>
      <c r="O59" s="202"/>
      <c r="P59" s="3" t="s">
        <v>128</v>
      </c>
    </row>
    <row r="60" spans="3:27" s="7" customFormat="1" ht="22.5" customHeight="1">
      <c r="C60" s="7" t="s">
        <v>129</v>
      </c>
      <c r="J60" s="79">
        <f>D15+D16+D17-D19</f>
        <v>1.0999999999999999</v>
      </c>
      <c r="K60" s="79"/>
      <c r="L60" s="79"/>
      <c r="M60" s="7" t="s">
        <v>124</v>
      </c>
      <c r="N60" s="79">
        <f>D19</f>
        <v>0.08</v>
      </c>
      <c r="O60" s="79"/>
      <c r="P60" s="79"/>
      <c r="Q60" s="7" t="s">
        <v>124</v>
      </c>
      <c r="R60" s="79">
        <f>D14</f>
        <v>0.25</v>
      </c>
      <c r="S60" s="79"/>
      <c r="T60" s="79"/>
      <c r="U60" s="80" t="s">
        <v>116</v>
      </c>
      <c r="V60" s="81">
        <v>2</v>
      </c>
      <c r="W60" s="7" t="s">
        <v>99</v>
      </c>
      <c r="X60" s="79">
        <f>J60+N60+R60/2</f>
        <v>1.305</v>
      </c>
      <c r="Y60" s="79"/>
      <c r="Z60" s="79"/>
      <c r="AA60" s="7" t="s">
        <v>47</v>
      </c>
    </row>
    <row r="61" spans="3:18" ht="22.5" customHeight="1">
      <c r="C61" s="3" t="s">
        <v>130</v>
      </c>
      <c r="F61" s="61">
        <f>-M59</f>
        <v>-22</v>
      </c>
      <c r="G61" s="61"/>
      <c r="H61" s="61"/>
      <c r="I61" s="2" t="s">
        <v>98</v>
      </c>
      <c r="J61" s="55">
        <f>X60</f>
        <v>1.305</v>
      </c>
      <c r="K61" s="55"/>
      <c r="L61" s="55"/>
      <c r="M61" s="3" t="s">
        <v>99</v>
      </c>
      <c r="N61" s="55">
        <f>F61*J61</f>
        <v>-28.709999999999997</v>
      </c>
      <c r="O61" s="55"/>
      <c r="P61" s="55"/>
      <c r="Q61" s="55"/>
      <c r="R61" s="3" t="s">
        <v>18</v>
      </c>
    </row>
    <row r="63" ht="22.5" customHeight="1">
      <c r="B63" s="3" t="s">
        <v>131</v>
      </c>
    </row>
    <row r="64" spans="3:16" ht="22.5" customHeight="1">
      <c r="C64" s="3" t="s">
        <v>132</v>
      </c>
      <c r="I64" s="202">
        <v>3</v>
      </c>
      <c r="J64" s="202"/>
      <c r="K64" s="202"/>
      <c r="L64" s="3" t="s">
        <v>133</v>
      </c>
      <c r="P64" s="3" t="s">
        <v>134</v>
      </c>
    </row>
    <row r="65" spans="3:29" ht="22.5" customHeight="1">
      <c r="C65" s="3" t="s">
        <v>135</v>
      </c>
      <c r="J65" s="55">
        <f>D15+D16+D17-D19</f>
        <v>1.0999999999999999</v>
      </c>
      <c r="K65" s="55"/>
      <c r="L65" s="55"/>
      <c r="M65" s="56" t="s">
        <v>116</v>
      </c>
      <c r="N65" s="59">
        <v>2</v>
      </c>
      <c r="O65" s="3" t="s">
        <v>124</v>
      </c>
      <c r="P65" s="55">
        <f>D19</f>
        <v>0.08</v>
      </c>
      <c r="Q65" s="55"/>
      <c r="R65" s="55"/>
      <c r="S65" s="3" t="s">
        <v>124</v>
      </c>
      <c r="T65" s="55">
        <f>D14</f>
        <v>0.25</v>
      </c>
      <c r="U65" s="55"/>
      <c r="V65" s="55"/>
      <c r="W65" s="56" t="s">
        <v>116</v>
      </c>
      <c r="X65" s="59">
        <v>2</v>
      </c>
      <c r="Y65" s="3" t="s">
        <v>99</v>
      </c>
      <c r="Z65" s="55">
        <f>J65/2+P65+T65/2</f>
        <v>0.7549999999999999</v>
      </c>
      <c r="AA65" s="55"/>
      <c r="AB65" s="55"/>
      <c r="AC65" s="3" t="s">
        <v>47</v>
      </c>
    </row>
    <row r="66" spans="3:22" ht="22.5" customHeight="1">
      <c r="C66" s="3" t="s">
        <v>136</v>
      </c>
      <c r="E66" s="61">
        <f>-I64</f>
        <v>-3</v>
      </c>
      <c r="F66" s="61"/>
      <c r="G66" s="61"/>
      <c r="H66" s="2" t="s">
        <v>98</v>
      </c>
      <c r="I66" s="55">
        <f>J65</f>
        <v>1.0999999999999999</v>
      </c>
      <c r="J66" s="6"/>
      <c r="K66" s="55"/>
      <c r="L66" s="55"/>
      <c r="M66" s="2" t="s">
        <v>98</v>
      </c>
      <c r="N66" s="55">
        <f>Z65</f>
        <v>0.7549999999999999</v>
      </c>
      <c r="O66" s="55"/>
      <c r="P66" s="55"/>
      <c r="Q66" s="3" t="s">
        <v>99</v>
      </c>
      <c r="R66" s="205">
        <f>E66*I66*N66</f>
        <v>-2.4914999999999994</v>
      </c>
      <c r="S66" s="205"/>
      <c r="T66" s="205"/>
      <c r="U66" s="205"/>
      <c r="V66" s="3" t="s">
        <v>137</v>
      </c>
    </row>
    <row r="68" ht="22.5" customHeight="1">
      <c r="B68" s="3" t="s">
        <v>138</v>
      </c>
    </row>
    <row r="69" spans="3:11" ht="22.5" customHeight="1">
      <c r="C69" s="2" t="s">
        <v>139</v>
      </c>
      <c r="D69" s="2"/>
      <c r="E69" s="2"/>
      <c r="F69" s="2"/>
      <c r="G69" s="2"/>
      <c r="H69" s="2"/>
      <c r="I69" s="2"/>
      <c r="J69" s="142" t="s">
        <v>40</v>
      </c>
      <c r="K69" s="2"/>
    </row>
    <row r="70" spans="3:38" ht="22.5" customHeight="1">
      <c r="C70" s="2" t="s">
        <v>140</v>
      </c>
      <c r="D70" s="64"/>
      <c r="E70" s="65"/>
      <c r="F70" s="65"/>
      <c r="G70" s="65"/>
      <c r="H70" s="65"/>
      <c r="I70" s="65"/>
      <c r="J70" s="55"/>
      <c r="K70" s="55"/>
      <c r="N70" s="143" t="s">
        <v>141</v>
      </c>
      <c r="O70" s="66"/>
      <c r="Q70" s="203">
        <v>24</v>
      </c>
      <c r="R70" s="163"/>
      <c r="S70" s="163"/>
      <c r="T70" s="65" t="s">
        <v>142</v>
      </c>
      <c r="U70" s="67"/>
      <c r="X70" s="74" t="s">
        <v>143</v>
      </c>
      <c r="Y70" s="74"/>
      <c r="Z70" s="74"/>
      <c r="AA70" s="74"/>
      <c r="AB70" s="74"/>
      <c r="AC70" s="74"/>
      <c r="AD70" s="74"/>
      <c r="AE70" s="74"/>
      <c r="AF70" s="73"/>
      <c r="AG70" s="68"/>
      <c r="AI70" s="144" t="s">
        <v>144</v>
      </c>
      <c r="AJ70" s="74"/>
      <c r="AK70" s="204">
        <v>7</v>
      </c>
      <c r="AL70" s="204"/>
    </row>
    <row r="71" spans="3:33" ht="22.5" customHeight="1">
      <c r="C71" s="3" t="s">
        <v>145</v>
      </c>
      <c r="N71" s="143" t="s">
        <v>146</v>
      </c>
      <c r="Q71" s="143" t="s">
        <v>147</v>
      </c>
      <c r="R71" s="15"/>
      <c r="S71" s="15"/>
      <c r="T71" s="20">
        <f>IF(J69="合成",3.5,IF(J69="非合成",3,"ERROR"))</f>
        <v>3</v>
      </c>
      <c r="U71" s="20"/>
      <c r="V71" s="69" t="s">
        <v>99</v>
      </c>
      <c r="W71" s="63">
        <f>Q70</f>
        <v>24</v>
      </c>
      <c r="X71" s="63"/>
      <c r="Y71" s="56" t="s">
        <v>116</v>
      </c>
      <c r="Z71" s="20">
        <f>T71</f>
        <v>3</v>
      </c>
      <c r="AA71" s="20"/>
      <c r="AB71" s="3" t="s">
        <v>99</v>
      </c>
      <c r="AC71" s="61">
        <f>W71/Z71</f>
        <v>8</v>
      </c>
      <c r="AD71" s="61"/>
      <c r="AE71" s="61"/>
      <c r="AF71" s="65" t="s">
        <v>142</v>
      </c>
      <c r="AG71" s="67"/>
    </row>
    <row r="72" spans="3:26" ht="22.5" customHeight="1">
      <c r="C72" s="74" t="s">
        <v>148</v>
      </c>
      <c r="D72" s="74"/>
      <c r="E72" s="74"/>
      <c r="F72" s="74"/>
      <c r="G72" s="74" t="s">
        <v>149</v>
      </c>
      <c r="H72" s="74"/>
      <c r="I72" s="163">
        <v>295</v>
      </c>
      <c r="J72" s="163"/>
      <c r="K72" s="74" t="s">
        <v>104</v>
      </c>
      <c r="N72" s="143" t="s">
        <v>150</v>
      </c>
      <c r="O72" s="74"/>
      <c r="Q72" s="70">
        <v>140</v>
      </c>
      <c r="R72" s="15"/>
      <c r="S72" s="15"/>
      <c r="T72" s="71" t="s">
        <v>123</v>
      </c>
      <c r="U72" s="70">
        <v>120</v>
      </c>
      <c r="V72" s="15"/>
      <c r="W72" s="3" t="s">
        <v>104</v>
      </c>
      <c r="X72" s="65" t="s">
        <v>142</v>
      </c>
      <c r="Z72" s="67"/>
    </row>
    <row r="73" spans="3:24" s="7" customFormat="1" ht="22.5" customHeight="1">
      <c r="C73" s="145"/>
      <c r="D73" s="145"/>
      <c r="E73" s="145"/>
      <c r="F73" s="145"/>
      <c r="G73" s="145"/>
      <c r="H73" s="145"/>
      <c r="I73" s="146"/>
      <c r="J73" s="146"/>
      <c r="K73" s="145"/>
      <c r="L73" s="147"/>
      <c r="M73" s="145"/>
      <c r="O73" s="70"/>
      <c r="P73" s="70"/>
      <c r="Q73" s="70"/>
      <c r="R73" s="82" t="s">
        <v>151</v>
      </c>
      <c r="S73" s="70"/>
      <c r="T73" s="70"/>
      <c r="U73" s="70"/>
      <c r="W73" s="83"/>
      <c r="X73" s="84"/>
    </row>
    <row r="74" ht="22.5" customHeight="1">
      <c r="C74" s="56" t="s">
        <v>152</v>
      </c>
    </row>
    <row r="75" spans="24:33" s="74" customFormat="1" ht="16.5" customHeight="1">
      <c r="X75" s="74" t="s">
        <v>112</v>
      </c>
      <c r="AB75" s="74" t="s">
        <v>112</v>
      </c>
      <c r="AG75" s="74" t="s">
        <v>112</v>
      </c>
    </row>
    <row r="76" spans="4:25" s="2" customFormat="1" ht="21.75" customHeight="1">
      <c r="D76" s="2" t="s">
        <v>153</v>
      </c>
      <c r="M76" s="74" t="s">
        <v>154</v>
      </c>
      <c r="N76" s="74"/>
      <c r="O76" s="70">
        <f>D18*100</f>
        <v>30</v>
      </c>
      <c r="P76" s="15"/>
      <c r="Q76" s="15"/>
      <c r="R76" s="74" t="s">
        <v>155</v>
      </c>
      <c r="S76" s="11"/>
      <c r="W76" s="11"/>
      <c r="X76" s="11"/>
      <c r="Y76" s="11"/>
    </row>
    <row r="77" spans="4:25" s="2" customFormat="1" ht="21.75" customHeight="1">
      <c r="D77" s="2" t="s">
        <v>156</v>
      </c>
      <c r="M77" s="72" t="s">
        <v>157</v>
      </c>
      <c r="N77" s="68"/>
      <c r="O77" s="70">
        <f>O76-O79</f>
        <v>26</v>
      </c>
      <c r="P77" s="15"/>
      <c r="Q77" s="15"/>
      <c r="R77" s="74" t="s">
        <v>155</v>
      </c>
      <c r="S77" s="11"/>
      <c r="W77" s="11"/>
      <c r="X77" s="11"/>
      <c r="Y77" s="11"/>
    </row>
    <row r="78" spans="4:25" s="2" customFormat="1" ht="21.75" customHeight="1">
      <c r="D78" s="8" t="s">
        <v>158</v>
      </c>
      <c r="E78" s="18"/>
      <c r="F78" s="148"/>
      <c r="G78" s="18"/>
      <c r="H78" s="18"/>
      <c r="M78" s="73" t="s">
        <v>159</v>
      </c>
      <c r="N78" s="68"/>
      <c r="O78" s="203">
        <v>4</v>
      </c>
      <c r="P78" s="163"/>
      <c r="Q78" s="163"/>
      <c r="R78" s="74" t="s">
        <v>155</v>
      </c>
      <c r="S78" s="11"/>
      <c r="W78" s="11"/>
      <c r="X78" s="11"/>
      <c r="Y78" s="11"/>
    </row>
    <row r="79" spans="4:25" s="2" customFormat="1" ht="21.75" customHeight="1">
      <c r="D79" s="8" t="s">
        <v>160</v>
      </c>
      <c r="G79" s="149"/>
      <c r="H79" s="149"/>
      <c r="M79" s="73" t="s">
        <v>161</v>
      </c>
      <c r="N79" s="68"/>
      <c r="O79" s="203">
        <v>4</v>
      </c>
      <c r="P79" s="163"/>
      <c r="Q79" s="163"/>
      <c r="R79" s="74" t="s">
        <v>155</v>
      </c>
      <c r="S79" s="11"/>
      <c r="W79" s="11"/>
      <c r="X79" s="11"/>
      <c r="Y79" s="11"/>
    </row>
    <row r="80" spans="4:18" s="2" customFormat="1" ht="21.75" customHeight="1">
      <c r="D80" s="2" t="s">
        <v>162</v>
      </c>
      <c r="M80" s="18" t="s">
        <v>163</v>
      </c>
      <c r="N80" s="18"/>
      <c r="O80" s="70">
        <v>100</v>
      </c>
      <c r="P80" s="15"/>
      <c r="Q80" s="15"/>
      <c r="R80" s="74" t="s">
        <v>155</v>
      </c>
    </row>
    <row r="81" spans="4:40" s="2" customFormat="1" ht="21.75" customHeight="1">
      <c r="D81" s="74" t="s">
        <v>164</v>
      </c>
      <c r="E81" s="74"/>
      <c r="F81" s="74"/>
      <c r="G81" s="74"/>
      <c r="H81" s="74"/>
      <c r="J81" s="74" t="s">
        <v>19</v>
      </c>
      <c r="K81" s="74"/>
      <c r="L81" s="73">
        <v>19</v>
      </c>
      <c r="M81" s="68"/>
      <c r="N81" s="144"/>
      <c r="O81" s="74"/>
      <c r="P81" s="74" t="s">
        <v>20</v>
      </c>
      <c r="Q81" s="74"/>
      <c r="S81" s="203">
        <v>125</v>
      </c>
      <c r="T81" s="163"/>
      <c r="U81" s="163"/>
      <c r="V81" s="74" t="s">
        <v>100</v>
      </c>
      <c r="Y81" s="74" t="s">
        <v>165</v>
      </c>
      <c r="Z81" s="74"/>
      <c r="AA81" s="74"/>
      <c r="AB81" s="74"/>
      <c r="AC81" s="74"/>
      <c r="AD81" s="74"/>
      <c r="AE81" s="74"/>
      <c r="AH81" s="74" t="s">
        <v>166</v>
      </c>
      <c r="AI81" s="74"/>
      <c r="AJ81" s="75">
        <f>IF(L81=13,1.267*1000/S81,IF(L81=16,1.986*1000/S81,IF(L81=19,2.865*1000/S81,IF(L81=22,3.871*1000/S81,IF(L81=25,5.067*1000/S81,IF(L81=29,6.424*1000/S81,7.942*1000/S81))))))</f>
        <v>22.92</v>
      </c>
      <c r="AK81" s="153"/>
      <c r="AL81" s="153"/>
      <c r="AM81" s="153"/>
      <c r="AN81" s="74" t="s">
        <v>167</v>
      </c>
    </row>
    <row r="82" spans="4:40" s="2" customFormat="1" ht="21.75" customHeight="1">
      <c r="D82" s="74" t="s">
        <v>168</v>
      </c>
      <c r="E82" s="74"/>
      <c r="F82" s="74"/>
      <c r="G82" s="74"/>
      <c r="H82" s="74"/>
      <c r="I82" s="74"/>
      <c r="J82" s="74" t="s">
        <v>19</v>
      </c>
      <c r="K82" s="74"/>
      <c r="L82" s="73">
        <v>19</v>
      </c>
      <c r="M82" s="68"/>
      <c r="N82" s="144"/>
      <c r="O82" s="74"/>
      <c r="P82" s="74" t="s">
        <v>20</v>
      </c>
      <c r="Q82" s="74"/>
      <c r="S82" s="203">
        <v>250</v>
      </c>
      <c r="T82" s="163"/>
      <c r="U82" s="163"/>
      <c r="V82" s="74" t="s">
        <v>100</v>
      </c>
      <c r="X82" s="74"/>
      <c r="Y82" s="74" t="s">
        <v>169</v>
      </c>
      <c r="Z82" s="74"/>
      <c r="AA82" s="74"/>
      <c r="AB82" s="74"/>
      <c r="AC82" s="74"/>
      <c r="AD82" s="74"/>
      <c r="AE82" s="74"/>
      <c r="AH82" s="74" t="s">
        <v>170</v>
      </c>
      <c r="AI82" s="74"/>
      <c r="AJ82" s="75">
        <f>IF(L82=13,1.267*1000/S82,IF(L82=16,1.986*1000/S82,IF(L82=19,2.865*1000/S82,IF(L82=22,3.871*1000/S82,IF(L82=25,5.067*1000/S82,IF(L82=29,6.424*1000/S82,7.942*1000/S82))))))</f>
        <v>11.46</v>
      </c>
      <c r="AK82" s="153"/>
      <c r="AL82" s="153"/>
      <c r="AM82" s="153"/>
      <c r="AN82" s="74" t="s">
        <v>167</v>
      </c>
    </row>
    <row r="83" spans="3:13" s="74" customFormat="1" ht="16.5" customHeight="1">
      <c r="C83" s="74" t="s">
        <v>171</v>
      </c>
      <c r="K83" s="154"/>
      <c r="L83" s="154"/>
      <c r="M83" s="154"/>
    </row>
    <row r="84" spans="4:13" s="74" customFormat="1" ht="16.5" customHeight="1">
      <c r="D84" s="74" t="s">
        <v>172</v>
      </c>
      <c r="K84" s="154"/>
      <c r="L84" s="154"/>
      <c r="M84" s="154"/>
    </row>
    <row r="85" spans="5:13" s="74" customFormat="1" ht="16.5" customHeight="1">
      <c r="E85" s="74" t="str">
        <f>"= -"&amp;$AK$70&amp;"×("&amp;ROUND(AJ81,2)&amp;" + "&amp;ROUND(AJ82,2)&amp;")/100 + √[ {"&amp;$AK$70&amp;"×("&amp;ROUND(AJ81,2)&amp;" + "&amp;ROUND(AJ82,2)&amp;")/100}^2 + 2×"&amp;$AK$70&amp;"×("&amp;O77&amp;"×"&amp;ROUND(AJ81,2)&amp;" + "&amp;O78&amp;"×"&amp;ROUND(AJ82,2)&amp;")/100 ]"</f>
        <v>= -7×(22.92 + 11.46)/100 + √[ {7×(22.92 + 11.46)/100}^2 + 2×7×(26×22.92 + 4×11.46)/100 ]</v>
      </c>
      <c r="K85" s="154"/>
      <c r="L85" s="154"/>
      <c r="M85" s="154"/>
    </row>
    <row r="86" spans="5:13" s="74" customFormat="1" ht="16.5" customHeight="1">
      <c r="E86" s="74" t="s">
        <v>99</v>
      </c>
      <c r="F86" s="61">
        <f>-$AK$70*(AJ81+AJ82)/100+SQRT(($AK$70*(AJ81+AJ82)/100)^2+2*$AK$70*(O77*AJ81+O78*AJ82)/100)</f>
        <v>7.372874605519461</v>
      </c>
      <c r="G86" s="55"/>
      <c r="H86" s="55"/>
      <c r="I86" s="74" t="s">
        <v>155</v>
      </c>
      <c r="K86" s="154"/>
      <c r="L86" s="154"/>
      <c r="M86" s="154"/>
    </row>
    <row r="87" spans="3:13" s="74" customFormat="1" ht="16.5" customHeight="1">
      <c r="C87" s="74" t="s">
        <v>173</v>
      </c>
      <c r="K87" s="154"/>
      <c r="L87" s="154"/>
      <c r="M87" s="154"/>
    </row>
    <row r="88" spans="4:13" s="74" customFormat="1" ht="16.5" customHeight="1">
      <c r="D88" s="74" t="s">
        <v>174</v>
      </c>
      <c r="K88" s="154"/>
      <c r="L88" s="154"/>
      <c r="M88" s="154"/>
    </row>
    <row r="89" spans="5:13" s="74" customFormat="1" ht="16.5" customHeight="1">
      <c r="E89" s="74" t="str">
        <f>"= ( 100 × "&amp;ROUND(F86,2)&amp;" / 2 ) × ( "&amp;O77&amp;" - "&amp;ROUND(F86,2)&amp;" / 3 ) + "&amp;$AK$70&amp;" × "&amp;ROUND(AJ82,2)&amp;" ×( "&amp;ROUND(F86,2)&amp;" - "&amp;O78&amp;" ) / "&amp;ROUND(F86,2)&amp;" ×( "&amp;O77&amp;" - "&amp;O78&amp;" )"</f>
        <v>= ( 100 × 7.37 / 2 ) × ( 26 - 7.37 / 3 ) + 7 × 11.46 ×( 7.37 - 4 ) / 7.37 ×( 26 - 4 )</v>
      </c>
      <c r="K89" s="154"/>
      <c r="L89" s="154"/>
      <c r="M89" s="154"/>
    </row>
    <row r="90" spans="5:13" s="74" customFormat="1" ht="16.5" customHeight="1">
      <c r="E90" s="74" t="s">
        <v>99</v>
      </c>
      <c r="F90" s="155">
        <f>(100*ROUND(F86,2)/2)*(O77-ROUND(F86,2)/3)+$AK$70*AJ82*(ROUND(F86,2)-O78)/ROUND(F86,2)*(O77-O78)</f>
        <v>9482.707587064675</v>
      </c>
      <c r="G90" s="155"/>
      <c r="H90" s="155"/>
      <c r="I90" s="155"/>
      <c r="J90" s="74" t="s">
        <v>175</v>
      </c>
      <c r="K90" s="154"/>
      <c r="L90" s="154"/>
      <c r="M90" s="154"/>
    </row>
    <row r="91" spans="3:13" s="74" customFormat="1" ht="16.5" customHeight="1">
      <c r="C91" s="74" t="s">
        <v>176</v>
      </c>
      <c r="K91" s="154"/>
      <c r="L91" s="154"/>
      <c r="M91" s="154"/>
    </row>
    <row r="92" spans="4:13" s="74" customFormat="1" ht="16.5" customHeight="1">
      <c r="D92" s="74" t="s">
        <v>177</v>
      </c>
      <c r="K92" s="154"/>
      <c r="L92" s="154"/>
      <c r="M92" s="154"/>
    </row>
    <row r="93" spans="4:13" s="74" customFormat="1" ht="16.5" customHeight="1">
      <c r="D93" s="137" t="str">
        <f>"= (1/"&amp;$AK$70&amp;")×( "&amp;ROUND(F86,2)&amp;" / ( "&amp;O77&amp;"- "&amp;ROUND(F86,2)&amp;" ))×"&amp;ROUND(F90,1)</f>
        <v>= (1/7)×( 7.37 / ( 26- 7.37 ))×9482.7</v>
      </c>
      <c r="K93" s="154"/>
      <c r="L93" s="154"/>
      <c r="M93" s="154"/>
    </row>
    <row r="94" spans="4:13" s="74" customFormat="1" ht="16.5" customHeight="1">
      <c r="D94" s="74" t="s">
        <v>99</v>
      </c>
      <c r="E94" s="155">
        <f>1/$AK$70*(ROUND(F86,2)/(O77-ROUND(F86,2)))*ROUND(F90,1)</f>
        <v>535.905981136416</v>
      </c>
      <c r="F94" s="155"/>
      <c r="G94" s="155"/>
      <c r="H94" s="155"/>
      <c r="I94" s="74" t="s">
        <v>175</v>
      </c>
      <c r="K94" s="154"/>
      <c r="L94" s="154"/>
      <c r="M94" s="154"/>
    </row>
    <row r="95" spans="11:13" s="74" customFormat="1" ht="16.5" customHeight="1">
      <c r="K95" s="154"/>
      <c r="L95" s="154"/>
      <c r="M95" s="154"/>
    </row>
    <row r="96" spans="3:23" s="74" customFormat="1" ht="16.5" customHeight="1">
      <c r="C96" s="74" t="s">
        <v>178</v>
      </c>
      <c r="K96" s="76" t="s">
        <v>179</v>
      </c>
      <c r="L96" s="154"/>
      <c r="M96" s="154"/>
      <c r="W96" s="156"/>
    </row>
    <row r="97" spans="3:17" s="74" customFormat="1" ht="16.5" customHeight="1">
      <c r="C97" s="74" t="s">
        <v>180</v>
      </c>
      <c r="K97" s="74" t="s">
        <v>181</v>
      </c>
      <c r="L97" s="154"/>
      <c r="M97" s="154"/>
      <c r="Q97" s="74" t="s">
        <v>182</v>
      </c>
    </row>
    <row r="98" spans="11:13" s="74" customFormat="1" ht="16.5" customHeight="1">
      <c r="K98" s="154"/>
      <c r="L98" s="154"/>
      <c r="M98" s="154"/>
    </row>
    <row r="99" spans="1:42" s="74" customFormat="1" ht="16.5" customHeight="1">
      <c r="A99" s="3"/>
      <c r="B99" s="3"/>
      <c r="C99" s="168" t="s">
        <v>183</v>
      </c>
      <c r="D99" s="168"/>
      <c r="E99" s="168"/>
      <c r="F99" s="168"/>
      <c r="G99" s="168"/>
      <c r="H99" s="168"/>
      <c r="I99" s="168"/>
      <c r="J99" s="168"/>
      <c r="K99" s="168"/>
      <c r="L99" s="176" t="s">
        <v>184</v>
      </c>
      <c r="M99" s="177"/>
      <c r="N99" s="177"/>
      <c r="O99" s="177"/>
      <c r="P99" s="178"/>
      <c r="Q99" s="168" t="s">
        <v>185</v>
      </c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 t="s">
        <v>186</v>
      </c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72" t="s">
        <v>187</v>
      </c>
      <c r="AN99" s="173"/>
      <c r="AO99" s="173"/>
      <c r="AP99" s="174"/>
    </row>
    <row r="100" spans="1:42" s="74" customFormat="1" ht="16.5" customHeight="1">
      <c r="A100" s="3"/>
      <c r="B100" s="3"/>
      <c r="C100" s="168"/>
      <c r="D100" s="168"/>
      <c r="E100" s="168"/>
      <c r="F100" s="168"/>
      <c r="G100" s="168"/>
      <c r="H100" s="168"/>
      <c r="I100" s="168"/>
      <c r="J100" s="168"/>
      <c r="K100" s="168"/>
      <c r="L100" s="179" t="s">
        <v>188</v>
      </c>
      <c r="M100" s="180"/>
      <c r="N100" s="180"/>
      <c r="O100" s="180"/>
      <c r="P100" s="181"/>
      <c r="Q100" s="168" t="s">
        <v>189</v>
      </c>
      <c r="R100" s="168"/>
      <c r="S100" s="168"/>
      <c r="T100" s="168"/>
      <c r="U100" s="168" t="s">
        <v>187</v>
      </c>
      <c r="V100" s="168"/>
      <c r="W100" s="168"/>
      <c r="X100" s="168"/>
      <c r="Y100" s="168" t="s">
        <v>190</v>
      </c>
      <c r="Z100" s="168"/>
      <c r="AA100" s="168"/>
      <c r="AB100" s="168" t="s">
        <v>189</v>
      </c>
      <c r="AC100" s="168"/>
      <c r="AD100" s="168"/>
      <c r="AE100" s="168"/>
      <c r="AF100" s="168" t="s">
        <v>187</v>
      </c>
      <c r="AG100" s="168"/>
      <c r="AH100" s="168"/>
      <c r="AI100" s="168"/>
      <c r="AJ100" s="168" t="s">
        <v>190</v>
      </c>
      <c r="AK100" s="168"/>
      <c r="AL100" s="168"/>
      <c r="AM100" s="151" t="s">
        <v>191</v>
      </c>
      <c r="AN100" s="152"/>
      <c r="AO100" s="152"/>
      <c r="AP100" s="134"/>
    </row>
    <row r="101" spans="1:42" s="74" customFormat="1" ht="22.5" customHeight="1">
      <c r="A101" s="3"/>
      <c r="B101" s="3"/>
      <c r="C101" s="167" t="s">
        <v>192</v>
      </c>
      <c r="D101" s="167"/>
      <c r="E101" s="167"/>
      <c r="F101" s="167"/>
      <c r="G101" s="167"/>
      <c r="H101" s="167"/>
      <c r="I101" s="167"/>
      <c r="J101" s="167"/>
      <c r="K101" s="167"/>
      <c r="L101" s="182">
        <f>AC43</f>
        <v>-10.386</v>
      </c>
      <c r="M101" s="183"/>
      <c r="N101" s="183"/>
      <c r="O101" s="183"/>
      <c r="P101" s="184"/>
      <c r="Q101" s="168" t="s">
        <v>122</v>
      </c>
      <c r="R101" s="168"/>
      <c r="S101" s="168"/>
      <c r="T101" s="168"/>
      <c r="U101" s="168" t="s">
        <v>122</v>
      </c>
      <c r="V101" s="168"/>
      <c r="W101" s="168"/>
      <c r="X101" s="168"/>
      <c r="Y101" s="168" t="s">
        <v>122</v>
      </c>
      <c r="Z101" s="168"/>
      <c r="AA101" s="168"/>
      <c r="AB101" s="168" t="s">
        <v>122</v>
      </c>
      <c r="AC101" s="168"/>
      <c r="AD101" s="168"/>
      <c r="AE101" s="168"/>
      <c r="AF101" s="168" t="s">
        <v>122</v>
      </c>
      <c r="AG101" s="168"/>
      <c r="AH101" s="168"/>
      <c r="AI101" s="168"/>
      <c r="AJ101" s="168" t="s">
        <v>122</v>
      </c>
      <c r="AK101" s="168"/>
      <c r="AL101" s="168"/>
      <c r="AM101" s="168" t="s">
        <v>122</v>
      </c>
      <c r="AN101" s="168"/>
      <c r="AO101" s="168"/>
      <c r="AP101" s="168"/>
    </row>
    <row r="102" spans="1:42" s="74" customFormat="1" ht="22.5" customHeight="1">
      <c r="A102" s="3"/>
      <c r="B102" s="3"/>
      <c r="C102" s="167" t="s">
        <v>193</v>
      </c>
      <c r="D102" s="167"/>
      <c r="E102" s="167"/>
      <c r="F102" s="167"/>
      <c r="G102" s="167"/>
      <c r="H102" s="167"/>
      <c r="I102" s="167"/>
      <c r="J102" s="167"/>
      <c r="K102" s="167"/>
      <c r="L102" s="169">
        <f>AG53</f>
        <v>-41.47465437788019</v>
      </c>
      <c r="M102" s="170"/>
      <c r="N102" s="170"/>
      <c r="O102" s="170"/>
      <c r="P102" s="171"/>
      <c r="Q102" s="168" t="s">
        <v>122</v>
      </c>
      <c r="R102" s="168"/>
      <c r="S102" s="168"/>
      <c r="T102" s="168"/>
      <c r="U102" s="168" t="s">
        <v>122</v>
      </c>
      <c r="V102" s="168"/>
      <c r="W102" s="168"/>
      <c r="X102" s="168"/>
      <c r="Y102" s="168" t="s">
        <v>122</v>
      </c>
      <c r="Z102" s="168"/>
      <c r="AA102" s="168"/>
      <c r="AB102" s="168" t="s">
        <v>122</v>
      </c>
      <c r="AC102" s="168"/>
      <c r="AD102" s="168"/>
      <c r="AE102" s="168"/>
      <c r="AF102" s="168" t="s">
        <v>122</v>
      </c>
      <c r="AG102" s="168"/>
      <c r="AH102" s="168"/>
      <c r="AI102" s="168"/>
      <c r="AJ102" s="168" t="s">
        <v>122</v>
      </c>
      <c r="AK102" s="168"/>
      <c r="AL102" s="168"/>
      <c r="AM102" s="168" t="s">
        <v>122</v>
      </c>
      <c r="AN102" s="168"/>
      <c r="AO102" s="168"/>
      <c r="AP102" s="168"/>
    </row>
    <row r="103" spans="3:42" ht="22.5" customHeight="1">
      <c r="C103" s="167" t="s">
        <v>194</v>
      </c>
      <c r="D103" s="167"/>
      <c r="E103" s="167"/>
      <c r="F103" s="167"/>
      <c r="G103" s="167"/>
      <c r="H103" s="167"/>
      <c r="I103" s="167"/>
      <c r="J103" s="167"/>
      <c r="K103" s="167"/>
      <c r="L103" s="169">
        <f>N61</f>
        <v>-28.709999999999997</v>
      </c>
      <c r="M103" s="170"/>
      <c r="N103" s="170"/>
      <c r="O103" s="170"/>
      <c r="P103" s="171"/>
      <c r="Q103" s="168" t="s">
        <v>122</v>
      </c>
      <c r="R103" s="168"/>
      <c r="S103" s="168"/>
      <c r="T103" s="168"/>
      <c r="U103" s="168" t="s">
        <v>122</v>
      </c>
      <c r="V103" s="168"/>
      <c r="W103" s="168"/>
      <c r="X103" s="168"/>
      <c r="Y103" s="168" t="s">
        <v>122</v>
      </c>
      <c r="Z103" s="168"/>
      <c r="AA103" s="168"/>
      <c r="AB103" s="168" t="s">
        <v>122</v>
      </c>
      <c r="AC103" s="168"/>
      <c r="AD103" s="168"/>
      <c r="AE103" s="168"/>
      <c r="AF103" s="168" t="s">
        <v>122</v>
      </c>
      <c r="AG103" s="168"/>
      <c r="AH103" s="168"/>
      <c r="AI103" s="168"/>
      <c r="AJ103" s="168" t="s">
        <v>122</v>
      </c>
      <c r="AK103" s="168"/>
      <c r="AL103" s="168"/>
      <c r="AM103" s="168" t="s">
        <v>122</v>
      </c>
      <c r="AN103" s="168"/>
      <c r="AO103" s="168"/>
      <c r="AP103" s="168"/>
    </row>
    <row r="104" spans="3:42" ht="22.5" customHeight="1">
      <c r="C104" s="167" t="s">
        <v>195</v>
      </c>
      <c r="D104" s="167"/>
      <c r="E104" s="167"/>
      <c r="F104" s="167"/>
      <c r="G104" s="167"/>
      <c r="H104" s="167"/>
      <c r="I104" s="167"/>
      <c r="J104" s="167"/>
      <c r="K104" s="167"/>
      <c r="L104" s="169">
        <f>R66</f>
        <v>-2.4914999999999994</v>
      </c>
      <c r="M104" s="170"/>
      <c r="N104" s="170"/>
      <c r="O104" s="170"/>
      <c r="P104" s="171"/>
      <c r="Q104" s="168" t="s">
        <v>122</v>
      </c>
      <c r="R104" s="168"/>
      <c r="S104" s="168"/>
      <c r="T104" s="168"/>
      <c r="U104" s="168" t="s">
        <v>122</v>
      </c>
      <c r="V104" s="168"/>
      <c r="W104" s="168"/>
      <c r="X104" s="168"/>
      <c r="Y104" s="168" t="s">
        <v>122</v>
      </c>
      <c r="Z104" s="168"/>
      <c r="AA104" s="168"/>
      <c r="AB104" s="168" t="s">
        <v>122</v>
      </c>
      <c r="AC104" s="168"/>
      <c r="AD104" s="168"/>
      <c r="AE104" s="168"/>
      <c r="AF104" s="168" t="s">
        <v>122</v>
      </c>
      <c r="AG104" s="168"/>
      <c r="AH104" s="168"/>
      <c r="AI104" s="168"/>
      <c r="AJ104" s="168" t="s">
        <v>122</v>
      </c>
      <c r="AK104" s="168"/>
      <c r="AL104" s="168"/>
      <c r="AM104" s="168" t="s">
        <v>122</v>
      </c>
      <c r="AN104" s="168"/>
      <c r="AO104" s="168"/>
      <c r="AP104" s="168"/>
    </row>
    <row r="105" spans="3:42" ht="22.5" customHeight="1">
      <c r="C105" s="167" t="s">
        <v>196</v>
      </c>
      <c r="D105" s="167"/>
      <c r="E105" s="167"/>
      <c r="F105" s="167"/>
      <c r="G105" s="167"/>
      <c r="H105" s="167"/>
      <c r="I105" s="167"/>
      <c r="J105" s="167"/>
      <c r="K105" s="167"/>
      <c r="L105" s="169">
        <f>L101+L102</f>
        <v>-51.860654377880195</v>
      </c>
      <c r="M105" s="170"/>
      <c r="N105" s="170"/>
      <c r="O105" s="170"/>
      <c r="P105" s="171"/>
      <c r="Q105" s="150">
        <f>ABS(L105)/F90*1000</f>
        <v>5.468971166908395</v>
      </c>
      <c r="R105" s="150"/>
      <c r="S105" s="150"/>
      <c r="T105" s="150"/>
      <c r="U105" s="150">
        <f>$AC$71</f>
        <v>8</v>
      </c>
      <c r="V105" s="150"/>
      <c r="W105" s="150"/>
      <c r="X105" s="150"/>
      <c r="Y105" s="168" t="str">
        <f>IF(Q105&lt;=U105,"O.K.","N.G.")</f>
        <v>O.K.</v>
      </c>
      <c r="Z105" s="168"/>
      <c r="AA105" s="168"/>
      <c r="AB105" s="150">
        <f>ABS(L105)/E94*1000</f>
        <v>96.77192679937446</v>
      </c>
      <c r="AC105" s="150"/>
      <c r="AD105" s="150"/>
      <c r="AE105" s="150"/>
      <c r="AF105" s="175">
        <f>$U$72</f>
        <v>120</v>
      </c>
      <c r="AG105" s="175"/>
      <c r="AH105" s="175"/>
      <c r="AI105" s="175"/>
      <c r="AJ105" s="168" t="str">
        <f>IF(AB105&lt;=AF105,"O.K.","N.G.")</f>
        <v>O.K.</v>
      </c>
      <c r="AK105" s="168"/>
      <c r="AL105" s="168"/>
      <c r="AM105" s="150">
        <v>1</v>
      </c>
      <c r="AN105" s="150"/>
      <c r="AO105" s="150"/>
      <c r="AP105" s="150"/>
    </row>
    <row r="106" spans="3:42" ht="22.5" customHeight="1">
      <c r="C106" s="167" t="s">
        <v>197</v>
      </c>
      <c r="D106" s="167"/>
      <c r="E106" s="167"/>
      <c r="F106" s="167"/>
      <c r="G106" s="167"/>
      <c r="H106" s="167"/>
      <c r="I106" s="167"/>
      <c r="J106" s="167"/>
      <c r="K106" s="167"/>
      <c r="L106" s="169">
        <f>L101+L104</f>
        <v>-12.877499999999998</v>
      </c>
      <c r="M106" s="170"/>
      <c r="N106" s="170"/>
      <c r="O106" s="170"/>
      <c r="P106" s="171"/>
      <c r="Q106" s="150">
        <f>ABS(L106)/F90*1000</f>
        <v>1.3579982174675664</v>
      </c>
      <c r="R106" s="150"/>
      <c r="S106" s="150"/>
      <c r="T106" s="150"/>
      <c r="U106" s="150">
        <f>U105*AM106</f>
        <v>9.6</v>
      </c>
      <c r="V106" s="150"/>
      <c r="W106" s="150"/>
      <c r="X106" s="150"/>
      <c r="Y106" s="168" t="str">
        <f>IF(Q106&lt;=U106,"O.K.","N.G.")</f>
        <v>O.K.</v>
      </c>
      <c r="Z106" s="168"/>
      <c r="AA106" s="168"/>
      <c r="AB106" s="150">
        <f>ABS(L106)/E94*1000</f>
        <v>24.02940152429835</v>
      </c>
      <c r="AC106" s="150"/>
      <c r="AD106" s="150"/>
      <c r="AE106" s="150"/>
      <c r="AF106" s="175">
        <f>AF105*AM106</f>
        <v>144</v>
      </c>
      <c r="AG106" s="175"/>
      <c r="AH106" s="175"/>
      <c r="AI106" s="175"/>
      <c r="AJ106" s="168" t="str">
        <f>IF(AB106&lt;=AF106,"O.K.","N.G.")</f>
        <v>O.K.</v>
      </c>
      <c r="AK106" s="168"/>
      <c r="AL106" s="168"/>
      <c r="AM106" s="150">
        <v>1.2</v>
      </c>
      <c r="AN106" s="150"/>
      <c r="AO106" s="150"/>
      <c r="AP106" s="150"/>
    </row>
    <row r="107" spans="3:42" ht="22.5" customHeight="1">
      <c r="C107" s="167" t="s">
        <v>198</v>
      </c>
      <c r="D107" s="167"/>
      <c r="E107" s="167"/>
      <c r="F107" s="167"/>
      <c r="G107" s="167"/>
      <c r="H107" s="167"/>
      <c r="I107" s="167"/>
      <c r="J107" s="167"/>
      <c r="K107" s="167"/>
      <c r="L107" s="169">
        <f>L101+L102+L104/2</f>
        <v>-53.106404377880196</v>
      </c>
      <c r="M107" s="170"/>
      <c r="N107" s="170"/>
      <c r="O107" s="170"/>
      <c r="P107" s="171"/>
      <c r="Q107" s="150">
        <f>ABS(L107)/F90*1000</f>
        <v>5.6003418739097715</v>
      </c>
      <c r="R107" s="150"/>
      <c r="S107" s="150"/>
      <c r="T107" s="150"/>
      <c r="U107" s="150">
        <f>U105*AM107</f>
        <v>10</v>
      </c>
      <c r="V107" s="150"/>
      <c r="W107" s="150"/>
      <c r="X107" s="150"/>
      <c r="Y107" s="168" t="str">
        <f>IF(Q107&lt;=U107,"O.K.","N.G.")</f>
        <v>O.K.</v>
      </c>
      <c r="Z107" s="168"/>
      <c r="AA107" s="168"/>
      <c r="AB107" s="150">
        <f>ABS(L107)/E94*1000</f>
        <v>99.09649499575532</v>
      </c>
      <c r="AC107" s="150"/>
      <c r="AD107" s="150"/>
      <c r="AE107" s="150"/>
      <c r="AF107" s="175">
        <f>AF105*AM107</f>
        <v>150</v>
      </c>
      <c r="AG107" s="175"/>
      <c r="AH107" s="175"/>
      <c r="AI107" s="175"/>
      <c r="AJ107" s="168" t="str">
        <f>IF(AB107&lt;=AF107,"O.K.","N.G.")</f>
        <v>O.K.</v>
      </c>
      <c r="AK107" s="168"/>
      <c r="AL107" s="168"/>
      <c r="AM107" s="150">
        <v>1.25</v>
      </c>
      <c r="AN107" s="150"/>
      <c r="AO107" s="150"/>
      <c r="AP107" s="150"/>
    </row>
    <row r="108" spans="3:42" ht="22.5" customHeight="1">
      <c r="C108" s="167" t="s">
        <v>199</v>
      </c>
      <c r="D108" s="167"/>
      <c r="E108" s="167"/>
      <c r="F108" s="167"/>
      <c r="G108" s="167"/>
      <c r="H108" s="167"/>
      <c r="I108" s="167"/>
      <c r="J108" s="167"/>
      <c r="K108" s="167"/>
      <c r="L108" s="169">
        <f>L101+L102+L103</f>
        <v>-80.57065437788019</v>
      </c>
      <c r="M108" s="170"/>
      <c r="N108" s="170"/>
      <c r="O108" s="170"/>
      <c r="P108" s="171"/>
      <c r="Q108" s="150">
        <f>ABS(L108)/F90*1000</f>
        <v>8.496587460714945</v>
      </c>
      <c r="R108" s="150"/>
      <c r="S108" s="150"/>
      <c r="T108" s="150"/>
      <c r="U108" s="150">
        <f>U105*AM108</f>
        <v>12</v>
      </c>
      <c r="V108" s="150"/>
      <c r="W108" s="150"/>
      <c r="X108" s="150"/>
      <c r="Y108" s="168" t="str">
        <f>IF(Q108&lt;=U108,"O.K.","N.G.")</f>
        <v>O.K.</v>
      </c>
      <c r="Z108" s="168"/>
      <c r="AA108" s="168"/>
      <c r="AB108" s="150">
        <f>ABS(L108)/E94*1000</f>
        <v>150.3447567557018</v>
      </c>
      <c r="AC108" s="150"/>
      <c r="AD108" s="150"/>
      <c r="AE108" s="150"/>
      <c r="AF108" s="175">
        <f>AF105*AM108</f>
        <v>180</v>
      </c>
      <c r="AG108" s="175"/>
      <c r="AH108" s="175"/>
      <c r="AI108" s="175"/>
      <c r="AJ108" s="168" t="str">
        <f>IF(AB108&lt;=AF108,"O.K.","N.G.")</f>
        <v>O.K.</v>
      </c>
      <c r="AK108" s="168"/>
      <c r="AL108" s="168"/>
      <c r="AM108" s="150">
        <v>1.5</v>
      </c>
      <c r="AN108" s="150"/>
      <c r="AO108" s="150"/>
      <c r="AP108" s="150"/>
    </row>
    <row r="110" ht="22.5" customHeight="1">
      <c r="C110" s="56" t="s">
        <v>200</v>
      </c>
    </row>
    <row r="111" spans="24:33" s="74" customFormat="1" ht="16.5" customHeight="1">
      <c r="X111" s="74" t="s">
        <v>112</v>
      </c>
      <c r="AB111" s="74" t="s">
        <v>112</v>
      </c>
      <c r="AG111" s="74" t="s">
        <v>112</v>
      </c>
    </row>
    <row r="112" spans="4:25" s="10" customFormat="1" ht="21.75" customHeight="1">
      <c r="D112" s="10" t="s">
        <v>153</v>
      </c>
      <c r="M112" s="145" t="s">
        <v>154</v>
      </c>
      <c r="N112" s="145"/>
      <c r="O112" s="203">
        <v>25</v>
      </c>
      <c r="P112" s="203"/>
      <c r="Q112" s="203"/>
      <c r="R112" s="145" t="s">
        <v>155</v>
      </c>
      <c r="S112" s="85"/>
      <c r="W112" s="85"/>
      <c r="X112" s="85"/>
      <c r="Y112" s="85"/>
    </row>
    <row r="113" spans="4:25" s="2" customFormat="1" ht="21.75" customHeight="1">
      <c r="D113" s="2" t="s">
        <v>156</v>
      </c>
      <c r="M113" s="72" t="s">
        <v>157</v>
      </c>
      <c r="N113" s="68"/>
      <c r="O113" s="70">
        <f>O112-O115</f>
        <v>19.25</v>
      </c>
      <c r="P113" s="15"/>
      <c r="Q113" s="15"/>
      <c r="R113" s="74" t="s">
        <v>155</v>
      </c>
      <c r="S113" s="11"/>
      <c r="W113" s="11"/>
      <c r="X113" s="11"/>
      <c r="Y113" s="11"/>
    </row>
    <row r="114" spans="4:25" s="2" customFormat="1" ht="21.75" customHeight="1">
      <c r="D114" s="8" t="s">
        <v>158</v>
      </c>
      <c r="E114" s="18"/>
      <c r="F114" s="148"/>
      <c r="G114" s="18"/>
      <c r="H114" s="18"/>
      <c r="M114" s="73" t="s">
        <v>159</v>
      </c>
      <c r="N114" s="68"/>
      <c r="O114" s="70">
        <f>O78+(L81+L117)/10/2</f>
        <v>5.75</v>
      </c>
      <c r="P114" s="15"/>
      <c r="Q114" s="15"/>
      <c r="R114" s="74" t="s">
        <v>155</v>
      </c>
      <c r="S114" s="11"/>
      <c r="W114" s="11"/>
      <c r="X114" s="11"/>
      <c r="Y114" s="11"/>
    </row>
    <row r="115" spans="4:25" s="2" customFormat="1" ht="21.75" customHeight="1">
      <c r="D115" s="8" t="s">
        <v>160</v>
      </c>
      <c r="G115" s="149"/>
      <c r="H115" s="149"/>
      <c r="M115" s="73" t="s">
        <v>161</v>
      </c>
      <c r="N115" s="68"/>
      <c r="O115" s="70">
        <f>O79+(L82+L118)/10/2</f>
        <v>5.75</v>
      </c>
      <c r="P115" s="15"/>
      <c r="Q115" s="15"/>
      <c r="R115" s="74" t="s">
        <v>155</v>
      </c>
      <c r="S115" s="11"/>
      <c r="W115" s="11"/>
      <c r="X115" s="11"/>
      <c r="Y115" s="11"/>
    </row>
    <row r="116" spans="4:18" s="2" customFormat="1" ht="21.75" customHeight="1">
      <c r="D116" s="2" t="s">
        <v>162</v>
      </c>
      <c r="M116" s="18" t="s">
        <v>163</v>
      </c>
      <c r="N116" s="18"/>
      <c r="O116" s="70">
        <v>100</v>
      </c>
      <c r="P116" s="15"/>
      <c r="Q116" s="15"/>
      <c r="R116" s="74" t="s">
        <v>155</v>
      </c>
    </row>
    <row r="117" spans="4:41" s="2" customFormat="1" ht="21.75" customHeight="1">
      <c r="D117" s="74" t="s">
        <v>164</v>
      </c>
      <c r="E117" s="74"/>
      <c r="F117" s="74"/>
      <c r="G117" s="74"/>
      <c r="H117" s="74"/>
      <c r="J117" s="74" t="s">
        <v>19</v>
      </c>
      <c r="K117" s="74"/>
      <c r="L117" s="73">
        <v>16</v>
      </c>
      <c r="M117" s="68"/>
      <c r="N117" s="144"/>
      <c r="P117" s="74" t="s">
        <v>20</v>
      </c>
      <c r="R117" s="74"/>
      <c r="T117" s="203">
        <v>125</v>
      </c>
      <c r="U117" s="163"/>
      <c r="V117" s="163"/>
      <c r="W117" s="74" t="s">
        <v>100</v>
      </c>
      <c r="Y117" s="74" t="s">
        <v>165</v>
      </c>
      <c r="Z117" s="74"/>
      <c r="AA117" s="74"/>
      <c r="AB117" s="74"/>
      <c r="AC117" s="74"/>
      <c r="AD117" s="74"/>
      <c r="AE117" s="74"/>
      <c r="AH117" s="74" t="s">
        <v>166</v>
      </c>
      <c r="AI117" s="74"/>
      <c r="AJ117" s="74"/>
      <c r="AK117" s="75">
        <f>IF(L117=13,1.267*1000/T117,IF(L117=16,1.986*1000/T117,IF(L117=19,2.865*1000/T117,IF(L117=22,3.871*1000/T117,IF(L117=25,5.067*1000/T117,IF(L117=29,6.424*1000/T117,7.942*1000/T117))))))</f>
        <v>15.888</v>
      </c>
      <c r="AL117" s="153"/>
      <c r="AM117" s="153"/>
      <c r="AN117" s="153"/>
      <c r="AO117" s="74" t="s">
        <v>167</v>
      </c>
    </row>
    <row r="118" spans="4:41" s="2" customFormat="1" ht="21.75" customHeight="1">
      <c r="D118" s="74" t="s">
        <v>168</v>
      </c>
      <c r="E118" s="74"/>
      <c r="F118" s="74"/>
      <c r="G118" s="74"/>
      <c r="H118" s="74"/>
      <c r="I118" s="74"/>
      <c r="J118" s="74" t="s">
        <v>19</v>
      </c>
      <c r="K118" s="74"/>
      <c r="L118" s="73">
        <v>16</v>
      </c>
      <c r="M118" s="68"/>
      <c r="N118" s="144"/>
      <c r="P118" s="74" t="s">
        <v>20</v>
      </c>
      <c r="R118" s="74"/>
      <c r="T118" s="203">
        <v>250</v>
      </c>
      <c r="U118" s="163"/>
      <c r="V118" s="163"/>
      <c r="W118" s="74" t="s">
        <v>100</v>
      </c>
      <c r="X118" s="74"/>
      <c r="Y118" s="74" t="s">
        <v>169</v>
      </c>
      <c r="Z118" s="74"/>
      <c r="AA118" s="74"/>
      <c r="AB118" s="74"/>
      <c r="AC118" s="74"/>
      <c r="AD118" s="74"/>
      <c r="AE118" s="74"/>
      <c r="AH118" s="74" t="s">
        <v>170</v>
      </c>
      <c r="AI118" s="74"/>
      <c r="AJ118" s="74"/>
      <c r="AK118" s="75">
        <f>IF(L118=13,1.267*1000/T118,IF(L118=16,1.986*1000/T118,IF(L118=19,2.865*1000/T118,IF(L118=22,3.871*1000/T118,IF(L118=25,5.067*1000/T118,IF(L118=29,6.424*1000/T118,7.942*1000/T118))))))</f>
        <v>7.944</v>
      </c>
      <c r="AL118" s="153"/>
      <c r="AM118" s="153"/>
      <c r="AN118" s="153"/>
      <c r="AO118" s="74" t="s">
        <v>167</v>
      </c>
    </row>
    <row r="119" spans="3:13" s="74" customFormat="1" ht="16.5" customHeight="1">
      <c r="C119" s="74" t="s">
        <v>171</v>
      </c>
      <c r="K119" s="154"/>
      <c r="L119" s="154"/>
      <c r="M119" s="154"/>
    </row>
    <row r="120" spans="4:13" s="74" customFormat="1" ht="16.5" customHeight="1">
      <c r="D120" s="74" t="s">
        <v>172</v>
      </c>
      <c r="K120" s="154"/>
      <c r="L120" s="154"/>
      <c r="M120" s="154"/>
    </row>
    <row r="121" spans="5:13" s="74" customFormat="1" ht="16.5" customHeight="1">
      <c r="E121" s="74" t="str">
        <f>"= -"&amp;$AK$70&amp;"×("&amp;ROUND(AK117,2)&amp;" + "&amp;ROUND(AK118,2)&amp;")/100 + √[ {"&amp;$AK$70&amp;"×("&amp;ROUND(AK117,2)&amp;" + "&amp;ROUND(AK118,2)&amp;")/100}^2 + 2×"&amp;$AK$70&amp;"×("&amp;O113&amp;"×"&amp;ROUND(AK117,2)&amp;" + "&amp;O114&amp;"×"&amp;ROUND(AK118,2)&amp;")/100 ]"</f>
        <v>= -7×(15.89 + 7.94)/100 + √[ {7×(15.89 + 7.94)/100}^2 + 2×7×(19.25×15.89 + 5.75×7.94)/100 ]</v>
      </c>
      <c r="K121" s="154"/>
      <c r="L121" s="154"/>
      <c r="M121" s="154"/>
    </row>
    <row r="122" spans="5:13" s="74" customFormat="1" ht="16.5" customHeight="1">
      <c r="E122" s="74" t="s">
        <v>99</v>
      </c>
      <c r="F122" s="61">
        <f>-$AK$70*(AK117+AK118)/100+SQRT(($AK$70*(AK117+AK118)/100)^2+2*$AK$70*(O113*AK117+O114*AK118)/100)</f>
        <v>5.542592455243985</v>
      </c>
      <c r="G122" s="55"/>
      <c r="H122" s="55"/>
      <c r="I122" s="74" t="s">
        <v>155</v>
      </c>
      <c r="K122" s="154"/>
      <c r="L122" s="154"/>
      <c r="M122" s="154"/>
    </row>
    <row r="123" spans="3:13" s="74" customFormat="1" ht="16.5" customHeight="1">
      <c r="C123" s="74" t="s">
        <v>173</v>
      </c>
      <c r="K123" s="154"/>
      <c r="L123" s="154"/>
      <c r="M123" s="154"/>
    </row>
    <row r="124" spans="4:13" s="74" customFormat="1" ht="16.5" customHeight="1">
      <c r="D124" s="74" t="s">
        <v>174</v>
      </c>
      <c r="K124" s="154"/>
      <c r="L124" s="154"/>
      <c r="M124" s="154"/>
    </row>
    <row r="125" spans="5:13" s="74" customFormat="1" ht="16.5" customHeight="1">
      <c r="E125" s="74" t="str">
        <f>"= ( 100 × "&amp;ROUND(F122,2)&amp;" / 2 ) × ( "&amp;O113&amp;" - "&amp;ROUND(F122,2)&amp;" / 3 ) + "&amp;$AK$70&amp;"×"&amp;ROUND(AK117,2)&amp;"×( "&amp;ROUND(F122,2)&amp;" - "&amp;O114&amp;" ) / "&amp;ROUND(F122,2)&amp;" ×( "&amp;O113&amp;" - "&amp;O114&amp;" )"</f>
        <v>= ( 100 × 5.54 / 2 ) × ( 19.25 - 5.54 / 3 ) + 7×15.89×( 5.54 - 5.75 ) / 5.54 ×( 19.25 - 5.75 )</v>
      </c>
      <c r="K125" s="154"/>
      <c r="L125" s="154"/>
      <c r="M125" s="154"/>
    </row>
    <row r="126" spans="5:13" s="74" customFormat="1" ht="16.5" customHeight="1">
      <c r="E126" s="74" t="s">
        <v>99</v>
      </c>
      <c r="F126" s="155">
        <f>(100*ROUND(F122,2)/2)*(O113-ROUND(F122,2)/3)+$AK$70*AK118*(ROUND(F122,2)-O114)/ROUND(F122,2)*(O113-O114)</f>
        <v>4792.26689290012</v>
      </c>
      <c r="G126" s="155"/>
      <c r="H126" s="155"/>
      <c r="I126" s="155"/>
      <c r="J126" s="74" t="s">
        <v>175</v>
      </c>
      <c r="K126" s="154"/>
      <c r="L126" s="154"/>
      <c r="M126" s="154"/>
    </row>
    <row r="127" spans="3:13" s="74" customFormat="1" ht="16.5" customHeight="1">
      <c r="C127" s="74" t="s">
        <v>176</v>
      </c>
      <c r="K127" s="154"/>
      <c r="L127" s="154"/>
      <c r="M127" s="154"/>
    </row>
    <row r="128" spans="4:13" s="74" customFormat="1" ht="16.5" customHeight="1">
      <c r="D128" s="74" t="s">
        <v>177</v>
      </c>
      <c r="K128" s="154"/>
      <c r="L128" s="154"/>
      <c r="M128" s="154"/>
    </row>
    <row r="129" spans="4:13" s="74" customFormat="1" ht="16.5" customHeight="1">
      <c r="D129" s="137" t="str">
        <f>"= (1/"&amp;$AK$70&amp;")×( "&amp;ROUND(F122,2)&amp;" / ( "&amp;O113&amp;"- "&amp;ROUND(F122,2)&amp;" ))×"&amp;ROUND(F126,1)</f>
        <v>= (1/7)×( 5.54 / ( 19.25- 5.54 ))×4792.3</v>
      </c>
      <c r="K129" s="154"/>
      <c r="L129" s="154"/>
      <c r="M129" s="154"/>
    </row>
    <row r="130" spans="4:13" s="74" customFormat="1" ht="16.5" customHeight="1">
      <c r="D130" s="74" t="s">
        <v>99</v>
      </c>
      <c r="E130" s="155">
        <f>1/$AK$70*(ROUND(F122,2)/(O113-ROUND(F122,2)))*ROUND(F126,1)</f>
        <v>276.64209648848595</v>
      </c>
      <c r="F130" s="155"/>
      <c r="G130" s="155"/>
      <c r="H130" s="155"/>
      <c r="I130" s="74" t="s">
        <v>175</v>
      </c>
      <c r="K130" s="154"/>
      <c r="L130" s="154"/>
      <c r="M130" s="154"/>
    </row>
    <row r="131" spans="11:13" s="74" customFormat="1" ht="16.5" customHeight="1">
      <c r="K131" s="154"/>
      <c r="L131" s="154"/>
      <c r="M131" s="154"/>
    </row>
    <row r="132" spans="3:23" s="74" customFormat="1" ht="16.5" customHeight="1">
      <c r="C132" s="74" t="s">
        <v>178</v>
      </c>
      <c r="K132" s="76" t="s">
        <v>179</v>
      </c>
      <c r="L132" s="154"/>
      <c r="M132" s="154"/>
      <c r="W132" s="156"/>
    </row>
    <row r="133" spans="3:17" s="74" customFormat="1" ht="16.5" customHeight="1">
      <c r="C133" s="74" t="s">
        <v>180</v>
      </c>
      <c r="K133" s="74" t="s">
        <v>181</v>
      </c>
      <c r="L133" s="154"/>
      <c r="M133" s="154"/>
      <c r="Q133" s="74" t="s">
        <v>182</v>
      </c>
    </row>
    <row r="134" spans="11:13" s="74" customFormat="1" ht="16.5" customHeight="1">
      <c r="K134" s="154"/>
      <c r="L134" s="154"/>
      <c r="M134" s="154"/>
    </row>
    <row r="135" spans="1:42" s="74" customFormat="1" ht="16.5" customHeight="1">
      <c r="A135" s="3"/>
      <c r="B135" s="3"/>
      <c r="C135" s="168" t="s">
        <v>183</v>
      </c>
      <c r="D135" s="168"/>
      <c r="E135" s="168"/>
      <c r="F135" s="168"/>
      <c r="G135" s="168"/>
      <c r="H135" s="168"/>
      <c r="I135" s="168"/>
      <c r="J135" s="168"/>
      <c r="K135" s="168"/>
      <c r="L135" s="176" t="s">
        <v>184</v>
      </c>
      <c r="M135" s="177"/>
      <c r="N135" s="177"/>
      <c r="O135" s="177"/>
      <c r="P135" s="178"/>
      <c r="Q135" s="168" t="s">
        <v>185</v>
      </c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 t="s">
        <v>186</v>
      </c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72" t="s">
        <v>187</v>
      </c>
      <c r="AN135" s="173"/>
      <c r="AO135" s="173"/>
      <c r="AP135" s="174"/>
    </row>
    <row r="136" spans="1:42" s="74" customFormat="1" ht="16.5" customHeight="1">
      <c r="A136" s="3"/>
      <c r="B136" s="3"/>
      <c r="C136" s="168"/>
      <c r="D136" s="168"/>
      <c r="E136" s="168"/>
      <c r="F136" s="168"/>
      <c r="G136" s="168"/>
      <c r="H136" s="168"/>
      <c r="I136" s="168"/>
      <c r="J136" s="168"/>
      <c r="K136" s="168"/>
      <c r="L136" s="179" t="s">
        <v>188</v>
      </c>
      <c r="M136" s="180"/>
      <c r="N136" s="180"/>
      <c r="O136" s="180"/>
      <c r="P136" s="181"/>
      <c r="Q136" s="168" t="s">
        <v>189</v>
      </c>
      <c r="R136" s="168"/>
      <c r="S136" s="168"/>
      <c r="T136" s="168"/>
      <c r="U136" s="168" t="s">
        <v>187</v>
      </c>
      <c r="V136" s="168"/>
      <c r="W136" s="168"/>
      <c r="X136" s="168"/>
      <c r="Y136" s="168" t="s">
        <v>190</v>
      </c>
      <c r="Z136" s="168"/>
      <c r="AA136" s="168"/>
      <c r="AB136" s="168" t="s">
        <v>189</v>
      </c>
      <c r="AC136" s="168"/>
      <c r="AD136" s="168"/>
      <c r="AE136" s="168"/>
      <c r="AF136" s="168" t="s">
        <v>187</v>
      </c>
      <c r="AG136" s="168"/>
      <c r="AH136" s="168"/>
      <c r="AI136" s="168"/>
      <c r="AJ136" s="168" t="s">
        <v>190</v>
      </c>
      <c r="AK136" s="168"/>
      <c r="AL136" s="168"/>
      <c r="AM136" s="151" t="s">
        <v>191</v>
      </c>
      <c r="AN136" s="152"/>
      <c r="AO136" s="152"/>
      <c r="AP136" s="134"/>
    </row>
    <row r="137" spans="1:42" s="74" customFormat="1" ht="22.5" customHeight="1">
      <c r="A137" s="3"/>
      <c r="B137" s="3"/>
      <c r="C137" s="167" t="s">
        <v>192</v>
      </c>
      <c r="D137" s="167"/>
      <c r="E137" s="167"/>
      <c r="F137" s="167"/>
      <c r="G137" s="167"/>
      <c r="H137" s="167"/>
      <c r="I137" s="167"/>
      <c r="J137" s="167"/>
      <c r="K137" s="167"/>
      <c r="L137" s="182">
        <v>0</v>
      </c>
      <c r="M137" s="183"/>
      <c r="N137" s="183"/>
      <c r="O137" s="183"/>
      <c r="P137" s="184"/>
      <c r="Q137" s="168" t="s">
        <v>122</v>
      </c>
      <c r="R137" s="168"/>
      <c r="S137" s="168"/>
      <c r="T137" s="168"/>
      <c r="U137" s="168" t="s">
        <v>122</v>
      </c>
      <c r="V137" s="168"/>
      <c r="W137" s="168"/>
      <c r="X137" s="168"/>
      <c r="Y137" s="168" t="s">
        <v>122</v>
      </c>
      <c r="Z137" s="168"/>
      <c r="AA137" s="168"/>
      <c r="AB137" s="168" t="s">
        <v>122</v>
      </c>
      <c r="AC137" s="168"/>
      <c r="AD137" s="168"/>
      <c r="AE137" s="168"/>
      <c r="AF137" s="168" t="s">
        <v>122</v>
      </c>
      <c r="AG137" s="168"/>
      <c r="AH137" s="168"/>
      <c r="AI137" s="168"/>
      <c r="AJ137" s="168" t="s">
        <v>122</v>
      </c>
      <c r="AK137" s="168"/>
      <c r="AL137" s="168"/>
      <c r="AM137" s="168" t="s">
        <v>122</v>
      </c>
      <c r="AN137" s="168"/>
      <c r="AO137" s="168"/>
      <c r="AP137" s="168"/>
    </row>
    <row r="138" spans="1:42" s="74" customFormat="1" ht="22.5" customHeight="1">
      <c r="A138" s="3"/>
      <c r="B138" s="3"/>
      <c r="C138" s="167" t="s">
        <v>193</v>
      </c>
      <c r="D138" s="167"/>
      <c r="E138" s="167"/>
      <c r="F138" s="167"/>
      <c r="G138" s="167"/>
      <c r="H138" s="167"/>
      <c r="I138" s="167"/>
      <c r="J138" s="167"/>
      <c r="K138" s="167"/>
      <c r="L138" s="169">
        <f>AG56</f>
        <v>16.375</v>
      </c>
      <c r="M138" s="170"/>
      <c r="N138" s="170"/>
      <c r="O138" s="170"/>
      <c r="P138" s="171"/>
      <c r="Q138" s="150">
        <f>ABS(L138)/F126*1000</f>
        <v>3.416963279791455</v>
      </c>
      <c r="R138" s="150"/>
      <c r="S138" s="150"/>
      <c r="T138" s="150"/>
      <c r="U138" s="150">
        <f>$AC$71</f>
        <v>8</v>
      </c>
      <c r="V138" s="150"/>
      <c r="W138" s="150"/>
      <c r="X138" s="150"/>
      <c r="Y138" s="168" t="str">
        <f>IF(Q138&lt;=U138,"O.K.","N.G.")</f>
        <v>O.K.</v>
      </c>
      <c r="Z138" s="168"/>
      <c r="AA138" s="168"/>
      <c r="AB138" s="150">
        <f>ABS(L138)/E130*1000</f>
        <v>59.19200370389595</v>
      </c>
      <c r="AC138" s="150"/>
      <c r="AD138" s="150"/>
      <c r="AE138" s="150"/>
      <c r="AF138" s="150">
        <f>$U$72</f>
        <v>120</v>
      </c>
      <c r="AG138" s="150"/>
      <c r="AH138" s="150"/>
      <c r="AI138" s="150"/>
      <c r="AJ138" s="168" t="str">
        <f>IF(AB138&lt;=AF138,"O.K.","N.G.")</f>
        <v>O.K.</v>
      </c>
      <c r="AK138" s="168"/>
      <c r="AL138" s="168"/>
      <c r="AM138" s="150">
        <v>1</v>
      </c>
      <c r="AN138" s="150"/>
      <c r="AO138" s="150"/>
      <c r="AP138" s="150"/>
    </row>
    <row r="139" spans="3:42" ht="22.5" customHeight="1">
      <c r="C139" s="167" t="s">
        <v>194</v>
      </c>
      <c r="D139" s="167"/>
      <c r="E139" s="167"/>
      <c r="F139" s="167"/>
      <c r="G139" s="167"/>
      <c r="H139" s="167"/>
      <c r="I139" s="167"/>
      <c r="J139" s="167"/>
      <c r="K139" s="167"/>
      <c r="L139" s="169">
        <v>0</v>
      </c>
      <c r="M139" s="170"/>
      <c r="N139" s="170"/>
      <c r="O139" s="170"/>
      <c r="P139" s="171"/>
      <c r="Q139" s="168" t="s">
        <v>122</v>
      </c>
      <c r="R139" s="168"/>
      <c r="S139" s="168"/>
      <c r="T139" s="168"/>
      <c r="U139" s="168" t="s">
        <v>122</v>
      </c>
      <c r="V139" s="168"/>
      <c r="W139" s="168"/>
      <c r="X139" s="168"/>
      <c r="Y139" s="168" t="s">
        <v>122</v>
      </c>
      <c r="Z139" s="168"/>
      <c r="AA139" s="168"/>
      <c r="AB139" s="168" t="s">
        <v>122</v>
      </c>
      <c r="AC139" s="168"/>
      <c r="AD139" s="168"/>
      <c r="AE139" s="168"/>
      <c r="AF139" s="168" t="s">
        <v>122</v>
      </c>
      <c r="AG139" s="168"/>
      <c r="AH139" s="168"/>
      <c r="AI139" s="168"/>
      <c r="AJ139" s="168" t="s">
        <v>122</v>
      </c>
      <c r="AK139" s="168"/>
      <c r="AL139" s="168"/>
      <c r="AM139" s="168" t="s">
        <v>122</v>
      </c>
      <c r="AN139" s="168"/>
      <c r="AO139" s="168"/>
      <c r="AP139" s="168"/>
    </row>
    <row r="140" spans="3:42" ht="22.5" customHeight="1">
      <c r="C140" s="167" t="s">
        <v>195</v>
      </c>
      <c r="D140" s="167"/>
      <c r="E140" s="167"/>
      <c r="F140" s="167"/>
      <c r="G140" s="167"/>
      <c r="H140" s="167"/>
      <c r="I140" s="167"/>
      <c r="J140" s="167"/>
      <c r="K140" s="167"/>
      <c r="L140" s="169">
        <v>0</v>
      </c>
      <c r="M140" s="170"/>
      <c r="N140" s="170"/>
      <c r="O140" s="170"/>
      <c r="P140" s="171"/>
      <c r="Q140" s="168" t="s">
        <v>122</v>
      </c>
      <c r="R140" s="168"/>
      <c r="S140" s="168"/>
      <c r="T140" s="168"/>
      <c r="U140" s="168" t="s">
        <v>122</v>
      </c>
      <c r="V140" s="168"/>
      <c r="W140" s="168"/>
      <c r="X140" s="168"/>
      <c r="Y140" s="168" t="s">
        <v>122</v>
      </c>
      <c r="Z140" s="168"/>
      <c r="AA140" s="168"/>
      <c r="AB140" s="168" t="s">
        <v>122</v>
      </c>
      <c r="AC140" s="168"/>
      <c r="AD140" s="168"/>
      <c r="AE140" s="168"/>
      <c r="AF140" s="168" t="s">
        <v>122</v>
      </c>
      <c r="AG140" s="168"/>
      <c r="AH140" s="168"/>
      <c r="AI140" s="168"/>
      <c r="AJ140" s="168" t="s">
        <v>122</v>
      </c>
      <c r="AK140" s="168"/>
      <c r="AL140" s="168"/>
      <c r="AM140" s="168" t="s">
        <v>122</v>
      </c>
      <c r="AN140" s="168"/>
      <c r="AO140" s="168"/>
      <c r="AP140" s="168"/>
    </row>
  </sheetData>
  <mergeCells count="182">
    <mergeCell ref="O112:Q112"/>
    <mergeCell ref="T117:V117"/>
    <mergeCell ref="T118:V118"/>
    <mergeCell ref="O78:Q78"/>
    <mergeCell ref="O79:Q79"/>
    <mergeCell ref="S81:U81"/>
    <mergeCell ref="S82:U82"/>
    <mergeCell ref="Q99:AA99"/>
    <mergeCell ref="Q100:T100"/>
    <mergeCell ref="U100:X100"/>
    <mergeCell ref="M59:O59"/>
    <mergeCell ref="I64:K64"/>
    <mergeCell ref="Q70:S70"/>
    <mergeCell ref="AK70:AL70"/>
    <mergeCell ref="R66:U66"/>
    <mergeCell ref="K20:M20"/>
    <mergeCell ref="K21:M21"/>
    <mergeCell ref="K22:M22"/>
    <mergeCell ref="AC14:AE14"/>
    <mergeCell ref="AC15:AE15"/>
    <mergeCell ref="U16:V16"/>
    <mergeCell ref="X17:Z17"/>
    <mergeCell ref="D18:F18"/>
    <mergeCell ref="D19:F19"/>
    <mergeCell ref="K14:M14"/>
    <mergeCell ref="K15:M15"/>
    <mergeCell ref="K16:M16"/>
    <mergeCell ref="K17:M17"/>
    <mergeCell ref="K18:M18"/>
    <mergeCell ref="K19:M19"/>
    <mergeCell ref="D14:F14"/>
    <mergeCell ref="D15:F15"/>
    <mergeCell ref="D16:F16"/>
    <mergeCell ref="D17:F17"/>
    <mergeCell ref="L135:P135"/>
    <mergeCell ref="L136:P136"/>
    <mergeCell ref="B39:F39"/>
    <mergeCell ref="B40:F40"/>
    <mergeCell ref="B43:F43"/>
    <mergeCell ref="B41:F41"/>
    <mergeCell ref="B42:F42"/>
    <mergeCell ref="C99:K100"/>
    <mergeCell ref="I72:J72"/>
    <mergeCell ref="B32:F32"/>
    <mergeCell ref="B33:F33"/>
    <mergeCell ref="B34:F34"/>
    <mergeCell ref="B35:F35"/>
    <mergeCell ref="B36:F36"/>
    <mergeCell ref="B37:F37"/>
    <mergeCell ref="B38:F38"/>
    <mergeCell ref="AA27:AC27"/>
    <mergeCell ref="G32:X32"/>
    <mergeCell ref="Y32:AB32"/>
    <mergeCell ref="AC32:AH32"/>
    <mergeCell ref="AB99:AL99"/>
    <mergeCell ref="AB100:AE100"/>
    <mergeCell ref="AF100:AI100"/>
    <mergeCell ref="AJ100:AL100"/>
    <mergeCell ref="Y100:AA100"/>
    <mergeCell ref="L99:P99"/>
    <mergeCell ref="L100:P100"/>
    <mergeCell ref="L101:P101"/>
    <mergeCell ref="AJ102:AL102"/>
    <mergeCell ref="L102:P102"/>
    <mergeCell ref="L103:P103"/>
    <mergeCell ref="L104:P104"/>
    <mergeCell ref="AJ101:AL101"/>
    <mergeCell ref="Q101:T101"/>
    <mergeCell ref="U101:X101"/>
    <mergeCell ref="Y101:AA101"/>
    <mergeCell ref="AB101:AE101"/>
    <mergeCell ref="AF101:AI101"/>
    <mergeCell ref="AB102:AE102"/>
    <mergeCell ref="L106:P106"/>
    <mergeCell ref="L107:P107"/>
    <mergeCell ref="L108:P108"/>
    <mergeCell ref="L105:P105"/>
    <mergeCell ref="AF102:AI102"/>
    <mergeCell ref="AJ103:AL103"/>
    <mergeCell ref="Q103:T103"/>
    <mergeCell ref="U103:X103"/>
    <mergeCell ref="Y103:AA103"/>
    <mergeCell ref="AB103:AE103"/>
    <mergeCell ref="AF103:AI103"/>
    <mergeCell ref="Q102:T102"/>
    <mergeCell ref="U102:X102"/>
    <mergeCell ref="Y102:AA102"/>
    <mergeCell ref="U104:X104"/>
    <mergeCell ref="Y104:AA104"/>
    <mergeCell ref="AB104:AE104"/>
    <mergeCell ref="AF104:AI104"/>
    <mergeCell ref="AJ107:AL107"/>
    <mergeCell ref="Q107:T107"/>
    <mergeCell ref="U105:X105"/>
    <mergeCell ref="Y105:AA105"/>
    <mergeCell ref="AB106:AE106"/>
    <mergeCell ref="AF106:AI106"/>
    <mergeCell ref="AJ106:AL106"/>
    <mergeCell ref="Q106:T106"/>
    <mergeCell ref="U106:X106"/>
    <mergeCell ref="Y106:AA106"/>
    <mergeCell ref="AJ108:AL108"/>
    <mergeCell ref="Q108:T108"/>
    <mergeCell ref="U108:X108"/>
    <mergeCell ref="Y108:AA108"/>
    <mergeCell ref="U107:X107"/>
    <mergeCell ref="Y107:AA107"/>
    <mergeCell ref="AB108:AE108"/>
    <mergeCell ref="AF108:AI108"/>
    <mergeCell ref="AB107:AE107"/>
    <mergeCell ref="AF107:AI107"/>
    <mergeCell ref="C106:K106"/>
    <mergeCell ref="C107:K107"/>
    <mergeCell ref="C108:K108"/>
    <mergeCell ref="C101:K101"/>
    <mergeCell ref="C102:K102"/>
    <mergeCell ref="C103:K103"/>
    <mergeCell ref="C104:K104"/>
    <mergeCell ref="AM102:AP102"/>
    <mergeCell ref="AM103:AP103"/>
    <mergeCell ref="AM104:AP104"/>
    <mergeCell ref="C105:K105"/>
    <mergeCell ref="AB105:AE105"/>
    <mergeCell ref="AF105:AI105"/>
    <mergeCell ref="AJ105:AL105"/>
    <mergeCell ref="Q105:T105"/>
    <mergeCell ref="AJ104:AL104"/>
    <mergeCell ref="Q104:T104"/>
    <mergeCell ref="C135:K136"/>
    <mergeCell ref="Q135:AA135"/>
    <mergeCell ref="AB135:AL135"/>
    <mergeCell ref="AM135:AP135"/>
    <mergeCell ref="Q136:T136"/>
    <mergeCell ref="U136:X136"/>
    <mergeCell ref="Y136:AA136"/>
    <mergeCell ref="AB136:AE136"/>
    <mergeCell ref="Y137:AA137"/>
    <mergeCell ref="AB137:AE137"/>
    <mergeCell ref="AF137:AI137"/>
    <mergeCell ref="AM99:AP99"/>
    <mergeCell ref="AM100:AP100"/>
    <mergeCell ref="AM105:AP105"/>
    <mergeCell ref="AM106:AP106"/>
    <mergeCell ref="AM107:AP107"/>
    <mergeCell ref="AM108:AP108"/>
    <mergeCell ref="AM101:AP101"/>
    <mergeCell ref="AM138:AP138"/>
    <mergeCell ref="AF136:AI136"/>
    <mergeCell ref="AJ136:AL136"/>
    <mergeCell ref="AM136:AP136"/>
    <mergeCell ref="AJ137:AL137"/>
    <mergeCell ref="Y139:AA139"/>
    <mergeCell ref="L139:P139"/>
    <mergeCell ref="AM137:AP137"/>
    <mergeCell ref="C138:K138"/>
    <mergeCell ref="Q138:T138"/>
    <mergeCell ref="U138:X138"/>
    <mergeCell ref="Y138:AA138"/>
    <mergeCell ref="AB138:AE138"/>
    <mergeCell ref="AF138:AI138"/>
    <mergeCell ref="AJ138:AL138"/>
    <mergeCell ref="AB139:AE139"/>
    <mergeCell ref="AF139:AI139"/>
    <mergeCell ref="AJ139:AL139"/>
    <mergeCell ref="AM139:AP139"/>
    <mergeCell ref="AM140:AP140"/>
    <mergeCell ref="Y140:AA140"/>
    <mergeCell ref="AB140:AE140"/>
    <mergeCell ref="AF140:AI140"/>
    <mergeCell ref="AJ140:AL140"/>
    <mergeCell ref="C140:K140"/>
    <mergeCell ref="Q140:T140"/>
    <mergeCell ref="U140:X140"/>
    <mergeCell ref="L140:P140"/>
    <mergeCell ref="C139:K139"/>
    <mergeCell ref="Q139:T139"/>
    <mergeCell ref="U139:X139"/>
    <mergeCell ref="C137:K137"/>
    <mergeCell ref="Q137:T137"/>
    <mergeCell ref="U137:X137"/>
    <mergeCell ref="L137:P137"/>
    <mergeCell ref="L138:P138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40"/>
  <sheetViews>
    <sheetView workbookViewId="0" topLeftCell="A118">
      <selection activeCell="A118" sqref="A1:IV16384"/>
    </sheetView>
  </sheetViews>
  <sheetFormatPr defaultColWidth="8.88671875" defaultRowHeight="22.5" customHeight="1"/>
  <cols>
    <col min="1" max="16384" width="1.77734375" style="3" customWidth="1"/>
  </cols>
  <sheetData>
    <row r="1" spans="1:6" ht="22.5" customHeight="1">
      <c r="A1" s="157" t="s">
        <v>201</v>
      </c>
      <c r="B1" s="1"/>
      <c r="C1" s="2"/>
      <c r="D1" s="2"/>
      <c r="E1" s="2"/>
      <c r="F1" s="2"/>
    </row>
    <row r="2" spans="1:33" ht="22.5" customHeight="1">
      <c r="A2" s="142"/>
      <c r="C2" s="2"/>
      <c r="D2" s="2"/>
      <c r="E2" s="2"/>
      <c r="F2" s="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22.5" customHeight="1">
      <c r="A3" s="142"/>
      <c r="D3" s="2"/>
      <c r="E3" s="2"/>
      <c r="F3" s="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0:33" ht="22.5" customHeight="1"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0:33" ht="22.5" customHeight="1"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0:33" ht="22.5" customHeight="1"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0:33" ht="22.5" customHeight="1"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0:33" ht="22.5" customHeight="1"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0:33" ht="22.5" customHeight="1"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0:33" ht="22.5" customHeight="1"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0:33" ht="22.5" customHeight="1"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0:33" ht="22.5" customHeight="1"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0:33" ht="22.5" customHeight="1"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45" ht="22.5" customHeight="1">
      <c r="A14" s="2"/>
      <c r="B14" s="2" t="s">
        <v>0</v>
      </c>
      <c r="D14" s="197">
        <v>0.25</v>
      </c>
      <c r="E14" s="164"/>
      <c r="F14" s="164"/>
      <c r="G14" s="2" t="s">
        <v>1</v>
      </c>
      <c r="H14" s="2"/>
      <c r="I14" s="2" t="s">
        <v>78</v>
      </c>
      <c r="K14" s="197">
        <v>0</v>
      </c>
      <c r="L14" s="164"/>
      <c r="M14" s="164"/>
      <c r="N14" s="2" t="s">
        <v>1</v>
      </c>
      <c r="P14" s="2" t="s">
        <v>79</v>
      </c>
      <c r="S14" s="2"/>
      <c r="T14" s="2"/>
      <c r="U14" s="2"/>
      <c r="V14" s="2"/>
      <c r="AC14" s="197">
        <v>24.5</v>
      </c>
      <c r="AD14" s="164"/>
      <c r="AE14" s="164"/>
      <c r="AF14" s="2" t="s">
        <v>80</v>
      </c>
      <c r="AG14" s="2"/>
      <c r="AS14" s="137" t="s">
        <v>202</v>
      </c>
    </row>
    <row r="15" spans="1:33" ht="22.5" customHeight="1">
      <c r="A15" s="2"/>
      <c r="B15" s="2" t="s">
        <v>3</v>
      </c>
      <c r="D15" s="197">
        <v>0.11</v>
      </c>
      <c r="E15" s="164"/>
      <c r="F15" s="164"/>
      <c r="G15" s="2" t="s">
        <v>1</v>
      </c>
      <c r="H15" s="2"/>
      <c r="I15" s="2" t="s">
        <v>2</v>
      </c>
      <c r="K15" s="197">
        <v>0.25</v>
      </c>
      <c r="L15" s="164"/>
      <c r="M15" s="164"/>
      <c r="N15" s="2" t="s">
        <v>1</v>
      </c>
      <c r="P15" s="2" t="s">
        <v>82</v>
      </c>
      <c r="S15" s="2"/>
      <c r="T15" s="2"/>
      <c r="U15" s="2"/>
      <c r="V15" s="2"/>
      <c r="AC15" s="197">
        <v>22.5</v>
      </c>
      <c r="AD15" s="164"/>
      <c r="AE15" s="164"/>
      <c r="AF15" s="2" t="s">
        <v>80</v>
      </c>
      <c r="AG15" s="2"/>
    </row>
    <row r="16" spans="1:34" ht="22.5" customHeight="1">
      <c r="A16" s="2"/>
      <c r="B16" s="2" t="s">
        <v>5</v>
      </c>
      <c r="D16" s="197">
        <v>0.18</v>
      </c>
      <c r="E16" s="164"/>
      <c r="F16" s="164"/>
      <c r="G16" s="2" t="s">
        <v>1</v>
      </c>
      <c r="H16" s="2"/>
      <c r="I16" s="2" t="s">
        <v>4</v>
      </c>
      <c r="K16" s="197">
        <v>0.09</v>
      </c>
      <c r="L16" s="164"/>
      <c r="M16" s="164"/>
      <c r="N16" s="2" t="s">
        <v>1</v>
      </c>
      <c r="P16" s="2" t="s">
        <v>83</v>
      </c>
      <c r="S16" s="2"/>
      <c r="T16" s="2"/>
      <c r="U16" s="200" t="s">
        <v>84</v>
      </c>
      <c r="V16" s="164"/>
      <c r="W16" s="2" t="s">
        <v>85</v>
      </c>
      <c r="X16" s="2"/>
      <c r="Y16" s="2"/>
      <c r="Z16" s="2"/>
      <c r="AA16" s="2"/>
      <c r="AB16" s="2"/>
      <c r="AC16" s="2"/>
      <c r="AD16" s="7"/>
      <c r="AE16" s="7"/>
      <c r="AF16" s="7"/>
      <c r="AG16" s="7"/>
      <c r="AH16" s="7"/>
    </row>
    <row r="17" spans="1:29" ht="22.5" customHeight="1">
      <c r="A17" s="2"/>
      <c r="B17" s="2" t="s">
        <v>7</v>
      </c>
      <c r="D17" s="197">
        <v>0.89</v>
      </c>
      <c r="E17" s="164"/>
      <c r="F17" s="164"/>
      <c r="G17" s="2" t="s">
        <v>1</v>
      </c>
      <c r="H17" s="2"/>
      <c r="I17" s="2" t="s">
        <v>6</v>
      </c>
      <c r="K17" s="197">
        <v>0.125</v>
      </c>
      <c r="L17" s="164"/>
      <c r="M17" s="164"/>
      <c r="N17" s="2" t="s">
        <v>1</v>
      </c>
      <c r="P17" s="2" t="s">
        <v>86</v>
      </c>
      <c r="S17" s="2"/>
      <c r="T17" s="2"/>
      <c r="U17" s="2"/>
      <c r="V17" s="2"/>
      <c r="X17" s="201">
        <v>100</v>
      </c>
      <c r="Y17" s="201"/>
      <c r="Z17" s="201"/>
      <c r="AA17" s="2" t="s">
        <v>87</v>
      </c>
      <c r="AC17" s="8"/>
    </row>
    <row r="18" spans="1:36" ht="22.5" customHeight="1">
      <c r="A18" s="2"/>
      <c r="B18" s="2" t="s">
        <v>9</v>
      </c>
      <c r="D18" s="197">
        <v>0.3</v>
      </c>
      <c r="E18" s="164"/>
      <c r="F18" s="164"/>
      <c r="G18" s="2" t="s">
        <v>1</v>
      </c>
      <c r="H18" s="2"/>
      <c r="I18" s="2" t="s">
        <v>8</v>
      </c>
      <c r="K18" s="197">
        <v>0.535</v>
      </c>
      <c r="L18" s="164"/>
      <c r="M18" s="164"/>
      <c r="N18" s="2" t="s">
        <v>1</v>
      </c>
      <c r="P18" s="2" t="s">
        <v>88</v>
      </c>
      <c r="S18" s="2"/>
      <c r="T18" s="2"/>
      <c r="U18" s="2"/>
      <c r="V18" s="2"/>
      <c r="W18" s="2"/>
      <c r="AC18" s="142" t="s">
        <v>89</v>
      </c>
      <c r="AH18" s="7"/>
      <c r="AJ18" s="2" t="s">
        <v>90</v>
      </c>
    </row>
    <row r="19" spans="1:28" ht="22.5" customHeight="1">
      <c r="A19" s="2"/>
      <c r="B19" s="2" t="s">
        <v>11</v>
      </c>
      <c r="D19" s="197">
        <v>0.08</v>
      </c>
      <c r="E19" s="164"/>
      <c r="F19" s="164"/>
      <c r="G19" s="2" t="s">
        <v>1</v>
      </c>
      <c r="H19" s="2"/>
      <c r="I19" s="2" t="s">
        <v>10</v>
      </c>
      <c r="K19" s="197">
        <v>0.06</v>
      </c>
      <c r="L19" s="164"/>
      <c r="M19" s="164"/>
      <c r="N19" s="2" t="s">
        <v>1</v>
      </c>
      <c r="Y19" s="2"/>
      <c r="Z19" s="2"/>
      <c r="AA19" s="2"/>
      <c r="AB19" s="2"/>
    </row>
    <row r="20" spans="1:29" ht="22.5" customHeight="1">
      <c r="A20" s="2"/>
      <c r="B20" s="2"/>
      <c r="D20" s="2"/>
      <c r="E20" s="2"/>
      <c r="G20" s="2"/>
      <c r="H20" s="2"/>
      <c r="I20" s="2" t="s">
        <v>12</v>
      </c>
      <c r="K20" s="197">
        <v>0.12</v>
      </c>
      <c r="L20" s="164"/>
      <c r="M20" s="164"/>
      <c r="N20" s="2" t="s">
        <v>1</v>
      </c>
      <c r="U20" s="10"/>
      <c r="V20" s="10"/>
      <c r="W20" s="103"/>
      <c r="X20" s="103"/>
      <c r="Y20" s="10"/>
      <c r="Z20" s="10"/>
      <c r="AA20" s="10"/>
      <c r="AB20" s="11"/>
      <c r="AC20" s="11"/>
    </row>
    <row r="21" spans="1:14" ht="22.5" customHeight="1">
      <c r="A21" s="2"/>
      <c r="B21" s="2"/>
      <c r="D21" s="2"/>
      <c r="E21" s="2"/>
      <c r="G21" s="2"/>
      <c r="H21" s="2"/>
      <c r="I21" s="2" t="s">
        <v>91</v>
      </c>
      <c r="K21" s="197">
        <f>K14+K15+K16+K17+K18-K20</f>
        <v>0.88</v>
      </c>
      <c r="L21" s="164"/>
      <c r="M21" s="164"/>
      <c r="N21" s="2" t="s">
        <v>1</v>
      </c>
    </row>
    <row r="22" spans="1:28" ht="22.5" customHeight="1">
      <c r="A22" s="2"/>
      <c r="B22" s="2"/>
      <c r="D22" s="2"/>
      <c r="E22" s="2"/>
      <c r="G22" s="2"/>
      <c r="H22" s="2"/>
      <c r="I22" s="2" t="s">
        <v>92</v>
      </c>
      <c r="K22" s="197">
        <v>0.25</v>
      </c>
      <c r="L22" s="164"/>
      <c r="M22" s="164"/>
      <c r="N22" s="2" t="s">
        <v>1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2.5" customHeight="1">
      <c r="A23" s="2"/>
      <c r="B23" s="2"/>
      <c r="D23" s="2"/>
      <c r="E23" s="2"/>
      <c r="G23" s="2"/>
      <c r="H23" s="2"/>
      <c r="I23" s="2"/>
      <c r="K23" s="12"/>
      <c r="L23" s="5"/>
      <c r="M23" s="6"/>
      <c r="N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6" ht="22.5" customHeight="1">
      <c r="A24" s="2"/>
      <c r="B24" s="2" t="s">
        <v>93</v>
      </c>
      <c r="C24" s="2"/>
      <c r="D24" s="2"/>
      <c r="E24" s="2"/>
      <c r="F24" s="2"/>
      <c r="H24" s="2"/>
      <c r="J24" s="2"/>
      <c r="K24" s="13" t="str">
        <f>IF(P25&gt;0.25,"( L&gt;0.25mの場合)","( L≤0.25mの場合)")</f>
        <v>( L≤0.25mの場合)</v>
      </c>
      <c r="L24" s="2"/>
      <c r="M24" s="2"/>
      <c r="N24" s="2"/>
      <c r="O24" s="2"/>
      <c r="Q24" s="14"/>
      <c r="R24" s="14"/>
      <c r="S24" s="15"/>
      <c r="U24" s="11"/>
      <c r="W24" s="14"/>
      <c r="Y24" s="16"/>
      <c r="Z24" s="17" t="s">
        <v>94</v>
      </c>
    </row>
    <row r="25" spans="1:23" ht="22.5" customHeight="1">
      <c r="A25" s="2"/>
      <c r="C25" s="11" t="s">
        <v>95</v>
      </c>
      <c r="D25" s="2"/>
      <c r="E25" s="2"/>
      <c r="F25" s="2"/>
      <c r="G25" s="2"/>
      <c r="H25" s="2"/>
      <c r="N25" s="2" t="s">
        <v>96</v>
      </c>
      <c r="O25" s="2"/>
      <c r="P25" s="5">
        <f>(K18-K19-K22)</f>
        <v>0.22500000000000003</v>
      </c>
      <c r="Q25" s="6"/>
      <c r="R25" s="6"/>
      <c r="S25" s="18"/>
      <c r="T25" s="2" t="s">
        <v>1</v>
      </c>
      <c r="U25" s="16"/>
      <c r="V25" s="14"/>
      <c r="W25" s="14"/>
    </row>
    <row r="26" spans="1:47" ht="22.5" customHeight="1">
      <c r="A26" s="2"/>
      <c r="C26" s="13" t="str">
        <f>IF(P25&gt;0.25,"do = (80·L + 210) =","do = (280·L + 160) =")</f>
        <v>do = (280·L + 160) =</v>
      </c>
      <c r="D26" s="2"/>
      <c r="E26" s="2"/>
      <c r="F26" s="2"/>
      <c r="G26" s="2"/>
      <c r="L26" s="2" t="str">
        <f>IF(P25&gt;0.25,"{(80×"&amp;P25&amp;") + 210} = "&amp;ROUND((80*P25+210),0)&amp;" mm &gt; 160 mm","{(280×"&amp;P25&amp;") + 160} = "&amp;ROUND((280*P25+160),0)&amp;" mm &gt; 160 mm")</f>
        <v>{(280×0.225) + 160} = 223 mm &gt; 160 mm</v>
      </c>
      <c r="W26" s="2"/>
      <c r="X26" s="11"/>
      <c r="AG26" s="2"/>
      <c r="AH26" s="2"/>
      <c r="AI26" s="2"/>
      <c r="AJ26" s="2"/>
      <c r="AK26" s="2"/>
      <c r="AL26" s="2"/>
      <c r="AM26" s="2"/>
      <c r="AN26" s="2"/>
      <c r="AP26" s="2"/>
      <c r="AQ26" s="2"/>
      <c r="AR26" s="2"/>
      <c r="AS26" s="2"/>
      <c r="AT26" s="2"/>
      <c r="AU26" s="2"/>
    </row>
    <row r="27" spans="1:35" ht="22.5" customHeight="1">
      <c r="A27" s="2"/>
      <c r="C27" s="2" t="s">
        <v>97</v>
      </c>
      <c r="D27" s="2"/>
      <c r="E27" s="2"/>
      <c r="F27" s="2"/>
      <c r="J27" s="18">
        <f>AB28</f>
        <v>1.25</v>
      </c>
      <c r="K27" s="6"/>
      <c r="L27" s="19" t="s">
        <v>98</v>
      </c>
      <c r="M27" s="20">
        <v>1</v>
      </c>
      <c r="N27" s="6"/>
      <c r="O27" s="19" t="s">
        <v>98</v>
      </c>
      <c r="P27" s="18">
        <f>IF(P25&gt;0.25,ROUND((80*P25+210),0),ROUND((280*P25+160),0))</f>
        <v>223</v>
      </c>
      <c r="Q27" s="6"/>
      <c r="R27" s="6"/>
      <c r="S27" s="19" t="s">
        <v>99</v>
      </c>
      <c r="T27" s="18">
        <f>ROUND(J27*M27*P27,-1)</f>
        <v>280</v>
      </c>
      <c r="U27" s="6"/>
      <c r="V27" s="18"/>
      <c r="W27" s="2" t="s">
        <v>100</v>
      </c>
      <c r="Y27" s="19" t="s">
        <v>101</v>
      </c>
      <c r="AA27" s="185">
        <f>D18*100</f>
        <v>30</v>
      </c>
      <c r="AB27" s="185"/>
      <c r="AC27" s="185"/>
      <c r="AD27" s="11" t="s">
        <v>102</v>
      </c>
      <c r="AE27" s="2"/>
      <c r="AH27" s="2" t="str">
        <f>IF(T27&lt;=AA27*10,"O.K.","N.G.")</f>
        <v>O.K.</v>
      </c>
      <c r="AI27" s="2"/>
    </row>
    <row r="28" spans="1:58" ht="22.5" customHeight="1">
      <c r="A28" s="2"/>
      <c r="C28" s="2" t="s">
        <v>13</v>
      </c>
      <c r="D28" s="2"/>
      <c r="G28" s="2" t="s">
        <v>14</v>
      </c>
      <c r="Y28" s="2" t="s">
        <v>103</v>
      </c>
      <c r="AB28" s="18">
        <f>IF(AC18="500未満",1.1,IF(AC18="500以上1000未満",1.15,IF(AC18="1000以上2000未満",1.2,IF(AC18="2000以上",1.25,"入力確認要望"))))</f>
        <v>1.25</v>
      </c>
      <c r="AC28" s="78"/>
      <c r="AD28" s="2" t="s">
        <v>104</v>
      </c>
      <c r="AN28" s="2"/>
      <c r="AP28" s="2"/>
      <c r="AQ28" s="2"/>
      <c r="AR28" s="2"/>
      <c r="AS28" s="2"/>
      <c r="AT28" s="2"/>
      <c r="AU28" s="2"/>
      <c r="AV28" s="2"/>
      <c r="AW28" s="2"/>
      <c r="AY28" s="2"/>
      <c r="BB28" s="2"/>
      <c r="BC28" s="2"/>
      <c r="BD28" s="2"/>
      <c r="BE28" s="2"/>
      <c r="BF28" s="11"/>
    </row>
    <row r="29" spans="1:58" ht="22.5" customHeight="1">
      <c r="A29" s="2"/>
      <c r="C29" s="8"/>
      <c r="D29" s="2"/>
      <c r="E29" s="2"/>
      <c r="G29" s="2" t="s">
        <v>105</v>
      </c>
      <c r="AN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BA29" s="2"/>
      <c r="BB29" s="2"/>
      <c r="BC29" s="2"/>
      <c r="BD29" s="2"/>
      <c r="BE29" s="2"/>
      <c r="BF29" s="11"/>
    </row>
    <row r="30" spans="1:58" ht="22.5" customHeight="1">
      <c r="A30" s="2"/>
      <c r="C30" s="8"/>
      <c r="D30" s="2"/>
      <c r="E30" s="2"/>
      <c r="G30" s="2"/>
      <c r="I30" s="2" t="s">
        <v>106</v>
      </c>
      <c r="Z30" s="2"/>
      <c r="AN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BA30" s="2"/>
      <c r="BB30" s="2"/>
      <c r="BC30" s="2"/>
      <c r="BD30" s="2"/>
      <c r="BE30" s="2"/>
      <c r="BF30" s="11"/>
    </row>
    <row r="31" spans="1:33" ht="22.5" customHeight="1" thickBot="1">
      <c r="A31" s="2"/>
      <c r="B31" s="11" t="s">
        <v>107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3" t="s">
        <v>81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4" ht="22.5" customHeight="1" thickBot="1">
      <c r="A32" s="2"/>
      <c r="B32" s="187" t="s">
        <v>15</v>
      </c>
      <c r="C32" s="187"/>
      <c r="D32" s="187"/>
      <c r="E32" s="187"/>
      <c r="F32" s="188"/>
      <c r="G32" s="186" t="s">
        <v>108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8"/>
      <c r="Y32" s="186" t="s">
        <v>109</v>
      </c>
      <c r="Z32" s="187"/>
      <c r="AA32" s="187"/>
      <c r="AB32" s="188"/>
      <c r="AC32" s="186" t="s">
        <v>110</v>
      </c>
      <c r="AD32" s="187"/>
      <c r="AE32" s="187"/>
      <c r="AF32" s="187"/>
      <c r="AG32" s="187"/>
      <c r="AH32" s="187"/>
    </row>
    <row r="33" spans="1:34" ht="22.5" customHeight="1" thickTop="1">
      <c r="A33" s="2"/>
      <c r="B33" s="189">
        <v>1</v>
      </c>
      <c r="C33" s="189"/>
      <c r="D33" s="189"/>
      <c r="E33" s="189"/>
      <c r="F33" s="190"/>
      <c r="G33" s="23" t="str">
        <f>K15&amp;" × "&amp;D17&amp;" × "&amp;AC14</f>
        <v>0.25 × 0.89 × 24.5</v>
      </c>
      <c r="H33" s="24"/>
      <c r="I33" s="24"/>
      <c r="J33" s="24"/>
      <c r="K33" s="24"/>
      <c r="L33" s="24"/>
      <c r="M33" s="25"/>
      <c r="N33" s="25"/>
      <c r="O33" s="25"/>
      <c r="P33" s="25"/>
      <c r="Q33" s="25"/>
      <c r="R33" s="25"/>
      <c r="S33" s="25"/>
      <c r="T33" s="26" t="s">
        <v>16</v>
      </c>
      <c r="U33" s="27">
        <f>ROUND(D17*K15*AC14,3)</f>
        <v>5.451</v>
      </c>
      <c r="V33" s="27"/>
      <c r="W33" s="26"/>
      <c r="X33" s="28"/>
      <c r="Y33" s="29">
        <f>ROUND(K18+K17+K16+K15/2-K19,3)</f>
        <v>0.815</v>
      </c>
      <c r="Z33" s="27"/>
      <c r="AA33" s="27"/>
      <c r="AB33" s="28"/>
      <c r="AC33" s="29">
        <f>-ROUND(U33*Y33,3)</f>
        <v>-4.443</v>
      </c>
      <c r="AD33" s="27"/>
      <c r="AE33" s="27"/>
      <c r="AF33" s="27"/>
      <c r="AG33" s="28"/>
      <c r="AH33" s="28"/>
    </row>
    <row r="34" spans="1:34" ht="22.5" customHeight="1">
      <c r="A34" s="2"/>
      <c r="B34" s="191">
        <v>2</v>
      </c>
      <c r="C34" s="191"/>
      <c r="D34" s="191"/>
      <c r="E34" s="191"/>
      <c r="F34" s="192"/>
      <c r="G34" s="30" t="str">
        <f>"½ × "&amp;K16&amp;" × "&amp;D17&amp;" × "&amp;AC14</f>
        <v>½ × 0.09 × 0.89 × 24.5</v>
      </c>
      <c r="H34" s="11"/>
      <c r="I34" s="11"/>
      <c r="J34" s="11"/>
      <c r="K34" s="11"/>
      <c r="L34" s="11"/>
      <c r="T34" s="15" t="s">
        <v>16</v>
      </c>
      <c r="U34" s="31">
        <f>ROUND(0.5*K16*D17*AC14,3)</f>
        <v>0.981</v>
      </c>
      <c r="V34" s="31"/>
      <c r="W34" s="15"/>
      <c r="X34" s="6"/>
      <c r="Y34" s="32">
        <f>ROUND(K18+K17+K16*2/3-K19,3)</f>
        <v>0.66</v>
      </c>
      <c r="Z34" s="31"/>
      <c r="AA34" s="31"/>
      <c r="AB34" s="6"/>
      <c r="AC34" s="32">
        <f>-ROUND(U34*Y34,3)</f>
        <v>-0.647</v>
      </c>
      <c r="AD34" s="31"/>
      <c r="AE34" s="31"/>
      <c r="AF34" s="31"/>
      <c r="AG34" s="6"/>
      <c r="AH34" s="6"/>
    </row>
    <row r="35" spans="1:34" ht="22.5" customHeight="1">
      <c r="A35" s="2"/>
      <c r="B35" s="189">
        <v>3</v>
      </c>
      <c r="C35" s="189"/>
      <c r="D35" s="189"/>
      <c r="E35" s="189"/>
      <c r="F35" s="190"/>
      <c r="G35" s="33" t="str">
        <f>(K15+K16)&amp;" × "&amp;(D15+D16)&amp;" × "&amp;AC14</f>
        <v>0.34 × 0.29 × 24.5</v>
      </c>
      <c r="H35" s="34"/>
      <c r="I35" s="34"/>
      <c r="J35" s="34"/>
      <c r="K35" s="34"/>
      <c r="L35" s="34"/>
      <c r="M35" s="35"/>
      <c r="N35" s="35"/>
      <c r="O35" s="35"/>
      <c r="P35" s="35"/>
      <c r="Q35" s="35"/>
      <c r="R35" s="35"/>
      <c r="S35" s="35"/>
      <c r="T35" s="36" t="s">
        <v>16</v>
      </c>
      <c r="U35" s="37">
        <f>ROUND((K15+K16)*(D15+D16)*AC14,3)</f>
        <v>2.416</v>
      </c>
      <c r="V35" s="37"/>
      <c r="W35" s="36"/>
      <c r="X35" s="38"/>
      <c r="Y35" s="39">
        <f>ROUND(K18+K17+(K16+K15)/2-K19,3)</f>
        <v>0.77</v>
      </c>
      <c r="Z35" s="37"/>
      <c r="AA35" s="37"/>
      <c r="AB35" s="38"/>
      <c r="AC35" s="39">
        <f>-ROUND(U35*Y35,3)</f>
        <v>-1.86</v>
      </c>
      <c r="AD35" s="37"/>
      <c r="AE35" s="37"/>
      <c r="AF35" s="37"/>
      <c r="AG35" s="38"/>
      <c r="AH35" s="38"/>
    </row>
    <row r="36" spans="1:34" ht="22.5" customHeight="1">
      <c r="A36" s="2"/>
      <c r="B36" s="191">
        <v>4</v>
      </c>
      <c r="C36" s="191"/>
      <c r="D36" s="191"/>
      <c r="E36" s="191"/>
      <c r="F36" s="192"/>
      <c r="G36" s="30" t="str">
        <f>"½ × "&amp;K17&amp;" × "&amp;D16&amp;" × "&amp;AC14</f>
        <v>½ × 0.125 × 0.18 × 24.5</v>
      </c>
      <c r="H36" s="11"/>
      <c r="I36" s="11"/>
      <c r="J36" s="11"/>
      <c r="K36" s="11"/>
      <c r="L36" s="11"/>
      <c r="T36" s="15" t="s">
        <v>16</v>
      </c>
      <c r="U36" s="31">
        <f>ROUND(0.5*K17*D16*AC14,3)</f>
        <v>0.276</v>
      </c>
      <c r="V36" s="31"/>
      <c r="W36" s="15"/>
      <c r="X36" s="6"/>
      <c r="Y36" s="32">
        <f>ROUND(K18+K17*2/3-K19,3)</f>
        <v>0.558</v>
      </c>
      <c r="Z36" s="31"/>
      <c r="AA36" s="31"/>
      <c r="AB36" s="6"/>
      <c r="AC36" s="32">
        <f>-ROUND(U36*Y36,3)</f>
        <v>-0.154</v>
      </c>
      <c r="AD36" s="31"/>
      <c r="AE36" s="31"/>
      <c r="AF36" s="31"/>
      <c r="AG36" s="6"/>
      <c r="AH36" s="6"/>
    </row>
    <row r="37" spans="1:34" ht="22.5" customHeight="1" thickBot="1">
      <c r="A37" s="2"/>
      <c r="B37" s="193">
        <v>5</v>
      </c>
      <c r="C37" s="193"/>
      <c r="D37" s="193"/>
      <c r="E37" s="193"/>
      <c r="F37" s="194"/>
      <c r="G37" s="116" t="str">
        <f>K17&amp;" × "&amp;D15&amp;" × "&amp;AC14</f>
        <v>0.125 × 0.11 × 24.5</v>
      </c>
      <c r="H37" s="117"/>
      <c r="I37" s="117"/>
      <c r="J37" s="117"/>
      <c r="K37" s="117"/>
      <c r="L37" s="117"/>
      <c r="M37" s="118"/>
      <c r="N37" s="118"/>
      <c r="O37" s="118"/>
      <c r="P37" s="118"/>
      <c r="Q37" s="118"/>
      <c r="R37" s="118"/>
      <c r="S37" s="118"/>
      <c r="T37" s="119" t="s">
        <v>16</v>
      </c>
      <c r="U37" s="120">
        <f>ROUND(K17*D15*AC14,3)</f>
        <v>0.337</v>
      </c>
      <c r="V37" s="120"/>
      <c r="W37" s="119"/>
      <c r="X37" s="121"/>
      <c r="Y37" s="122">
        <f>ROUND(K18+K17/2-K19,3)</f>
        <v>0.538</v>
      </c>
      <c r="Z37" s="120"/>
      <c r="AA37" s="120"/>
      <c r="AB37" s="121"/>
      <c r="AC37" s="122">
        <f>-ROUND(U37*Y37,3)</f>
        <v>-0.181</v>
      </c>
      <c r="AD37" s="120"/>
      <c r="AE37" s="120"/>
      <c r="AF37" s="120"/>
      <c r="AG37" s="121"/>
      <c r="AH37" s="121"/>
    </row>
    <row r="38" spans="1:34" ht="22.5" customHeight="1" thickBot="1" thickTop="1">
      <c r="A38" s="2"/>
      <c r="B38" s="195" t="s">
        <v>111</v>
      </c>
      <c r="C38" s="195"/>
      <c r="D38" s="195"/>
      <c r="E38" s="195"/>
      <c r="F38" s="196"/>
      <c r="G38" s="40"/>
      <c r="H38" s="41"/>
      <c r="I38" s="41"/>
      <c r="J38" s="41"/>
      <c r="K38" s="41"/>
      <c r="L38" s="41"/>
      <c r="M38" s="42"/>
      <c r="N38" s="42"/>
      <c r="O38" s="42"/>
      <c r="P38" s="42"/>
      <c r="Q38" s="42"/>
      <c r="R38" s="42"/>
      <c r="S38" s="42"/>
      <c r="T38" s="43"/>
      <c r="U38" s="44">
        <f>SUM(U33:U37)</f>
        <v>9.460999999999999</v>
      </c>
      <c r="V38" s="44"/>
      <c r="W38" s="43"/>
      <c r="X38" s="45"/>
      <c r="Y38" s="46" t="s">
        <v>112</v>
      </c>
      <c r="Z38" s="44"/>
      <c r="AA38" s="44"/>
      <c r="AB38" s="45"/>
      <c r="AC38" s="46">
        <f>SUM(AC33:AC37)</f>
        <v>-7.285</v>
      </c>
      <c r="AD38" s="44"/>
      <c r="AE38" s="44"/>
      <c r="AF38" s="44"/>
      <c r="AG38" s="45"/>
      <c r="AH38" s="45"/>
    </row>
    <row r="39" spans="1:34" ht="22.5" customHeight="1" thickTop="1">
      <c r="A39" s="2"/>
      <c r="B39" s="189">
        <v>6</v>
      </c>
      <c r="C39" s="189"/>
      <c r="D39" s="189"/>
      <c r="E39" s="189"/>
      <c r="F39" s="190"/>
      <c r="G39" s="30" t="str">
        <f>K14+K15+K16+K17+K18-K19&amp;" × "&amp;D14&amp;" × "&amp;AC14</f>
        <v>0.94 × 0.25 × 24.5</v>
      </c>
      <c r="H39" s="11"/>
      <c r="I39" s="11"/>
      <c r="J39" s="11"/>
      <c r="K39" s="11"/>
      <c r="L39" s="11"/>
      <c r="T39" s="15" t="s">
        <v>16</v>
      </c>
      <c r="U39" s="31">
        <f>ROUND((K14+K15+K16+K17+K18-K19)*D14*AC14,3)</f>
        <v>5.758</v>
      </c>
      <c r="V39" s="31"/>
      <c r="W39" s="15"/>
      <c r="X39" s="6"/>
      <c r="Y39" s="32">
        <f>ROUND((K14+K15+K16+K17+K18-K19)/2,3)</f>
        <v>0.47</v>
      </c>
      <c r="Z39" s="31"/>
      <c r="AA39" s="31"/>
      <c r="AB39" s="6"/>
      <c r="AC39" s="32">
        <f>-ROUND(U39*Y39,3)</f>
        <v>-2.706</v>
      </c>
      <c r="AD39" s="31"/>
      <c r="AE39" s="31"/>
      <c r="AF39" s="31"/>
      <c r="AG39" s="6"/>
      <c r="AH39" s="6"/>
    </row>
    <row r="40" spans="1:34" ht="22.5" customHeight="1">
      <c r="A40" s="2"/>
      <c r="B40" s="191">
        <v>7</v>
      </c>
      <c r="C40" s="191"/>
      <c r="D40" s="191"/>
      <c r="E40" s="191"/>
      <c r="F40" s="192"/>
      <c r="G40" s="33" t="str">
        <f>K18-K19&amp;" × "&amp;D19&amp;" × "&amp;AC15</f>
        <v>0.475 × 0.08 × 22.5</v>
      </c>
      <c r="H40" s="34"/>
      <c r="I40" s="34"/>
      <c r="J40" s="34"/>
      <c r="K40" s="34"/>
      <c r="L40" s="34"/>
      <c r="M40" s="35"/>
      <c r="N40" s="35"/>
      <c r="O40" s="35"/>
      <c r="P40" s="35"/>
      <c r="Q40" s="35"/>
      <c r="R40" s="35"/>
      <c r="S40" s="35"/>
      <c r="T40" s="36" t="s">
        <v>16</v>
      </c>
      <c r="U40" s="37">
        <f>ROUND((K18-K19)*D19*AC15,3)</f>
        <v>0.855</v>
      </c>
      <c r="V40" s="37"/>
      <c r="W40" s="36"/>
      <c r="X40" s="38"/>
      <c r="Y40" s="39">
        <f>ROUND((K18-K19)/2,3)</f>
        <v>0.238</v>
      </c>
      <c r="Z40" s="37"/>
      <c r="AA40" s="37"/>
      <c r="AB40" s="38"/>
      <c r="AC40" s="39">
        <f>-ROUND(U40*Y40,3)</f>
        <v>-0.203</v>
      </c>
      <c r="AD40" s="37"/>
      <c r="AE40" s="37"/>
      <c r="AF40" s="37"/>
      <c r="AG40" s="38"/>
      <c r="AH40" s="38"/>
    </row>
    <row r="41" spans="1:34" ht="22.5" customHeight="1">
      <c r="A41" s="2"/>
      <c r="B41" s="189">
        <v>8</v>
      </c>
      <c r="C41" s="189"/>
      <c r="D41" s="189"/>
      <c r="E41" s="189"/>
      <c r="F41" s="190"/>
      <c r="G41" s="30" t="str">
        <f>"½ × "&amp;K21&amp;" × "&amp;D18-D14&amp;" × "&amp;AC14</f>
        <v>½ × 0.88 × 0.05 × 24.5</v>
      </c>
      <c r="H41" s="11"/>
      <c r="I41" s="11"/>
      <c r="J41" s="11"/>
      <c r="K41" s="11"/>
      <c r="L41" s="11"/>
      <c r="T41" s="15" t="s">
        <v>16</v>
      </c>
      <c r="U41" s="31">
        <f>ROUND(0.5*K21*(D18-D14)*AC14,3)</f>
        <v>0.539</v>
      </c>
      <c r="V41" s="31"/>
      <c r="W41" s="15"/>
      <c r="X41" s="6"/>
      <c r="Y41" s="32">
        <f>ROUND((K20-K19)+(K21)/3,3)</f>
        <v>0.353</v>
      </c>
      <c r="Z41" s="31"/>
      <c r="AA41" s="31"/>
      <c r="AB41" s="6"/>
      <c r="AC41" s="32">
        <f>-ROUND(U41*Y41,3)</f>
        <v>-0.19</v>
      </c>
      <c r="AD41" s="31"/>
      <c r="AE41" s="31"/>
      <c r="AF41" s="31"/>
      <c r="AG41" s="6"/>
      <c r="AH41" s="6"/>
    </row>
    <row r="42" spans="1:34" ht="22.5" customHeight="1">
      <c r="A42" s="2"/>
      <c r="B42" s="191">
        <v>9</v>
      </c>
      <c r="C42" s="191"/>
      <c r="D42" s="191"/>
      <c r="E42" s="191"/>
      <c r="F42" s="192"/>
      <c r="G42" s="33" t="str">
        <f>K20-K19&amp;" × "&amp;D18-D14&amp;" × "&amp;AC14</f>
        <v>0.06 × 0.05 × 24.5</v>
      </c>
      <c r="H42" s="34"/>
      <c r="I42" s="34"/>
      <c r="J42" s="34"/>
      <c r="K42" s="34"/>
      <c r="L42" s="34"/>
      <c r="M42" s="35"/>
      <c r="N42" s="35"/>
      <c r="O42" s="35"/>
      <c r="P42" s="35"/>
      <c r="Q42" s="35"/>
      <c r="R42" s="35"/>
      <c r="S42" s="35"/>
      <c r="T42" s="36" t="s">
        <v>16</v>
      </c>
      <c r="U42" s="37">
        <f>(K20-K19)*(D18-D14)*AC14</f>
        <v>0.07349999999999998</v>
      </c>
      <c r="V42" s="37"/>
      <c r="W42" s="36"/>
      <c r="X42" s="38"/>
      <c r="Y42" s="39">
        <f>(K20-K19)/2</f>
        <v>0.03</v>
      </c>
      <c r="Z42" s="37"/>
      <c r="AA42" s="37"/>
      <c r="AB42" s="38"/>
      <c r="AC42" s="47">
        <f>-U42*Y42</f>
        <v>-0.0022049999999999995</v>
      </c>
      <c r="AD42" s="48"/>
      <c r="AE42" s="48"/>
      <c r="AF42" s="48"/>
      <c r="AG42" s="38"/>
      <c r="AH42" s="38"/>
    </row>
    <row r="43" spans="1:34" ht="22.5" customHeight="1" thickBot="1">
      <c r="A43" s="2"/>
      <c r="B43" s="198" t="s">
        <v>17</v>
      </c>
      <c r="C43" s="198"/>
      <c r="D43" s="198"/>
      <c r="E43" s="198"/>
      <c r="F43" s="199"/>
      <c r="G43" s="49"/>
      <c r="H43" s="21"/>
      <c r="I43" s="21"/>
      <c r="J43" s="21"/>
      <c r="K43" s="21"/>
      <c r="L43" s="21"/>
      <c r="M43" s="22"/>
      <c r="N43" s="22"/>
      <c r="O43" s="22"/>
      <c r="P43" s="22"/>
      <c r="Q43" s="22"/>
      <c r="R43" s="22"/>
      <c r="S43" s="22"/>
      <c r="T43" s="50"/>
      <c r="U43" s="51">
        <f>ROUND(SUM(U38:U42),3)</f>
        <v>16.687</v>
      </c>
      <c r="V43" s="51"/>
      <c r="W43" s="50"/>
      <c r="X43" s="52"/>
      <c r="Y43" s="53" t="s">
        <v>112</v>
      </c>
      <c r="Z43" s="51"/>
      <c r="AA43" s="51"/>
      <c r="AB43" s="52"/>
      <c r="AC43" s="53">
        <f>ROUND(SUM(AC38:AC42),3)</f>
        <v>-10.386</v>
      </c>
      <c r="AD43" s="51"/>
      <c r="AE43" s="51"/>
      <c r="AF43" s="51"/>
      <c r="AG43" s="52"/>
      <c r="AH43" s="52"/>
    </row>
    <row r="44" spans="1:34" ht="22.5" customHeight="1">
      <c r="A44" s="2"/>
      <c r="B44" s="2"/>
      <c r="C44" s="2"/>
      <c r="D44" s="2"/>
      <c r="E44" s="2"/>
      <c r="G44" s="2"/>
      <c r="H44" s="2"/>
      <c r="I44" s="2"/>
      <c r="J44" s="2"/>
      <c r="K44" s="2"/>
      <c r="L44" s="2"/>
      <c r="M44" s="2"/>
      <c r="N44" s="2"/>
      <c r="O44" s="2"/>
      <c r="P44" s="2"/>
      <c r="Z44" s="54" t="str">
        <f>"∴ Md = "&amp;AC43&amp;" kN·m "</f>
        <v>∴ Md = -10.386 kN·m </v>
      </c>
      <c r="AA44" s="54"/>
      <c r="AB44" s="54"/>
      <c r="AC44" s="54"/>
      <c r="AD44" s="54"/>
      <c r="AE44" s="54"/>
      <c r="AF44" s="54"/>
      <c r="AG44" s="54"/>
      <c r="AH44" s="54"/>
    </row>
    <row r="45" spans="1:12" ht="22.5" customHeight="1">
      <c r="A45" s="2"/>
      <c r="B45" s="2" t="s">
        <v>113</v>
      </c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34" ht="22.5" customHeight="1">
      <c r="A46" s="2"/>
      <c r="B46" s="2"/>
      <c r="C46" s="3" t="s">
        <v>114</v>
      </c>
      <c r="O46" s="3" t="s">
        <v>99</v>
      </c>
      <c r="P46" s="2" t="s">
        <v>115</v>
      </c>
      <c r="S46" s="3" t="s">
        <v>99</v>
      </c>
      <c r="T46" s="55">
        <f>ABS(AC38)</f>
        <v>7.285</v>
      </c>
      <c r="U46" s="55"/>
      <c r="V46" s="55"/>
      <c r="W46" s="55"/>
      <c r="X46" s="56" t="s">
        <v>116</v>
      </c>
      <c r="Y46" s="55">
        <f>U38</f>
        <v>9.460999999999999</v>
      </c>
      <c r="Z46" s="55"/>
      <c r="AA46" s="55"/>
      <c r="AB46" s="55"/>
      <c r="AC46" s="11" t="s">
        <v>99</v>
      </c>
      <c r="AD46" s="55">
        <f>T46/Y46</f>
        <v>0.7700031709121659</v>
      </c>
      <c r="AE46" s="55"/>
      <c r="AF46" s="55"/>
      <c r="AG46" s="55"/>
      <c r="AH46" s="11" t="s">
        <v>47</v>
      </c>
    </row>
    <row r="47" spans="1:33" ht="22.5" customHeight="1">
      <c r="A47" s="2"/>
      <c r="B47" s="2"/>
      <c r="C47" s="2" t="s">
        <v>117</v>
      </c>
      <c r="D47" s="2"/>
      <c r="H47" s="55"/>
      <c r="I47" s="55"/>
      <c r="J47" s="55"/>
      <c r="K47" s="55"/>
      <c r="L47" s="56"/>
      <c r="M47" s="55"/>
      <c r="N47" s="55"/>
      <c r="O47" s="55" t="s">
        <v>99</v>
      </c>
      <c r="P47" s="55"/>
      <c r="Q47" s="11" t="s">
        <v>118</v>
      </c>
      <c r="R47" s="55"/>
      <c r="S47" s="55">
        <f>K18-K19</f>
        <v>0.47500000000000003</v>
      </c>
      <c r="T47" s="55"/>
      <c r="U47" s="55"/>
      <c r="V47" s="11" t="s">
        <v>99</v>
      </c>
      <c r="W47" s="55">
        <f>AD46-S47</f>
        <v>0.2950031709121658</v>
      </c>
      <c r="X47" s="55"/>
      <c r="Y47" s="55"/>
      <c r="Z47" s="55"/>
      <c r="AA47" s="11" t="s">
        <v>47</v>
      </c>
      <c r="AB47" s="57"/>
      <c r="AC47" s="8"/>
      <c r="AG47" s="11"/>
    </row>
    <row r="48" spans="1:33" ht="22.5" customHeight="1">
      <c r="A48" s="2"/>
      <c r="B48" s="2"/>
      <c r="C48" s="2"/>
      <c r="D48" s="2"/>
      <c r="H48" s="55"/>
      <c r="I48" s="55"/>
      <c r="J48" s="55"/>
      <c r="K48" s="55"/>
      <c r="L48" s="56"/>
      <c r="M48" s="55"/>
      <c r="N48" s="55"/>
      <c r="O48" s="55"/>
      <c r="P48" s="55"/>
      <c r="Q48" s="11"/>
      <c r="R48" s="55"/>
      <c r="S48" s="55"/>
      <c r="T48" s="55"/>
      <c r="U48" s="55"/>
      <c r="V48" s="11"/>
      <c r="W48" s="55"/>
      <c r="X48" s="55"/>
      <c r="Y48" s="55"/>
      <c r="Z48" s="55"/>
      <c r="AA48" s="11"/>
      <c r="AG48" s="11"/>
    </row>
    <row r="49" spans="1:24" ht="22.5" customHeight="1">
      <c r="A49" s="2"/>
      <c r="B49" s="11" t="s">
        <v>119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1"/>
      <c r="X49" s="11"/>
    </row>
    <row r="50" spans="1:24" ht="22.5" customHeight="1">
      <c r="A50" s="2"/>
      <c r="B50" s="11"/>
      <c r="C50" s="2" t="str">
        <f>IF(AS14="(一般部)","","T荷重(衝撃を含む)による設計曲げモーメントとして8.2.4に規定する値の２倍を用いるものとする。")</f>
        <v>T荷重(衝撃を含む)による設計曲げモーメントとして8.2.4に規定する値の２倍を用いるものとする。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1"/>
      <c r="X50" s="11"/>
    </row>
    <row r="51" spans="1:24" ht="22.5" customHeight="1">
      <c r="A51" s="2"/>
      <c r="B51" s="58" t="s">
        <v>120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1"/>
      <c r="X51" s="11"/>
    </row>
    <row r="52" spans="1:24" ht="22.5" customHeight="1">
      <c r="A52" s="2"/>
      <c r="C52" s="2" t="str">
        <f>IF(U16="A",IF(AS14="(一般部)","Ml = - PL / ( 1.30L ＋ 0.25 ) × 0.80","Ml = - PL / ( 1.30L ＋ 0.25 ) × 0.80 × 2"),IF(AS14="(一般部)","Ml = - PL / ( 1.30L ＋ 0.25 )","Ml = - PL / ( 1.30L ＋ 0.25 ) × 2"))</f>
        <v>Ml = - PL / ( 1.30L ＋ 0.25 ) × 2</v>
      </c>
      <c r="D52" s="5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R52" s="2"/>
      <c r="S52" s="2"/>
      <c r="T52" s="2"/>
      <c r="U52" s="16"/>
      <c r="V52" s="11"/>
      <c r="W52" s="17" t="s">
        <v>121</v>
      </c>
      <c r="X52" s="2"/>
    </row>
    <row r="53" spans="4:37" ht="22.5" customHeight="1">
      <c r="D53" s="19" t="s">
        <v>99</v>
      </c>
      <c r="E53" s="59" t="s">
        <v>122</v>
      </c>
      <c r="F53" s="60">
        <f>X17</f>
        <v>100</v>
      </c>
      <c r="G53" s="6"/>
      <c r="H53" s="6"/>
      <c r="I53" s="2" t="s">
        <v>98</v>
      </c>
      <c r="J53" s="5">
        <f>P25</f>
        <v>0.22500000000000003</v>
      </c>
      <c r="K53" s="6"/>
      <c r="L53" s="6"/>
      <c r="M53" s="56" t="s">
        <v>116</v>
      </c>
      <c r="N53" s="3" t="s">
        <v>123</v>
      </c>
      <c r="O53" s="61">
        <v>1.3</v>
      </c>
      <c r="P53" s="61"/>
      <c r="Q53" s="61"/>
      <c r="R53" s="2" t="s">
        <v>98</v>
      </c>
      <c r="S53" s="5">
        <f>J53</f>
        <v>0.22500000000000003</v>
      </c>
      <c r="T53" s="6"/>
      <c r="U53" s="6"/>
      <c r="V53" s="3" t="s">
        <v>124</v>
      </c>
      <c r="W53" s="61">
        <v>0.25</v>
      </c>
      <c r="X53" s="61"/>
      <c r="Y53" s="61"/>
      <c r="Z53" s="3" t="s">
        <v>104</v>
      </c>
      <c r="AA53" s="3" t="str">
        <f>IF(U16="A",IF(AS14="(一般部)","× 0.80","× 0.80× 2 "),IF(AS14="(一般部)","","× 2"))</f>
        <v>× 2</v>
      </c>
      <c r="AF53" s="3" t="s">
        <v>99</v>
      </c>
      <c r="AG53" s="55">
        <f>IF(U16="A",IF(AS14="(一般部)",-F53*J53/(O53*S53+W53)*0.8,-F53*J53/(O53*S53+W53)*0.8*2),IF(U16="B",IF(AS14="(一般部)",-F53*J53/(O53*S53+W53),-F53*J53/(O53*S53+W53)*2),"ERROR"))</f>
        <v>-82.94930875576038</v>
      </c>
      <c r="AH53" s="55"/>
      <c r="AI53" s="55"/>
      <c r="AJ53" s="55"/>
      <c r="AK53" s="3" t="s">
        <v>18</v>
      </c>
    </row>
    <row r="54" spans="2:8" ht="22.5" customHeight="1">
      <c r="B54" s="58" t="s">
        <v>125</v>
      </c>
      <c r="H54" s="2"/>
    </row>
    <row r="55" spans="3:14" ht="22.5" customHeight="1">
      <c r="C55" s="2" t="str">
        <f>IF(U16="A",IF(AS14="(一般部)","Ml = ( 0.15L ＋ 0.13 ) P × 0.80","Ml = ( 0.15L ＋ 0.13 ) P × 0.80 × 2"),IF(AS14="(一般部)","Ml = ( 0.15L ＋ 0.13 ) P","Ml = ( 0.15L ＋ 0.13 ) P × 2"))</f>
        <v>Ml = ( 0.15L ＋ 0.13 ) P × 2</v>
      </c>
      <c r="D55" s="58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4:37" ht="22.5" customHeight="1">
      <c r="D56" s="19" t="s">
        <v>99</v>
      </c>
      <c r="E56" s="59" t="s">
        <v>123</v>
      </c>
      <c r="F56" s="62">
        <v>0.15</v>
      </c>
      <c r="G56" s="6"/>
      <c r="H56" s="6"/>
      <c r="I56" s="2" t="s">
        <v>98</v>
      </c>
      <c r="J56" s="5">
        <f>P25</f>
        <v>0.22500000000000003</v>
      </c>
      <c r="K56" s="6"/>
      <c r="L56" s="6"/>
      <c r="M56" s="3" t="s">
        <v>124</v>
      </c>
      <c r="N56" s="61">
        <v>0.13</v>
      </c>
      <c r="O56" s="61"/>
      <c r="P56" s="61"/>
      <c r="Q56" s="3" t="s">
        <v>104</v>
      </c>
      <c r="R56" s="2" t="s">
        <v>98</v>
      </c>
      <c r="S56" s="63">
        <f>X17</f>
        <v>100</v>
      </c>
      <c r="T56" s="61"/>
      <c r="U56" s="61"/>
      <c r="V56" s="3" t="str">
        <f>IF(U16="A",IF(AS14="(一般部)","× 0.80","× 0.80× 2"),IF(AS14="(一般部)","","× 2"))</f>
        <v>× 2</v>
      </c>
      <c r="AF56" s="3" t="s">
        <v>99</v>
      </c>
      <c r="AG56" s="55">
        <f>IF(U16="A",IF(AS14="(一般部)",(F56*J56+N56)*S56*0.8,(F56*J56+N56)*S56*0.8*2),IF(U16="B",IF(AS14="(一般部)",(F56*J56+N56)*S56,(F56*J56+N56)*S56*2),"ERROR"))</f>
        <v>32.75</v>
      </c>
      <c r="AH56" s="55"/>
      <c r="AI56" s="55"/>
      <c r="AJ56" s="55"/>
      <c r="AK56" s="3" t="s">
        <v>18</v>
      </c>
    </row>
    <row r="58" ht="22.5" customHeight="1">
      <c r="B58" s="3" t="s">
        <v>126</v>
      </c>
    </row>
    <row r="59" spans="3:16" ht="22.5" customHeight="1">
      <c r="C59" s="3" t="s">
        <v>127</v>
      </c>
      <c r="M59" s="202">
        <v>22</v>
      </c>
      <c r="N59" s="202"/>
      <c r="O59" s="202"/>
      <c r="P59" s="3" t="s">
        <v>128</v>
      </c>
    </row>
    <row r="60" spans="3:27" s="7" customFormat="1" ht="22.5" customHeight="1">
      <c r="C60" s="7" t="s">
        <v>129</v>
      </c>
      <c r="J60" s="79">
        <f>D15+D16+D17-D19</f>
        <v>1.0999999999999999</v>
      </c>
      <c r="K60" s="79"/>
      <c r="L60" s="79"/>
      <c r="M60" s="7" t="s">
        <v>124</v>
      </c>
      <c r="N60" s="79">
        <f>D19</f>
        <v>0.08</v>
      </c>
      <c r="O60" s="79"/>
      <c r="P60" s="79"/>
      <c r="Q60" s="7" t="s">
        <v>124</v>
      </c>
      <c r="R60" s="79">
        <f>D14</f>
        <v>0.25</v>
      </c>
      <c r="S60" s="79"/>
      <c r="T60" s="79"/>
      <c r="U60" s="80" t="s">
        <v>116</v>
      </c>
      <c r="V60" s="81">
        <v>2</v>
      </c>
      <c r="W60" s="7" t="s">
        <v>99</v>
      </c>
      <c r="X60" s="79">
        <f>J60+N60+R60/2</f>
        <v>1.305</v>
      </c>
      <c r="Y60" s="79"/>
      <c r="Z60" s="79"/>
      <c r="AA60" s="7" t="s">
        <v>47</v>
      </c>
    </row>
    <row r="61" spans="3:18" ht="22.5" customHeight="1">
      <c r="C61" s="3" t="s">
        <v>130</v>
      </c>
      <c r="F61" s="61">
        <f>-M59</f>
        <v>-22</v>
      </c>
      <c r="G61" s="61"/>
      <c r="H61" s="61"/>
      <c r="I61" s="2" t="s">
        <v>98</v>
      </c>
      <c r="J61" s="55">
        <f>X60</f>
        <v>1.305</v>
      </c>
      <c r="K61" s="55"/>
      <c r="L61" s="55"/>
      <c r="M61" s="3" t="s">
        <v>99</v>
      </c>
      <c r="N61" s="55">
        <f>F61*J61</f>
        <v>-28.709999999999997</v>
      </c>
      <c r="O61" s="55"/>
      <c r="P61" s="55"/>
      <c r="Q61" s="55"/>
      <c r="R61" s="3" t="s">
        <v>18</v>
      </c>
    </row>
    <row r="63" ht="22.5" customHeight="1">
      <c r="B63" s="3" t="s">
        <v>131</v>
      </c>
    </row>
    <row r="64" spans="3:16" ht="22.5" customHeight="1">
      <c r="C64" s="3" t="s">
        <v>132</v>
      </c>
      <c r="I64" s="202">
        <v>3</v>
      </c>
      <c r="J64" s="202"/>
      <c r="K64" s="202"/>
      <c r="L64" s="3" t="s">
        <v>133</v>
      </c>
      <c r="P64" s="3" t="s">
        <v>134</v>
      </c>
    </row>
    <row r="65" spans="3:29" ht="22.5" customHeight="1">
      <c r="C65" s="3" t="s">
        <v>135</v>
      </c>
      <c r="J65" s="55">
        <f>D15+D16+D17-D19</f>
        <v>1.0999999999999999</v>
      </c>
      <c r="K65" s="55"/>
      <c r="L65" s="55"/>
      <c r="M65" s="56" t="s">
        <v>116</v>
      </c>
      <c r="N65" s="59">
        <v>2</v>
      </c>
      <c r="O65" s="3" t="s">
        <v>124</v>
      </c>
      <c r="P65" s="55">
        <f>D19</f>
        <v>0.08</v>
      </c>
      <c r="Q65" s="55"/>
      <c r="R65" s="55"/>
      <c r="S65" s="3" t="s">
        <v>124</v>
      </c>
      <c r="T65" s="55">
        <f>D14</f>
        <v>0.25</v>
      </c>
      <c r="U65" s="55"/>
      <c r="V65" s="55"/>
      <c r="W65" s="56" t="s">
        <v>116</v>
      </c>
      <c r="X65" s="59">
        <v>2</v>
      </c>
      <c r="Y65" s="3" t="s">
        <v>99</v>
      </c>
      <c r="Z65" s="55">
        <f>J65/2+P65+T65/2</f>
        <v>0.7549999999999999</v>
      </c>
      <c r="AA65" s="55"/>
      <c r="AB65" s="55"/>
      <c r="AC65" s="3" t="s">
        <v>47</v>
      </c>
    </row>
    <row r="66" spans="3:22" ht="22.5" customHeight="1">
      <c r="C66" s="3" t="s">
        <v>136</v>
      </c>
      <c r="E66" s="61">
        <f>-I64</f>
        <v>-3</v>
      </c>
      <c r="F66" s="61"/>
      <c r="G66" s="61"/>
      <c r="H66" s="2" t="s">
        <v>98</v>
      </c>
      <c r="I66" s="55">
        <f>J65</f>
        <v>1.0999999999999999</v>
      </c>
      <c r="J66" s="6"/>
      <c r="K66" s="55"/>
      <c r="L66" s="55"/>
      <c r="M66" s="2" t="s">
        <v>98</v>
      </c>
      <c r="N66" s="55">
        <f>Z65</f>
        <v>0.7549999999999999</v>
      </c>
      <c r="O66" s="55"/>
      <c r="P66" s="55"/>
      <c r="Q66" s="3" t="s">
        <v>99</v>
      </c>
      <c r="R66" s="205">
        <f>E66*I66*N66</f>
        <v>-2.4914999999999994</v>
      </c>
      <c r="S66" s="205"/>
      <c r="T66" s="205"/>
      <c r="U66" s="205"/>
      <c r="V66" s="3" t="s">
        <v>137</v>
      </c>
    </row>
    <row r="68" ht="22.5" customHeight="1">
      <c r="B68" s="3" t="s">
        <v>138</v>
      </c>
    </row>
    <row r="69" spans="3:11" ht="22.5" customHeight="1">
      <c r="C69" s="2" t="s">
        <v>139</v>
      </c>
      <c r="D69" s="2"/>
      <c r="E69" s="2"/>
      <c r="F69" s="2"/>
      <c r="G69" s="2"/>
      <c r="H69" s="2"/>
      <c r="I69" s="2"/>
      <c r="J69" s="142" t="s">
        <v>40</v>
      </c>
      <c r="K69" s="2"/>
    </row>
    <row r="70" spans="3:38" ht="22.5" customHeight="1">
      <c r="C70" s="2" t="s">
        <v>140</v>
      </c>
      <c r="D70" s="64"/>
      <c r="E70" s="65"/>
      <c r="F70" s="65"/>
      <c r="G70" s="65"/>
      <c r="H70" s="65"/>
      <c r="I70" s="65"/>
      <c r="J70" s="55"/>
      <c r="K70" s="55"/>
      <c r="N70" s="143" t="s">
        <v>141</v>
      </c>
      <c r="O70" s="66"/>
      <c r="Q70" s="203">
        <v>24</v>
      </c>
      <c r="R70" s="163"/>
      <c r="S70" s="163"/>
      <c r="T70" s="65" t="s">
        <v>142</v>
      </c>
      <c r="U70" s="67"/>
      <c r="X70" s="74" t="s">
        <v>143</v>
      </c>
      <c r="Y70" s="74"/>
      <c r="Z70" s="74"/>
      <c r="AA70" s="74"/>
      <c r="AB70" s="74"/>
      <c r="AC70" s="74"/>
      <c r="AD70" s="74"/>
      <c r="AE70" s="74"/>
      <c r="AF70" s="73"/>
      <c r="AG70" s="68"/>
      <c r="AI70" s="144" t="s">
        <v>144</v>
      </c>
      <c r="AJ70" s="74"/>
      <c r="AK70" s="204">
        <v>7</v>
      </c>
      <c r="AL70" s="204"/>
    </row>
    <row r="71" spans="3:33" ht="22.5" customHeight="1">
      <c r="C71" s="3" t="s">
        <v>145</v>
      </c>
      <c r="N71" s="143" t="s">
        <v>146</v>
      </c>
      <c r="Q71" s="143" t="s">
        <v>147</v>
      </c>
      <c r="R71" s="15"/>
      <c r="S71" s="15"/>
      <c r="T71" s="20">
        <f>IF(J69="合成",3.5,IF(J69="非合成",3,"ERROR"))</f>
        <v>3</v>
      </c>
      <c r="U71" s="20"/>
      <c r="V71" s="69" t="s">
        <v>99</v>
      </c>
      <c r="W71" s="63">
        <f>Q70</f>
        <v>24</v>
      </c>
      <c r="X71" s="63"/>
      <c r="Y71" s="56" t="s">
        <v>116</v>
      </c>
      <c r="Z71" s="20">
        <f>T71</f>
        <v>3</v>
      </c>
      <c r="AA71" s="20"/>
      <c r="AB71" s="3" t="s">
        <v>99</v>
      </c>
      <c r="AC71" s="61">
        <f>W71/Z71</f>
        <v>8</v>
      </c>
      <c r="AD71" s="61"/>
      <c r="AE71" s="61"/>
      <c r="AF71" s="65" t="s">
        <v>142</v>
      </c>
      <c r="AG71" s="67"/>
    </row>
    <row r="72" spans="3:26" ht="22.5" customHeight="1">
      <c r="C72" s="74" t="s">
        <v>148</v>
      </c>
      <c r="D72" s="74"/>
      <c r="E72" s="74"/>
      <c r="F72" s="74"/>
      <c r="G72" s="74" t="s">
        <v>149</v>
      </c>
      <c r="H72" s="74"/>
      <c r="I72" s="163">
        <v>295</v>
      </c>
      <c r="J72" s="163"/>
      <c r="K72" s="74" t="s">
        <v>104</v>
      </c>
      <c r="N72" s="143" t="s">
        <v>150</v>
      </c>
      <c r="O72" s="74"/>
      <c r="Q72" s="70">
        <v>140</v>
      </c>
      <c r="R72" s="15"/>
      <c r="S72" s="15"/>
      <c r="T72" s="71" t="s">
        <v>123</v>
      </c>
      <c r="U72" s="70">
        <v>120</v>
      </c>
      <c r="V72" s="15"/>
      <c r="W72" s="3" t="s">
        <v>104</v>
      </c>
      <c r="X72" s="65" t="s">
        <v>142</v>
      </c>
      <c r="Z72" s="67"/>
    </row>
    <row r="73" spans="3:24" s="7" customFormat="1" ht="22.5" customHeight="1">
      <c r="C73" s="145"/>
      <c r="D73" s="145"/>
      <c r="E73" s="145"/>
      <c r="F73" s="145"/>
      <c r="G73" s="145"/>
      <c r="H73" s="145"/>
      <c r="I73" s="146"/>
      <c r="J73" s="146"/>
      <c r="K73" s="145"/>
      <c r="L73" s="147"/>
      <c r="M73" s="145"/>
      <c r="O73" s="70"/>
      <c r="P73" s="70"/>
      <c r="Q73" s="70"/>
      <c r="R73" s="82" t="s">
        <v>151</v>
      </c>
      <c r="S73" s="70"/>
      <c r="T73" s="70"/>
      <c r="U73" s="70"/>
      <c r="W73" s="83"/>
      <c r="X73" s="84"/>
    </row>
    <row r="74" ht="22.5" customHeight="1">
      <c r="C74" s="56" t="s">
        <v>152</v>
      </c>
    </row>
    <row r="75" spans="24:33" s="74" customFormat="1" ht="16.5" customHeight="1">
      <c r="X75" s="74" t="s">
        <v>112</v>
      </c>
      <c r="AB75" s="74" t="s">
        <v>112</v>
      </c>
      <c r="AG75" s="74" t="s">
        <v>112</v>
      </c>
    </row>
    <row r="76" spans="4:25" s="2" customFormat="1" ht="21.75" customHeight="1">
      <c r="D76" s="2" t="s">
        <v>153</v>
      </c>
      <c r="M76" s="74" t="s">
        <v>154</v>
      </c>
      <c r="N76" s="74"/>
      <c r="O76" s="70">
        <f>D18*100</f>
        <v>30</v>
      </c>
      <c r="P76" s="15"/>
      <c r="Q76" s="15"/>
      <c r="R76" s="74" t="s">
        <v>155</v>
      </c>
      <c r="S76" s="11"/>
      <c r="W76" s="11"/>
      <c r="X76" s="11"/>
      <c r="Y76" s="11"/>
    </row>
    <row r="77" spans="4:25" s="2" customFormat="1" ht="21.75" customHeight="1">
      <c r="D77" s="2" t="s">
        <v>156</v>
      </c>
      <c r="M77" s="72" t="s">
        <v>157</v>
      </c>
      <c r="N77" s="68"/>
      <c r="O77" s="70">
        <f>O76-O79</f>
        <v>26</v>
      </c>
      <c r="P77" s="15"/>
      <c r="Q77" s="15"/>
      <c r="R77" s="74" t="s">
        <v>155</v>
      </c>
      <c r="S77" s="11"/>
      <c r="W77" s="11"/>
      <c r="X77" s="11"/>
      <c r="Y77" s="11"/>
    </row>
    <row r="78" spans="4:25" s="2" customFormat="1" ht="21.75" customHeight="1">
      <c r="D78" s="8" t="s">
        <v>158</v>
      </c>
      <c r="E78" s="18"/>
      <c r="F78" s="148"/>
      <c r="G78" s="18"/>
      <c r="H78" s="18"/>
      <c r="M78" s="73" t="s">
        <v>159</v>
      </c>
      <c r="N78" s="68"/>
      <c r="O78" s="203">
        <v>4</v>
      </c>
      <c r="P78" s="163"/>
      <c r="Q78" s="163"/>
      <c r="R78" s="74" t="s">
        <v>155</v>
      </c>
      <c r="S78" s="11"/>
      <c r="W78" s="11"/>
      <c r="X78" s="11"/>
      <c r="Y78" s="11"/>
    </row>
    <row r="79" spans="4:25" s="2" customFormat="1" ht="21.75" customHeight="1">
      <c r="D79" s="8" t="s">
        <v>160</v>
      </c>
      <c r="G79" s="149"/>
      <c r="H79" s="149"/>
      <c r="M79" s="73" t="s">
        <v>161</v>
      </c>
      <c r="N79" s="68"/>
      <c r="O79" s="203">
        <v>4</v>
      </c>
      <c r="P79" s="163"/>
      <c r="Q79" s="163"/>
      <c r="R79" s="74" t="s">
        <v>155</v>
      </c>
      <c r="S79" s="11"/>
      <c r="W79" s="11"/>
      <c r="X79" s="11"/>
      <c r="Y79" s="11"/>
    </row>
    <row r="80" spans="4:18" s="2" customFormat="1" ht="21.75" customHeight="1">
      <c r="D80" s="2" t="s">
        <v>162</v>
      </c>
      <c r="M80" s="18" t="s">
        <v>163</v>
      </c>
      <c r="N80" s="18"/>
      <c r="O80" s="70">
        <v>100</v>
      </c>
      <c r="P80" s="15"/>
      <c r="Q80" s="15"/>
      <c r="R80" s="74" t="s">
        <v>155</v>
      </c>
    </row>
    <row r="81" spans="4:40" s="2" customFormat="1" ht="21.75" customHeight="1">
      <c r="D81" s="74" t="s">
        <v>164</v>
      </c>
      <c r="E81" s="74"/>
      <c r="F81" s="74"/>
      <c r="G81" s="74"/>
      <c r="H81" s="74"/>
      <c r="J81" s="74" t="s">
        <v>19</v>
      </c>
      <c r="K81" s="74"/>
      <c r="L81" s="73">
        <v>19</v>
      </c>
      <c r="M81" s="68"/>
      <c r="N81" s="144"/>
      <c r="O81" s="74"/>
      <c r="P81" s="74" t="s">
        <v>20</v>
      </c>
      <c r="Q81" s="74"/>
      <c r="S81" s="203">
        <v>125</v>
      </c>
      <c r="T81" s="163"/>
      <c r="U81" s="163"/>
      <c r="V81" s="74" t="s">
        <v>100</v>
      </c>
      <c r="Y81" s="74" t="s">
        <v>165</v>
      </c>
      <c r="Z81" s="74"/>
      <c r="AA81" s="74"/>
      <c r="AB81" s="74"/>
      <c r="AC81" s="74"/>
      <c r="AD81" s="74"/>
      <c r="AE81" s="74"/>
      <c r="AH81" s="74" t="s">
        <v>166</v>
      </c>
      <c r="AI81" s="74"/>
      <c r="AJ81" s="75">
        <f>IF(L81=13,1.267*1000/S81,IF(L81=16,1.986*1000/S81,IF(L81=19,2.865*1000/S81,IF(L81=22,3.871*1000/S81,IF(L81=25,5.067*1000/S81,IF(L81=29,6.424*1000/S81,7.942*1000/S81))))))</f>
        <v>22.92</v>
      </c>
      <c r="AK81" s="153"/>
      <c r="AL81" s="153"/>
      <c r="AM81" s="153"/>
      <c r="AN81" s="74" t="s">
        <v>167</v>
      </c>
    </row>
    <row r="82" spans="4:40" s="2" customFormat="1" ht="21.75" customHeight="1">
      <c r="D82" s="74" t="s">
        <v>168</v>
      </c>
      <c r="E82" s="74"/>
      <c r="F82" s="74"/>
      <c r="G82" s="74"/>
      <c r="H82" s="74"/>
      <c r="I82" s="74"/>
      <c r="J82" s="74" t="s">
        <v>19</v>
      </c>
      <c r="K82" s="74"/>
      <c r="L82" s="73">
        <v>19</v>
      </c>
      <c r="M82" s="68"/>
      <c r="N82" s="144"/>
      <c r="O82" s="74"/>
      <c r="P82" s="74" t="s">
        <v>20</v>
      </c>
      <c r="Q82" s="74"/>
      <c r="S82" s="203">
        <v>250</v>
      </c>
      <c r="T82" s="163"/>
      <c r="U82" s="163"/>
      <c r="V82" s="74" t="s">
        <v>100</v>
      </c>
      <c r="X82" s="74"/>
      <c r="Y82" s="74" t="s">
        <v>169</v>
      </c>
      <c r="Z82" s="74"/>
      <c r="AA82" s="74"/>
      <c r="AB82" s="74"/>
      <c r="AC82" s="74"/>
      <c r="AD82" s="74"/>
      <c r="AE82" s="74"/>
      <c r="AH82" s="74" t="s">
        <v>170</v>
      </c>
      <c r="AI82" s="74"/>
      <c r="AJ82" s="75">
        <f>IF(L82=13,1.267*1000/S82,IF(L82=16,1.986*1000/S82,IF(L82=19,2.865*1000/S82,IF(L82=22,3.871*1000/S82,IF(L82=25,5.067*1000/S82,IF(L82=29,6.424*1000/S82,7.942*1000/S82))))))</f>
        <v>11.46</v>
      </c>
      <c r="AK82" s="153"/>
      <c r="AL82" s="153"/>
      <c r="AM82" s="153"/>
      <c r="AN82" s="74" t="s">
        <v>167</v>
      </c>
    </row>
    <row r="83" spans="3:13" s="74" customFormat="1" ht="16.5" customHeight="1">
      <c r="C83" s="74" t="s">
        <v>171</v>
      </c>
      <c r="K83" s="154"/>
      <c r="L83" s="154"/>
      <c r="M83" s="154"/>
    </row>
    <row r="84" spans="4:13" s="74" customFormat="1" ht="16.5" customHeight="1">
      <c r="D84" s="74" t="s">
        <v>172</v>
      </c>
      <c r="K84" s="154"/>
      <c r="L84" s="154"/>
      <c r="M84" s="154"/>
    </row>
    <row r="85" spans="5:13" s="74" customFormat="1" ht="16.5" customHeight="1">
      <c r="E85" s="74" t="str">
        <f>"= -"&amp;$AK$70&amp;"×("&amp;ROUND(AJ81,2)&amp;" + "&amp;ROUND(AJ82,2)&amp;")/100 + √[ {"&amp;$AK$70&amp;"×("&amp;ROUND(AJ81,2)&amp;" + "&amp;ROUND(AJ82,2)&amp;")/100}^2 + 2×"&amp;$AK$70&amp;"×("&amp;O77&amp;"×"&amp;ROUND(AJ81,2)&amp;" + "&amp;O78&amp;"×"&amp;ROUND(AJ82,2)&amp;")/100 ]"</f>
        <v>= -7×(22.92 + 11.46)/100 + √[ {7×(22.92 + 11.46)/100}^2 + 2×7×(26×22.92 + 4×11.46)/100 ]</v>
      </c>
      <c r="K85" s="154"/>
      <c r="L85" s="154"/>
      <c r="M85" s="154"/>
    </row>
    <row r="86" spans="5:13" s="74" customFormat="1" ht="16.5" customHeight="1">
      <c r="E86" s="74" t="s">
        <v>99</v>
      </c>
      <c r="F86" s="61">
        <f>-$AK$70*(AJ81+AJ82)/100+SQRT(($AK$70*(AJ81+AJ82)/100)^2+2*$AK$70*(O77*AJ81+O78*AJ82)/100)</f>
        <v>7.372874605519461</v>
      </c>
      <c r="G86" s="55"/>
      <c r="H86" s="55"/>
      <c r="I86" s="74" t="s">
        <v>155</v>
      </c>
      <c r="K86" s="154"/>
      <c r="L86" s="154"/>
      <c r="M86" s="154"/>
    </row>
    <row r="87" spans="3:13" s="74" customFormat="1" ht="16.5" customHeight="1">
      <c r="C87" s="74" t="s">
        <v>173</v>
      </c>
      <c r="K87" s="154"/>
      <c r="L87" s="154"/>
      <c r="M87" s="154"/>
    </row>
    <row r="88" spans="4:13" s="74" customFormat="1" ht="16.5" customHeight="1">
      <c r="D88" s="74" t="s">
        <v>174</v>
      </c>
      <c r="K88" s="154"/>
      <c r="L88" s="154"/>
      <c r="M88" s="154"/>
    </row>
    <row r="89" spans="5:13" s="74" customFormat="1" ht="16.5" customHeight="1">
      <c r="E89" s="74" t="str">
        <f>"= ( 100 × "&amp;ROUND(F86,2)&amp;" / 2 ) × ( "&amp;O77&amp;" - "&amp;ROUND(F86,2)&amp;" / 3 ) + "&amp;$AK$70&amp;" × "&amp;ROUND(AJ82,2)&amp;" ×( "&amp;ROUND(F86,2)&amp;" - "&amp;O78&amp;" ) / "&amp;ROUND(F86,2)&amp;" ×( "&amp;O77&amp;" - "&amp;O78&amp;" )"</f>
        <v>= ( 100 × 7.37 / 2 ) × ( 26 - 7.37 / 3 ) + 7 × 11.46 ×( 7.37 - 4 ) / 7.37 ×( 26 - 4 )</v>
      </c>
      <c r="K89" s="154"/>
      <c r="L89" s="154"/>
      <c r="M89" s="154"/>
    </row>
    <row r="90" spans="5:13" s="74" customFormat="1" ht="16.5" customHeight="1">
      <c r="E90" s="74" t="s">
        <v>99</v>
      </c>
      <c r="F90" s="155">
        <f>(100*ROUND(F86,2)/2)*(O77-ROUND(F86,2)/3)+$AK$70*AJ82*(ROUND(F86,2)-O78)/ROUND(F86,2)*(O77-O78)</f>
        <v>9482.707587064675</v>
      </c>
      <c r="G90" s="155"/>
      <c r="H90" s="155"/>
      <c r="I90" s="155"/>
      <c r="J90" s="74" t="s">
        <v>175</v>
      </c>
      <c r="K90" s="154"/>
      <c r="L90" s="154"/>
      <c r="M90" s="154"/>
    </row>
    <row r="91" spans="3:13" s="74" customFormat="1" ht="16.5" customHeight="1">
      <c r="C91" s="74" t="s">
        <v>176</v>
      </c>
      <c r="K91" s="154"/>
      <c r="L91" s="154"/>
      <c r="M91" s="154"/>
    </row>
    <row r="92" spans="4:13" s="74" customFormat="1" ht="16.5" customHeight="1">
      <c r="D92" s="74" t="s">
        <v>177</v>
      </c>
      <c r="K92" s="154"/>
      <c r="L92" s="154"/>
      <c r="M92" s="154"/>
    </row>
    <row r="93" spans="4:13" s="74" customFormat="1" ht="16.5" customHeight="1">
      <c r="D93" s="137" t="str">
        <f>"= (1/"&amp;$AK$70&amp;")×( "&amp;ROUND(F86,2)&amp;" / ( "&amp;O77&amp;"- "&amp;ROUND(F86,2)&amp;" ))×"&amp;ROUND(F90,1)</f>
        <v>= (1/7)×( 7.37 / ( 26- 7.37 ))×9482.7</v>
      </c>
      <c r="K93" s="154"/>
      <c r="L93" s="154"/>
      <c r="M93" s="154"/>
    </row>
    <row r="94" spans="4:13" s="74" customFormat="1" ht="16.5" customHeight="1">
      <c r="D94" s="74" t="s">
        <v>99</v>
      </c>
      <c r="E94" s="155">
        <f>1/$AK$70*(ROUND(F86,2)/(O77-ROUND(F86,2)))*ROUND(F90,1)</f>
        <v>535.905981136416</v>
      </c>
      <c r="F94" s="155"/>
      <c r="G94" s="155"/>
      <c r="H94" s="155"/>
      <c r="I94" s="74" t="s">
        <v>175</v>
      </c>
      <c r="K94" s="154"/>
      <c r="L94" s="154"/>
      <c r="M94" s="154"/>
    </row>
    <row r="95" spans="11:13" s="74" customFormat="1" ht="16.5" customHeight="1">
      <c r="K95" s="154"/>
      <c r="L95" s="154"/>
      <c r="M95" s="154"/>
    </row>
    <row r="96" spans="3:23" s="74" customFormat="1" ht="16.5" customHeight="1">
      <c r="C96" s="74" t="s">
        <v>178</v>
      </c>
      <c r="K96" s="76" t="s">
        <v>179</v>
      </c>
      <c r="L96" s="154"/>
      <c r="M96" s="154"/>
      <c r="W96" s="156"/>
    </row>
    <row r="97" spans="3:17" s="74" customFormat="1" ht="16.5" customHeight="1">
      <c r="C97" s="74" t="s">
        <v>180</v>
      </c>
      <c r="K97" s="74" t="s">
        <v>181</v>
      </c>
      <c r="L97" s="154"/>
      <c r="M97" s="154"/>
      <c r="Q97" s="74" t="s">
        <v>182</v>
      </c>
    </row>
    <row r="98" spans="11:13" s="74" customFormat="1" ht="16.5" customHeight="1">
      <c r="K98" s="154"/>
      <c r="L98" s="154"/>
      <c r="M98" s="154"/>
    </row>
    <row r="99" spans="1:42" s="74" customFormat="1" ht="16.5" customHeight="1">
      <c r="A99" s="3"/>
      <c r="B99" s="3"/>
      <c r="C99" s="168" t="s">
        <v>183</v>
      </c>
      <c r="D99" s="168"/>
      <c r="E99" s="168"/>
      <c r="F99" s="168"/>
      <c r="G99" s="168"/>
      <c r="H99" s="168"/>
      <c r="I99" s="168"/>
      <c r="J99" s="168"/>
      <c r="K99" s="168"/>
      <c r="L99" s="176" t="s">
        <v>184</v>
      </c>
      <c r="M99" s="177"/>
      <c r="N99" s="177"/>
      <c r="O99" s="177"/>
      <c r="P99" s="178"/>
      <c r="Q99" s="168" t="s">
        <v>185</v>
      </c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 t="s">
        <v>186</v>
      </c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72" t="s">
        <v>187</v>
      </c>
      <c r="AN99" s="173"/>
      <c r="AO99" s="173"/>
      <c r="AP99" s="174"/>
    </row>
    <row r="100" spans="1:42" s="74" customFormat="1" ht="16.5" customHeight="1">
      <c r="A100" s="3"/>
      <c r="B100" s="3"/>
      <c r="C100" s="168"/>
      <c r="D100" s="168"/>
      <c r="E100" s="168"/>
      <c r="F100" s="168"/>
      <c r="G100" s="168"/>
      <c r="H100" s="168"/>
      <c r="I100" s="168"/>
      <c r="J100" s="168"/>
      <c r="K100" s="168"/>
      <c r="L100" s="179" t="s">
        <v>188</v>
      </c>
      <c r="M100" s="180"/>
      <c r="N100" s="180"/>
      <c r="O100" s="180"/>
      <c r="P100" s="181"/>
      <c r="Q100" s="168" t="s">
        <v>189</v>
      </c>
      <c r="R100" s="168"/>
      <c r="S100" s="168"/>
      <c r="T100" s="168"/>
      <c r="U100" s="168" t="s">
        <v>187</v>
      </c>
      <c r="V100" s="168"/>
      <c r="W100" s="168"/>
      <c r="X100" s="168"/>
      <c r="Y100" s="168" t="s">
        <v>190</v>
      </c>
      <c r="Z100" s="168"/>
      <c r="AA100" s="168"/>
      <c r="AB100" s="168" t="s">
        <v>189</v>
      </c>
      <c r="AC100" s="168"/>
      <c r="AD100" s="168"/>
      <c r="AE100" s="168"/>
      <c r="AF100" s="168" t="s">
        <v>187</v>
      </c>
      <c r="AG100" s="168"/>
      <c r="AH100" s="168"/>
      <c r="AI100" s="168"/>
      <c r="AJ100" s="168" t="s">
        <v>190</v>
      </c>
      <c r="AK100" s="168"/>
      <c r="AL100" s="168"/>
      <c r="AM100" s="151" t="s">
        <v>191</v>
      </c>
      <c r="AN100" s="152"/>
      <c r="AO100" s="152"/>
      <c r="AP100" s="134"/>
    </row>
    <row r="101" spans="1:42" s="74" customFormat="1" ht="22.5" customHeight="1">
      <c r="A101" s="3"/>
      <c r="B101" s="3"/>
      <c r="C101" s="167" t="s">
        <v>192</v>
      </c>
      <c r="D101" s="167"/>
      <c r="E101" s="167"/>
      <c r="F101" s="167"/>
      <c r="G101" s="167"/>
      <c r="H101" s="167"/>
      <c r="I101" s="167"/>
      <c r="J101" s="167"/>
      <c r="K101" s="167"/>
      <c r="L101" s="182">
        <f>AC43</f>
        <v>-10.386</v>
      </c>
      <c r="M101" s="183"/>
      <c r="N101" s="183"/>
      <c r="O101" s="183"/>
      <c r="P101" s="184"/>
      <c r="Q101" s="168" t="s">
        <v>122</v>
      </c>
      <c r="R101" s="168"/>
      <c r="S101" s="168"/>
      <c r="T101" s="168"/>
      <c r="U101" s="168" t="s">
        <v>122</v>
      </c>
      <c r="V101" s="168"/>
      <c r="W101" s="168"/>
      <c r="X101" s="168"/>
      <c r="Y101" s="168" t="s">
        <v>122</v>
      </c>
      <c r="Z101" s="168"/>
      <c r="AA101" s="168"/>
      <c r="AB101" s="168" t="s">
        <v>122</v>
      </c>
      <c r="AC101" s="168"/>
      <c r="AD101" s="168"/>
      <c r="AE101" s="168"/>
      <c r="AF101" s="168" t="s">
        <v>122</v>
      </c>
      <c r="AG101" s="168"/>
      <c r="AH101" s="168"/>
      <c r="AI101" s="168"/>
      <c r="AJ101" s="168" t="s">
        <v>122</v>
      </c>
      <c r="AK101" s="168"/>
      <c r="AL101" s="168"/>
      <c r="AM101" s="168" t="s">
        <v>122</v>
      </c>
      <c r="AN101" s="168"/>
      <c r="AO101" s="168"/>
      <c r="AP101" s="168"/>
    </row>
    <row r="102" spans="1:42" s="74" customFormat="1" ht="22.5" customHeight="1">
      <c r="A102" s="3"/>
      <c r="B102" s="3"/>
      <c r="C102" s="167" t="s">
        <v>193</v>
      </c>
      <c r="D102" s="167"/>
      <c r="E102" s="167"/>
      <c r="F102" s="167"/>
      <c r="G102" s="167"/>
      <c r="H102" s="167"/>
      <c r="I102" s="167"/>
      <c r="J102" s="167"/>
      <c r="K102" s="167"/>
      <c r="L102" s="169">
        <f>AG53</f>
        <v>-82.94930875576038</v>
      </c>
      <c r="M102" s="170"/>
      <c r="N102" s="170"/>
      <c r="O102" s="170"/>
      <c r="P102" s="171"/>
      <c r="Q102" s="168" t="s">
        <v>122</v>
      </c>
      <c r="R102" s="168"/>
      <c r="S102" s="168"/>
      <c r="T102" s="168"/>
      <c r="U102" s="168" t="s">
        <v>122</v>
      </c>
      <c r="V102" s="168"/>
      <c r="W102" s="168"/>
      <c r="X102" s="168"/>
      <c r="Y102" s="168" t="s">
        <v>122</v>
      </c>
      <c r="Z102" s="168"/>
      <c r="AA102" s="168"/>
      <c r="AB102" s="168" t="s">
        <v>122</v>
      </c>
      <c r="AC102" s="168"/>
      <c r="AD102" s="168"/>
      <c r="AE102" s="168"/>
      <c r="AF102" s="168" t="s">
        <v>122</v>
      </c>
      <c r="AG102" s="168"/>
      <c r="AH102" s="168"/>
      <c r="AI102" s="168"/>
      <c r="AJ102" s="168" t="s">
        <v>122</v>
      </c>
      <c r="AK102" s="168"/>
      <c r="AL102" s="168"/>
      <c r="AM102" s="168" t="s">
        <v>122</v>
      </c>
      <c r="AN102" s="168"/>
      <c r="AO102" s="168"/>
      <c r="AP102" s="168"/>
    </row>
    <row r="103" spans="3:42" ht="22.5" customHeight="1">
      <c r="C103" s="167" t="s">
        <v>194</v>
      </c>
      <c r="D103" s="167"/>
      <c r="E103" s="167"/>
      <c r="F103" s="167"/>
      <c r="G103" s="167"/>
      <c r="H103" s="167"/>
      <c r="I103" s="167"/>
      <c r="J103" s="167"/>
      <c r="K103" s="167"/>
      <c r="L103" s="169">
        <f>N61</f>
        <v>-28.709999999999997</v>
      </c>
      <c r="M103" s="170"/>
      <c r="N103" s="170"/>
      <c r="O103" s="170"/>
      <c r="P103" s="171"/>
      <c r="Q103" s="168" t="s">
        <v>122</v>
      </c>
      <c r="R103" s="168"/>
      <c r="S103" s="168"/>
      <c r="T103" s="168"/>
      <c r="U103" s="168" t="s">
        <v>122</v>
      </c>
      <c r="V103" s="168"/>
      <c r="W103" s="168"/>
      <c r="X103" s="168"/>
      <c r="Y103" s="168" t="s">
        <v>122</v>
      </c>
      <c r="Z103" s="168"/>
      <c r="AA103" s="168"/>
      <c r="AB103" s="168" t="s">
        <v>122</v>
      </c>
      <c r="AC103" s="168"/>
      <c r="AD103" s="168"/>
      <c r="AE103" s="168"/>
      <c r="AF103" s="168" t="s">
        <v>122</v>
      </c>
      <c r="AG103" s="168"/>
      <c r="AH103" s="168"/>
      <c r="AI103" s="168"/>
      <c r="AJ103" s="168" t="s">
        <v>122</v>
      </c>
      <c r="AK103" s="168"/>
      <c r="AL103" s="168"/>
      <c r="AM103" s="168" t="s">
        <v>122</v>
      </c>
      <c r="AN103" s="168"/>
      <c r="AO103" s="168"/>
      <c r="AP103" s="168"/>
    </row>
    <row r="104" spans="3:42" ht="22.5" customHeight="1">
      <c r="C104" s="167" t="s">
        <v>195</v>
      </c>
      <c r="D104" s="167"/>
      <c r="E104" s="167"/>
      <c r="F104" s="167"/>
      <c r="G104" s="167"/>
      <c r="H104" s="167"/>
      <c r="I104" s="167"/>
      <c r="J104" s="167"/>
      <c r="K104" s="167"/>
      <c r="L104" s="169">
        <f>R66</f>
        <v>-2.4914999999999994</v>
      </c>
      <c r="M104" s="170"/>
      <c r="N104" s="170"/>
      <c r="O104" s="170"/>
      <c r="P104" s="171"/>
      <c r="Q104" s="168" t="s">
        <v>122</v>
      </c>
      <c r="R104" s="168"/>
      <c r="S104" s="168"/>
      <c r="T104" s="168"/>
      <c r="U104" s="168" t="s">
        <v>122</v>
      </c>
      <c r="V104" s="168"/>
      <c r="W104" s="168"/>
      <c r="X104" s="168"/>
      <c r="Y104" s="168" t="s">
        <v>122</v>
      </c>
      <c r="Z104" s="168"/>
      <c r="AA104" s="168"/>
      <c r="AB104" s="168" t="s">
        <v>122</v>
      </c>
      <c r="AC104" s="168"/>
      <c r="AD104" s="168"/>
      <c r="AE104" s="168"/>
      <c r="AF104" s="168" t="s">
        <v>122</v>
      </c>
      <c r="AG104" s="168"/>
      <c r="AH104" s="168"/>
      <c r="AI104" s="168"/>
      <c r="AJ104" s="168" t="s">
        <v>122</v>
      </c>
      <c r="AK104" s="168"/>
      <c r="AL104" s="168"/>
      <c r="AM104" s="168" t="s">
        <v>122</v>
      </c>
      <c r="AN104" s="168"/>
      <c r="AO104" s="168"/>
      <c r="AP104" s="168"/>
    </row>
    <row r="105" spans="3:42" ht="22.5" customHeight="1">
      <c r="C105" s="167" t="s">
        <v>196</v>
      </c>
      <c r="D105" s="167"/>
      <c r="E105" s="167"/>
      <c r="F105" s="167"/>
      <c r="G105" s="167"/>
      <c r="H105" s="167"/>
      <c r="I105" s="167"/>
      <c r="J105" s="167"/>
      <c r="K105" s="167"/>
      <c r="L105" s="169">
        <f>L101+L102</f>
        <v>-93.33530875576038</v>
      </c>
      <c r="M105" s="170"/>
      <c r="N105" s="170"/>
      <c r="O105" s="170"/>
      <c r="P105" s="171"/>
      <c r="Q105" s="150">
        <f>ABS(L105)/F90*1000</f>
        <v>9.842685530351977</v>
      </c>
      <c r="R105" s="150"/>
      <c r="S105" s="150"/>
      <c r="T105" s="150"/>
      <c r="U105" s="150">
        <f>$AC$71</f>
        <v>8</v>
      </c>
      <c r="V105" s="150"/>
      <c r="W105" s="150"/>
      <c r="X105" s="150"/>
      <c r="Y105" s="168" t="str">
        <f>IF(Q105&lt;=U105,"O.K.","N.G.")</f>
        <v>N.G.</v>
      </c>
      <c r="Z105" s="168"/>
      <c r="AA105" s="168"/>
      <c r="AB105" s="150">
        <f>ABS(L105)/E94*1000</f>
        <v>174.16358846721226</v>
      </c>
      <c r="AC105" s="150"/>
      <c r="AD105" s="150"/>
      <c r="AE105" s="150"/>
      <c r="AF105" s="175">
        <f>$U$72</f>
        <v>120</v>
      </c>
      <c r="AG105" s="175"/>
      <c r="AH105" s="175"/>
      <c r="AI105" s="175"/>
      <c r="AJ105" s="168" t="str">
        <f>IF(AB105&lt;=AF105,"O.K.","N.G.")</f>
        <v>N.G.</v>
      </c>
      <c r="AK105" s="168"/>
      <c r="AL105" s="168"/>
      <c r="AM105" s="150">
        <v>1</v>
      </c>
      <c r="AN105" s="150"/>
      <c r="AO105" s="150"/>
      <c r="AP105" s="150"/>
    </row>
    <row r="106" spans="3:42" ht="22.5" customHeight="1">
      <c r="C106" s="167" t="s">
        <v>197</v>
      </c>
      <c r="D106" s="167"/>
      <c r="E106" s="167"/>
      <c r="F106" s="167"/>
      <c r="G106" s="167"/>
      <c r="H106" s="167"/>
      <c r="I106" s="167"/>
      <c r="J106" s="167"/>
      <c r="K106" s="167"/>
      <c r="L106" s="169">
        <f>L101+L104</f>
        <v>-12.877499999999998</v>
      </c>
      <c r="M106" s="170"/>
      <c r="N106" s="170"/>
      <c r="O106" s="170"/>
      <c r="P106" s="171"/>
      <c r="Q106" s="150">
        <f>ABS(L106)/F90*1000</f>
        <v>1.3579982174675664</v>
      </c>
      <c r="R106" s="150"/>
      <c r="S106" s="150"/>
      <c r="T106" s="150"/>
      <c r="U106" s="150">
        <f>U105*AM106</f>
        <v>9.6</v>
      </c>
      <c r="V106" s="150"/>
      <c r="W106" s="150"/>
      <c r="X106" s="150"/>
      <c r="Y106" s="168" t="str">
        <f>IF(Q106&lt;=U106,"O.K.","N.G.")</f>
        <v>O.K.</v>
      </c>
      <c r="Z106" s="168"/>
      <c r="AA106" s="168"/>
      <c r="AB106" s="150">
        <f>ABS(L106)/E94*1000</f>
        <v>24.02940152429835</v>
      </c>
      <c r="AC106" s="150"/>
      <c r="AD106" s="150"/>
      <c r="AE106" s="150"/>
      <c r="AF106" s="175">
        <f>AF105*AM106</f>
        <v>144</v>
      </c>
      <c r="AG106" s="175"/>
      <c r="AH106" s="175"/>
      <c r="AI106" s="175"/>
      <c r="AJ106" s="168" t="str">
        <f>IF(AB106&lt;=AF106,"O.K.","N.G.")</f>
        <v>O.K.</v>
      </c>
      <c r="AK106" s="168"/>
      <c r="AL106" s="168"/>
      <c r="AM106" s="150">
        <v>1.2</v>
      </c>
      <c r="AN106" s="150"/>
      <c r="AO106" s="150"/>
      <c r="AP106" s="150"/>
    </row>
    <row r="107" spans="3:42" ht="22.5" customHeight="1">
      <c r="C107" s="167" t="s">
        <v>198</v>
      </c>
      <c r="D107" s="167"/>
      <c r="E107" s="167"/>
      <c r="F107" s="167"/>
      <c r="G107" s="167"/>
      <c r="H107" s="167"/>
      <c r="I107" s="167"/>
      <c r="J107" s="167"/>
      <c r="K107" s="167"/>
      <c r="L107" s="169">
        <f>L101+L102+L104/2</f>
        <v>-94.58105875576038</v>
      </c>
      <c r="M107" s="170"/>
      <c r="N107" s="170"/>
      <c r="O107" s="170"/>
      <c r="P107" s="171"/>
      <c r="Q107" s="150">
        <f>ABS(L107)/F90*1000</f>
        <v>9.974056237353352</v>
      </c>
      <c r="R107" s="150"/>
      <c r="S107" s="150"/>
      <c r="T107" s="150"/>
      <c r="U107" s="150">
        <f>U105*AM107</f>
        <v>10</v>
      </c>
      <c r="V107" s="150"/>
      <c r="W107" s="150"/>
      <c r="X107" s="150"/>
      <c r="Y107" s="168" t="str">
        <f>IF(Q107&lt;=U107,"O.K.","N.G.")</f>
        <v>O.K.</v>
      </c>
      <c r="Z107" s="168"/>
      <c r="AA107" s="168"/>
      <c r="AB107" s="150">
        <f>ABS(L107)/E94*1000</f>
        <v>176.48815666359314</v>
      </c>
      <c r="AC107" s="150"/>
      <c r="AD107" s="150"/>
      <c r="AE107" s="150"/>
      <c r="AF107" s="175">
        <f>AF105*AM107</f>
        <v>150</v>
      </c>
      <c r="AG107" s="175"/>
      <c r="AH107" s="175"/>
      <c r="AI107" s="175"/>
      <c r="AJ107" s="168" t="str">
        <f>IF(AB107&lt;=AF107,"O.K.","N.G.")</f>
        <v>N.G.</v>
      </c>
      <c r="AK107" s="168"/>
      <c r="AL107" s="168"/>
      <c r="AM107" s="150">
        <v>1.25</v>
      </c>
      <c r="AN107" s="150"/>
      <c r="AO107" s="150"/>
      <c r="AP107" s="150"/>
    </row>
    <row r="108" spans="3:42" ht="22.5" customHeight="1">
      <c r="C108" s="167" t="s">
        <v>199</v>
      </c>
      <c r="D108" s="167"/>
      <c r="E108" s="167"/>
      <c r="F108" s="167"/>
      <c r="G108" s="167"/>
      <c r="H108" s="167"/>
      <c r="I108" s="167"/>
      <c r="J108" s="167"/>
      <c r="K108" s="167"/>
      <c r="L108" s="169">
        <f>L101+L102+L103</f>
        <v>-122.04530875576037</v>
      </c>
      <c r="M108" s="170"/>
      <c r="N108" s="170"/>
      <c r="O108" s="170"/>
      <c r="P108" s="171"/>
      <c r="Q108" s="150">
        <f>ABS(L108)/F90*1000</f>
        <v>12.870301824158526</v>
      </c>
      <c r="R108" s="150"/>
      <c r="S108" s="150"/>
      <c r="T108" s="150"/>
      <c r="U108" s="150">
        <f>U105*AM108</f>
        <v>12</v>
      </c>
      <c r="V108" s="150"/>
      <c r="W108" s="150"/>
      <c r="X108" s="150"/>
      <c r="Y108" s="168" t="str">
        <f>IF(Q108&lt;=U108,"O.K.","N.G.")</f>
        <v>N.G.</v>
      </c>
      <c r="Z108" s="168"/>
      <c r="AA108" s="168"/>
      <c r="AB108" s="150">
        <f>ABS(L108)/E94*1000</f>
        <v>227.73641842353962</v>
      </c>
      <c r="AC108" s="150"/>
      <c r="AD108" s="150"/>
      <c r="AE108" s="150"/>
      <c r="AF108" s="175">
        <f>AF105*AM108</f>
        <v>180</v>
      </c>
      <c r="AG108" s="175"/>
      <c r="AH108" s="175"/>
      <c r="AI108" s="175"/>
      <c r="AJ108" s="168" t="str">
        <f>IF(AB108&lt;=AF108,"O.K.","N.G.")</f>
        <v>N.G.</v>
      </c>
      <c r="AK108" s="168"/>
      <c r="AL108" s="168"/>
      <c r="AM108" s="150">
        <v>1.5</v>
      </c>
      <c r="AN108" s="150"/>
      <c r="AO108" s="150"/>
      <c r="AP108" s="150"/>
    </row>
    <row r="110" ht="22.5" customHeight="1">
      <c r="C110" s="56" t="s">
        <v>200</v>
      </c>
    </row>
    <row r="111" spans="24:33" s="74" customFormat="1" ht="16.5" customHeight="1">
      <c r="X111" s="74" t="s">
        <v>112</v>
      </c>
      <c r="AB111" s="74" t="s">
        <v>112</v>
      </c>
      <c r="AG111" s="74" t="s">
        <v>112</v>
      </c>
    </row>
    <row r="112" spans="4:25" s="10" customFormat="1" ht="21.75" customHeight="1">
      <c r="D112" s="10" t="s">
        <v>153</v>
      </c>
      <c r="M112" s="145" t="s">
        <v>154</v>
      </c>
      <c r="N112" s="145"/>
      <c r="O112" s="203">
        <v>30</v>
      </c>
      <c r="P112" s="203"/>
      <c r="Q112" s="203"/>
      <c r="R112" s="145" t="s">
        <v>155</v>
      </c>
      <c r="S112" s="85"/>
      <c r="W112" s="85"/>
      <c r="X112" s="85"/>
      <c r="Y112" s="85"/>
    </row>
    <row r="113" spans="4:25" s="2" customFormat="1" ht="21.75" customHeight="1">
      <c r="D113" s="2" t="s">
        <v>156</v>
      </c>
      <c r="M113" s="72" t="s">
        <v>157</v>
      </c>
      <c r="N113" s="68"/>
      <c r="O113" s="70">
        <f>O112-O115</f>
        <v>24.25</v>
      </c>
      <c r="P113" s="15"/>
      <c r="Q113" s="15"/>
      <c r="R113" s="74" t="s">
        <v>155</v>
      </c>
      <c r="S113" s="11"/>
      <c r="W113" s="11"/>
      <c r="X113" s="11"/>
      <c r="Y113" s="11"/>
    </row>
    <row r="114" spans="4:25" s="2" customFormat="1" ht="21.75" customHeight="1">
      <c r="D114" s="8" t="s">
        <v>158</v>
      </c>
      <c r="E114" s="18"/>
      <c r="F114" s="148"/>
      <c r="G114" s="18"/>
      <c r="H114" s="18"/>
      <c r="M114" s="73" t="s">
        <v>159</v>
      </c>
      <c r="N114" s="68"/>
      <c r="O114" s="70">
        <f>O78+(L81+L117)/10/2</f>
        <v>5.75</v>
      </c>
      <c r="P114" s="15"/>
      <c r="Q114" s="15"/>
      <c r="R114" s="74" t="s">
        <v>155</v>
      </c>
      <c r="S114" s="11"/>
      <c r="W114" s="11"/>
      <c r="X114" s="11"/>
      <c r="Y114" s="11"/>
    </row>
    <row r="115" spans="4:25" s="2" customFormat="1" ht="21.75" customHeight="1">
      <c r="D115" s="8" t="s">
        <v>160</v>
      </c>
      <c r="G115" s="149"/>
      <c r="H115" s="149"/>
      <c r="M115" s="73" t="s">
        <v>161</v>
      </c>
      <c r="N115" s="68"/>
      <c r="O115" s="70">
        <f>O79+(L82+L118)/10/2</f>
        <v>5.75</v>
      </c>
      <c r="P115" s="15"/>
      <c r="Q115" s="15"/>
      <c r="R115" s="74" t="s">
        <v>155</v>
      </c>
      <c r="S115" s="11"/>
      <c r="W115" s="11"/>
      <c r="X115" s="11"/>
      <c r="Y115" s="11"/>
    </row>
    <row r="116" spans="4:18" s="2" customFormat="1" ht="21.75" customHeight="1">
      <c r="D116" s="2" t="s">
        <v>162</v>
      </c>
      <c r="M116" s="18" t="s">
        <v>163</v>
      </c>
      <c r="N116" s="18"/>
      <c r="O116" s="70">
        <v>100</v>
      </c>
      <c r="P116" s="15"/>
      <c r="Q116" s="15"/>
      <c r="R116" s="74" t="s">
        <v>155</v>
      </c>
    </row>
    <row r="117" spans="4:41" s="2" customFormat="1" ht="21.75" customHeight="1">
      <c r="D117" s="74" t="s">
        <v>164</v>
      </c>
      <c r="E117" s="74"/>
      <c r="F117" s="74"/>
      <c r="G117" s="74"/>
      <c r="H117" s="74"/>
      <c r="J117" s="74" t="s">
        <v>19</v>
      </c>
      <c r="K117" s="74"/>
      <c r="L117" s="73">
        <v>16</v>
      </c>
      <c r="M117" s="68"/>
      <c r="N117" s="144"/>
      <c r="P117" s="74" t="s">
        <v>20</v>
      </c>
      <c r="R117" s="74"/>
      <c r="T117" s="203">
        <v>125</v>
      </c>
      <c r="U117" s="163"/>
      <c r="V117" s="163"/>
      <c r="W117" s="74" t="s">
        <v>100</v>
      </c>
      <c r="Y117" s="74" t="s">
        <v>165</v>
      </c>
      <c r="Z117" s="74"/>
      <c r="AA117" s="74"/>
      <c r="AB117" s="74"/>
      <c r="AC117" s="74"/>
      <c r="AD117" s="74"/>
      <c r="AE117" s="74"/>
      <c r="AH117" s="74" t="s">
        <v>166</v>
      </c>
      <c r="AI117" s="74"/>
      <c r="AJ117" s="74"/>
      <c r="AK117" s="75">
        <f>IF(L117=13,1.267*1000/T117,IF(L117=16,1.986*1000/T117,IF(L117=19,2.865*1000/T117,IF(L117=22,3.871*1000/T117,IF(L117=25,5.067*1000/T117,IF(L117=29,6.424*1000/T117,7.942*1000/T117))))))</f>
        <v>15.888</v>
      </c>
      <c r="AL117" s="153"/>
      <c r="AM117" s="153"/>
      <c r="AN117" s="153"/>
      <c r="AO117" s="74" t="s">
        <v>167</v>
      </c>
    </row>
    <row r="118" spans="4:41" s="2" customFormat="1" ht="21.75" customHeight="1">
      <c r="D118" s="74" t="s">
        <v>168</v>
      </c>
      <c r="E118" s="74"/>
      <c r="F118" s="74"/>
      <c r="G118" s="74"/>
      <c r="H118" s="74"/>
      <c r="I118" s="74"/>
      <c r="J118" s="74" t="s">
        <v>19</v>
      </c>
      <c r="K118" s="74"/>
      <c r="L118" s="73">
        <v>16</v>
      </c>
      <c r="M118" s="68"/>
      <c r="N118" s="144"/>
      <c r="P118" s="74" t="s">
        <v>20</v>
      </c>
      <c r="R118" s="74"/>
      <c r="T118" s="203">
        <v>250</v>
      </c>
      <c r="U118" s="163"/>
      <c r="V118" s="163"/>
      <c r="W118" s="74" t="s">
        <v>100</v>
      </c>
      <c r="X118" s="74"/>
      <c r="Y118" s="74" t="s">
        <v>169</v>
      </c>
      <c r="Z118" s="74"/>
      <c r="AA118" s="74"/>
      <c r="AB118" s="74"/>
      <c r="AC118" s="74"/>
      <c r="AD118" s="74"/>
      <c r="AE118" s="74"/>
      <c r="AH118" s="74" t="s">
        <v>170</v>
      </c>
      <c r="AI118" s="74"/>
      <c r="AJ118" s="74"/>
      <c r="AK118" s="75">
        <f>IF(L118=13,1.267*1000/T118,IF(L118=16,1.986*1000/T118,IF(L118=19,2.865*1000/T118,IF(L118=22,3.871*1000/T118,IF(L118=25,5.067*1000/T118,IF(L118=29,6.424*1000/T118,7.942*1000/T118))))))</f>
        <v>7.944</v>
      </c>
      <c r="AL118" s="153"/>
      <c r="AM118" s="153"/>
      <c r="AN118" s="153"/>
      <c r="AO118" s="74" t="s">
        <v>167</v>
      </c>
    </row>
    <row r="119" spans="3:13" s="74" customFormat="1" ht="16.5" customHeight="1">
      <c r="C119" s="74" t="s">
        <v>171</v>
      </c>
      <c r="K119" s="154"/>
      <c r="L119" s="154"/>
      <c r="M119" s="154"/>
    </row>
    <row r="120" spans="4:13" s="74" customFormat="1" ht="16.5" customHeight="1">
      <c r="D120" s="74" t="s">
        <v>172</v>
      </c>
      <c r="K120" s="154"/>
      <c r="L120" s="154"/>
      <c r="M120" s="154"/>
    </row>
    <row r="121" spans="5:13" s="74" customFormat="1" ht="16.5" customHeight="1">
      <c r="E121" s="74" t="str">
        <f>"= -"&amp;$AK$70&amp;"×("&amp;ROUND(AK117,2)&amp;" + "&amp;ROUND(AK118,2)&amp;")/100 + √[ {"&amp;$AK$70&amp;"×("&amp;ROUND(AK117,2)&amp;" + "&amp;ROUND(AK118,2)&amp;")/100}^2 + 2×"&amp;$AK$70&amp;"×("&amp;O113&amp;"×"&amp;ROUND(AK117,2)&amp;" + "&amp;O114&amp;"×"&amp;ROUND(AK118,2)&amp;")/100 ]"</f>
        <v>= -7×(15.89 + 7.94)/100 + √[ {7×(15.89 + 7.94)/100}^2 + 2×7×(24.25×15.89 + 5.75×7.94)/100 ]</v>
      </c>
      <c r="K121" s="154"/>
      <c r="L121" s="154"/>
      <c r="M121" s="154"/>
    </row>
    <row r="122" spans="5:13" s="74" customFormat="1" ht="16.5" customHeight="1">
      <c r="E122" s="74" t="s">
        <v>99</v>
      </c>
      <c r="F122" s="61">
        <f>-$AK$70*(AK117+AK118)/100+SQRT(($AK$70*(AK117+AK118)/100)^2+2*$AK$70*(O113*AK117+O114*AK118)/100)</f>
        <v>6.276425172151687</v>
      </c>
      <c r="G122" s="55"/>
      <c r="H122" s="55"/>
      <c r="I122" s="74" t="s">
        <v>155</v>
      </c>
      <c r="K122" s="154"/>
      <c r="L122" s="154"/>
      <c r="M122" s="154"/>
    </row>
    <row r="123" spans="3:13" s="74" customFormat="1" ht="16.5" customHeight="1">
      <c r="C123" s="74" t="s">
        <v>173</v>
      </c>
      <c r="K123" s="154"/>
      <c r="L123" s="154"/>
      <c r="M123" s="154"/>
    </row>
    <row r="124" spans="4:13" s="74" customFormat="1" ht="16.5" customHeight="1">
      <c r="D124" s="74" t="s">
        <v>174</v>
      </c>
      <c r="K124" s="154"/>
      <c r="L124" s="154"/>
      <c r="M124" s="154"/>
    </row>
    <row r="125" spans="5:13" s="74" customFormat="1" ht="16.5" customHeight="1">
      <c r="E125" s="74" t="str">
        <f>"= ( 100 × "&amp;ROUND(F122,2)&amp;" / 2 ) × ( "&amp;O113&amp;" - "&amp;ROUND(F122,2)&amp;" / 3 ) + "&amp;$AK$70&amp;"×"&amp;ROUND(AK117,2)&amp;"×( "&amp;ROUND(F122,2)&amp;" - "&amp;O114&amp;" ) / "&amp;ROUND(F122,2)&amp;" ×( "&amp;O113&amp;" - "&amp;O114&amp;" )"</f>
        <v>= ( 100 × 6.28 / 2 ) × ( 24.25 - 6.28 / 3 ) + 7×15.89×( 6.28 - 5.75 ) / 6.28 ×( 24.25 - 5.75 )</v>
      </c>
      <c r="K125" s="154"/>
      <c r="L125" s="154"/>
      <c r="M125" s="154"/>
    </row>
    <row r="126" spans="5:13" s="74" customFormat="1" ht="16.5" customHeight="1">
      <c r="E126" s="74" t="s">
        <v>99</v>
      </c>
      <c r="F126" s="155">
        <f>(100*ROUND(F122,2)/2)*(O113-ROUND(F122,2)/3)+$AK$70*AK118*(ROUND(F122,2)-O114)/ROUND(F122,2)*(O113-O114)</f>
        <v>7044.014422505308</v>
      </c>
      <c r="G126" s="155"/>
      <c r="H126" s="155"/>
      <c r="I126" s="155"/>
      <c r="J126" s="74" t="s">
        <v>175</v>
      </c>
      <c r="K126" s="154"/>
      <c r="L126" s="154"/>
      <c r="M126" s="154"/>
    </row>
    <row r="127" spans="3:13" s="74" customFormat="1" ht="16.5" customHeight="1">
      <c r="C127" s="74" t="s">
        <v>176</v>
      </c>
      <c r="K127" s="154"/>
      <c r="L127" s="154"/>
      <c r="M127" s="154"/>
    </row>
    <row r="128" spans="4:13" s="74" customFormat="1" ht="16.5" customHeight="1">
      <c r="D128" s="74" t="s">
        <v>177</v>
      </c>
      <c r="K128" s="154"/>
      <c r="L128" s="154"/>
      <c r="M128" s="154"/>
    </row>
    <row r="129" spans="4:13" s="74" customFormat="1" ht="16.5" customHeight="1">
      <c r="D129" s="137" t="str">
        <f>"= (1/"&amp;$AK$70&amp;")×( "&amp;ROUND(F122,2)&amp;" / ( "&amp;O113&amp;"- "&amp;ROUND(F122,2)&amp;" ))×"&amp;ROUND(F126,1)</f>
        <v>= (1/7)×( 6.28 / ( 24.25- 6.28 ))×7044</v>
      </c>
      <c r="K129" s="154"/>
      <c r="L129" s="154"/>
      <c r="M129" s="154"/>
    </row>
    <row r="130" spans="4:13" s="74" customFormat="1" ht="16.5" customHeight="1">
      <c r="D130" s="74" t="s">
        <v>99</v>
      </c>
      <c r="E130" s="155">
        <f>1/$AK$70*(ROUND(F122,2)/(O113-ROUND(F122,2)))*ROUND(F126,1)</f>
        <v>351.6680181254472</v>
      </c>
      <c r="F130" s="155"/>
      <c r="G130" s="155"/>
      <c r="H130" s="155"/>
      <c r="I130" s="74" t="s">
        <v>175</v>
      </c>
      <c r="K130" s="154"/>
      <c r="L130" s="154"/>
      <c r="M130" s="154"/>
    </row>
    <row r="131" spans="11:13" s="74" customFormat="1" ht="16.5" customHeight="1">
      <c r="K131" s="154"/>
      <c r="L131" s="154"/>
      <c r="M131" s="154"/>
    </row>
    <row r="132" spans="3:23" s="74" customFormat="1" ht="16.5" customHeight="1">
      <c r="C132" s="74" t="s">
        <v>178</v>
      </c>
      <c r="K132" s="76" t="s">
        <v>179</v>
      </c>
      <c r="L132" s="154"/>
      <c r="M132" s="154"/>
      <c r="W132" s="156"/>
    </row>
    <row r="133" spans="3:17" s="74" customFormat="1" ht="16.5" customHeight="1">
      <c r="C133" s="74" t="s">
        <v>180</v>
      </c>
      <c r="K133" s="74" t="s">
        <v>181</v>
      </c>
      <c r="L133" s="154"/>
      <c r="M133" s="154"/>
      <c r="Q133" s="74" t="s">
        <v>182</v>
      </c>
    </row>
    <row r="134" spans="11:13" s="74" customFormat="1" ht="16.5" customHeight="1">
      <c r="K134" s="154"/>
      <c r="L134" s="154"/>
      <c r="M134" s="154"/>
    </row>
    <row r="135" spans="1:42" s="74" customFormat="1" ht="16.5" customHeight="1">
      <c r="A135" s="3"/>
      <c r="B135" s="3"/>
      <c r="C135" s="168" t="s">
        <v>183</v>
      </c>
      <c r="D135" s="168"/>
      <c r="E135" s="168"/>
      <c r="F135" s="168"/>
      <c r="G135" s="168"/>
      <c r="H135" s="168"/>
      <c r="I135" s="168"/>
      <c r="J135" s="168"/>
      <c r="K135" s="168"/>
      <c r="L135" s="176" t="s">
        <v>184</v>
      </c>
      <c r="M135" s="177"/>
      <c r="N135" s="177"/>
      <c r="O135" s="177"/>
      <c r="P135" s="178"/>
      <c r="Q135" s="168" t="s">
        <v>185</v>
      </c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 t="s">
        <v>186</v>
      </c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72" t="s">
        <v>187</v>
      </c>
      <c r="AN135" s="173"/>
      <c r="AO135" s="173"/>
      <c r="AP135" s="174"/>
    </row>
    <row r="136" spans="1:42" s="74" customFormat="1" ht="16.5" customHeight="1">
      <c r="A136" s="3"/>
      <c r="B136" s="3"/>
      <c r="C136" s="168"/>
      <c r="D136" s="168"/>
      <c r="E136" s="168"/>
      <c r="F136" s="168"/>
      <c r="G136" s="168"/>
      <c r="H136" s="168"/>
      <c r="I136" s="168"/>
      <c r="J136" s="168"/>
      <c r="K136" s="168"/>
      <c r="L136" s="179" t="s">
        <v>188</v>
      </c>
      <c r="M136" s="180"/>
      <c r="N136" s="180"/>
      <c r="O136" s="180"/>
      <c r="P136" s="181"/>
      <c r="Q136" s="168" t="s">
        <v>189</v>
      </c>
      <c r="R136" s="168"/>
      <c r="S136" s="168"/>
      <c r="T136" s="168"/>
      <c r="U136" s="168" t="s">
        <v>187</v>
      </c>
      <c r="V136" s="168"/>
      <c r="W136" s="168"/>
      <c r="X136" s="168"/>
      <c r="Y136" s="168" t="s">
        <v>190</v>
      </c>
      <c r="Z136" s="168"/>
      <c r="AA136" s="168"/>
      <c r="AB136" s="168" t="s">
        <v>189</v>
      </c>
      <c r="AC136" s="168"/>
      <c r="AD136" s="168"/>
      <c r="AE136" s="168"/>
      <c r="AF136" s="168" t="s">
        <v>187</v>
      </c>
      <c r="AG136" s="168"/>
      <c r="AH136" s="168"/>
      <c r="AI136" s="168"/>
      <c r="AJ136" s="168" t="s">
        <v>190</v>
      </c>
      <c r="AK136" s="168"/>
      <c r="AL136" s="168"/>
      <c r="AM136" s="151" t="s">
        <v>191</v>
      </c>
      <c r="AN136" s="152"/>
      <c r="AO136" s="152"/>
      <c r="AP136" s="134"/>
    </row>
    <row r="137" spans="1:42" s="74" customFormat="1" ht="22.5" customHeight="1">
      <c r="A137" s="3"/>
      <c r="B137" s="3"/>
      <c r="C137" s="167" t="s">
        <v>192</v>
      </c>
      <c r="D137" s="167"/>
      <c r="E137" s="167"/>
      <c r="F137" s="167"/>
      <c r="G137" s="167"/>
      <c r="H137" s="167"/>
      <c r="I137" s="167"/>
      <c r="J137" s="167"/>
      <c r="K137" s="167"/>
      <c r="L137" s="182">
        <v>0</v>
      </c>
      <c r="M137" s="183"/>
      <c r="N137" s="183"/>
      <c r="O137" s="183"/>
      <c r="P137" s="184"/>
      <c r="Q137" s="168" t="s">
        <v>122</v>
      </c>
      <c r="R137" s="168"/>
      <c r="S137" s="168"/>
      <c r="T137" s="168"/>
      <c r="U137" s="168" t="s">
        <v>122</v>
      </c>
      <c r="V137" s="168"/>
      <c r="W137" s="168"/>
      <c r="X137" s="168"/>
      <c r="Y137" s="168" t="s">
        <v>122</v>
      </c>
      <c r="Z137" s="168"/>
      <c r="AA137" s="168"/>
      <c r="AB137" s="168" t="s">
        <v>122</v>
      </c>
      <c r="AC137" s="168"/>
      <c r="AD137" s="168"/>
      <c r="AE137" s="168"/>
      <c r="AF137" s="168" t="s">
        <v>122</v>
      </c>
      <c r="AG137" s="168"/>
      <c r="AH137" s="168"/>
      <c r="AI137" s="168"/>
      <c r="AJ137" s="168" t="s">
        <v>122</v>
      </c>
      <c r="AK137" s="168"/>
      <c r="AL137" s="168"/>
      <c r="AM137" s="168" t="s">
        <v>122</v>
      </c>
      <c r="AN137" s="168"/>
      <c r="AO137" s="168"/>
      <c r="AP137" s="168"/>
    </row>
    <row r="138" spans="1:42" s="74" customFormat="1" ht="22.5" customHeight="1">
      <c r="A138" s="3"/>
      <c r="B138" s="3"/>
      <c r="C138" s="167" t="s">
        <v>193</v>
      </c>
      <c r="D138" s="167"/>
      <c r="E138" s="167"/>
      <c r="F138" s="167"/>
      <c r="G138" s="167"/>
      <c r="H138" s="167"/>
      <c r="I138" s="167"/>
      <c r="J138" s="167"/>
      <c r="K138" s="167"/>
      <c r="L138" s="169">
        <f>AG56</f>
        <v>32.75</v>
      </c>
      <c r="M138" s="170"/>
      <c r="N138" s="170"/>
      <c r="O138" s="170"/>
      <c r="P138" s="171"/>
      <c r="Q138" s="150">
        <f>ABS(L138)/F126*1000</f>
        <v>4.649337442490922</v>
      </c>
      <c r="R138" s="150"/>
      <c r="S138" s="150"/>
      <c r="T138" s="150"/>
      <c r="U138" s="150">
        <f>$AC$71</f>
        <v>8</v>
      </c>
      <c r="V138" s="150"/>
      <c r="W138" s="150"/>
      <c r="X138" s="150"/>
      <c r="Y138" s="168" t="str">
        <f>IF(Q138&lt;=U138,"O.K.","N.G.")</f>
        <v>O.K.</v>
      </c>
      <c r="Z138" s="168"/>
      <c r="AA138" s="168"/>
      <c r="AB138" s="150">
        <f>ABS(L138)/E130*1000</f>
        <v>93.12760419492398</v>
      </c>
      <c r="AC138" s="150"/>
      <c r="AD138" s="150"/>
      <c r="AE138" s="150"/>
      <c r="AF138" s="150">
        <f>$U$72</f>
        <v>120</v>
      </c>
      <c r="AG138" s="150"/>
      <c r="AH138" s="150"/>
      <c r="AI138" s="150"/>
      <c r="AJ138" s="168" t="str">
        <f>IF(AB138&lt;=AF138,"O.K.","N.G.")</f>
        <v>O.K.</v>
      </c>
      <c r="AK138" s="168"/>
      <c r="AL138" s="168"/>
      <c r="AM138" s="150">
        <v>1</v>
      </c>
      <c r="AN138" s="150"/>
      <c r="AO138" s="150"/>
      <c r="AP138" s="150"/>
    </row>
    <row r="139" spans="3:42" ht="22.5" customHeight="1">
      <c r="C139" s="167" t="s">
        <v>194</v>
      </c>
      <c r="D139" s="167"/>
      <c r="E139" s="167"/>
      <c r="F139" s="167"/>
      <c r="G139" s="167"/>
      <c r="H139" s="167"/>
      <c r="I139" s="167"/>
      <c r="J139" s="167"/>
      <c r="K139" s="167"/>
      <c r="L139" s="169">
        <v>0</v>
      </c>
      <c r="M139" s="170"/>
      <c r="N139" s="170"/>
      <c r="O139" s="170"/>
      <c r="P139" s="171"/>
      <c r="Q139" s="168" t="s">
        <v>122</v>
      </c>
      <c r="R139" s="168"/>
      <c r="S139" s="168"/>
      <c r="T139" s="168"/>
      <c r="U139" s="168" t="s">
        <v>122</v>
      </c>
      <c r="V139" s="168"/>
      <c r="W139" s="168"/>
      <c r="X139" s="168"/>
      <c r="Y139" s="168" t="s">
        <v>122</v>
      </c>
      <c r="Z139" s="168"/>
      <c r="AA139" s="168"/>
      <c r="AB139" s="168" t="s">
        <v>122</v>
      </c>
      <c r="AC139" s="168"/>
      <c r="AD139" s="168"/>
      <c r="AE139" s="168"/>
      <c r="AF139" s="168" t="s">
        <v>122</v>
      </c>
      <c r="AG139" s="168"/>
      <c r="AH139" s="168"/>
      <c r="AI139" s="168"/>
      <c r="AJ139" s="168" t="s">
        <v>122</v>
      </c>
      <c r="AK139" s="168"/>
      <c r="AL139" s="168"/>
      <c r="AM139" s="168" t="s">
        <v>122</v>
      </c>
      <c r="AN139" s="168"/>
      <c r="AO139" s="168"/>
      <c r="AP139" s="168"/>
    </row>
    <row r="140" spans="3:42" ht="22.5" customHeight="1">
      <c r="C140" s="167" t="s">
        <v>195</v>
      </c>
      <c r="D140" s="167"/>
      <c r="E140" s="167"/>
      <c r="F140" s="167"/>
      <c r="G140" s="167"/>
      <c r="H140" s="167"/>
      <c r="I140" s="167"/>
      <c r="J140" s="167"/>
      <c r="K140" s="167"/>
      <c r="L140" s="169">
        <v>0</v>
      </c>
      <c r="M140" s="170"/>
      <c r="N140" s="170"/>
      <c r="O140" s="170"/>
      <c r="P140" s="171"/>
      <c r="Q140" s="168" t="s">
        <v>122</v>
      </c>
      <c r="R140" s="168"/>
      <c r="S140" s="168"/>
      <c r="T140" s="168"/>
      <c r="U140" s="168" t="s">
        <v>122</v>
      </c>
      <c r="V140" s="168"/>
      <c r="W140" s="168"/>
      <c r="X140" s="168"/>
      <c r="Y140" s="168" t="s">
        <v>122</v>
      </c>
      <c r="Z140" s="168"/>
      <c r="AA140" s="168"/>
      <c r="AB140" s="168" t="s">
        <v>122</v>
      </c>
      <c r="AC140" s="168"/>
      <c r="AD140" s="168"/>
      <c r="AE140" s="168"/>
      <c r="AF140" s="168" t="s">
        <v>122</v>
      </c>
      <c r="AG140" s="168"/>
      <c r="AH140" s="168"/>
      <c r="AI140" s="168"/>
      <c r="AJ140" s="168" t="s">
        <v>122</v>
      </c>
      <c r="AK140" s="168"/>
      <c r="AL140" s="168"/>
      <c r="AM140" s="168" t="s">
        <v>122</v>
      </c>
      <c r="AN140" s="168"/>
      <c r="AO140" s="168"/>
      <c r="AP140" s="168"/>
    </row>
  </sheetData>
  <mergeCells count="182">
    <mergeCell ref="O112:Q112"/>
    <mergeCell ref="T117:V117"/>
    <mergeCell ref="T118:V118"/>
    <mergeCell ref="O78:Q78"/>
    <mergeCell ref="O79:Q79"/>
    <mergeCell ref="S81:U81"/>
    <mergeCell ref="S82:U82"/>
    <mergeCell ref="Q99:AA99"/>
    <mergeCell ref="Q100:T100"/>
    <mergeCell ref="U100:X100"/>
    <mergeCell ref="M59:O59"/>
    <mergeCell ref="I64:K64"/>
    <mergeCell ref="Q70:S70"/>
    <mergeCell ref="AK70:AL70"/>
    <mergeCell ref="R66:U66"/>
    <mergeCell ref="K20:M20"/>
    <mergeCell ref="K21:M21"/>
    <mergeCell ref="K22:M22"/>
    <mergeCell ref="AC14:AE14"/>
    <mergeCell ref="AC15:AE15"/>
    <mergeCell ref="U16:V16"/>
    <mergeCell ref="X17:Z17"/>
    <mergeCell ref="D18:F18"/>
    <mergeCell ref="D19:F19"/>
    <mergeCell ref="K14:M14"/>
    <mergeCell ref="K15:M15"/>
    <mergeCell ref="K16:M16"/>
    <mergeCell ref="K17:M17"/>
    <mergeCell ref="K18:M18"/>
    <mergeCell ref="K19:M19"/>
    <mergeCell ref="D14:F14"/>
    <mergeCell ref="D15:F15"/>
    <mergeCell ref="D16:F16"/>
    <mergeCell ref="D17:F17"/>
    <mergeCell ref="L135:P135"/>
    <mergeCell ref="L136:P136"/>
    <mergeCell ref="B39:F39"/>
    <mergeCell ref="B40:F40"/>
    <mergeCell ref="B43:F43"/>
    <mergeCell ref="B41:F41"/>
    <mergeCell ref="B42:F42"/>
    <mergeCell ref="C99:K100"/>
    <mergeCell ref="I72:J72"/>
    <mergeCell ref="B32:F32"/>
    <mergeCell ref="B33:F33"/>
    <mergeCell ref="B34:F34"/>
    <mergeCell ref="B35:F35"/>
    <mergeCell ref="B36:F36"/>
    <mergeCell ref="B37:F37"/>
    <mergeCell ref="B38:F38"/>
    <mergeCell ref="AA27:AC27"/>
    <mergeCell ref="G32:X32"/>
    <mergeCell ref="Y32:AB32"/>
    <mergeCell ref="AC32:AH32"/>
    <mergeCell ref="AB99:AL99"/>
    <mergeCell ref="AB100:AE100"/>
    <mergeCell ref="AF100:AI100"/>
    <mergeCell ref="AJ100:AL100"/>
    <mergeCell ref="Y100:AA100"/>
    <mergeCell ref="L99:P99"/>
    <mergeCell ref="L100:P100"/>
    <mergeCell ref="L101:P101"/>
    <mergeCell ref="AJ102:AL102"/>
    <mergeCell ref="L102:P102"/>
    <mergeCell ref="L103:P103"/>
    <mergeCell ref="L104:P104"/>
    <mergeCell ref="AJ101:AL101"/>
    <mergeCell ref="Q101:T101"/>
    <mergeCell ref="U101:X101"/>
    <mergeCell ref="Y101:AA101"/>
    <mergeCell ref="AB101:AE101"/>
    <mergeCell ref="AF101:AI101"/>
    <mergeCell ref="AB102:AE102"/>
    <mergeCell ref="L106:P106"/>
    <mergeCell ref="L107:P107"/>
    <mergeCell ref="L108:P108"/>
    <mergeCell ref="L105:P105"/>
    <mergeCell ref="AF102:AI102"/>
    <mergeCell ref="AJ103:AL103"/>
    <mergeCell ref="Q103:T103"/>
    <mergeCell ref="U103:X103"/>
    <mergeCell ref="Y103:AA103"/>
    <mergeCell ref="AB103:AE103"/>
    <mergeCell ref="AF103:AI103"/>
    <mergeCell ref="Q102:T102"/>
    <mergeCell ref="U102:X102"/>
    <mergeCell ref="Y102:AA102"/>
    <mergeCell ref="U104:X104"/>
    <mergeCell ref="Y104:AA104"/>
    <mergeCell ref="AB104:AE104"/>
    <mergeCell ref="AF104:AI104"/>
    <mergeCell ref="AJ107:AL107"/>
    <mergeCell ref="Q107:T107"/>
    <mergeCell ref="U105:X105"/>
    <mergeCell ref="Y105:AA105"/>
    <mergeCell ref="AB106:AE106"/>
    <mergeCell ref="AF106:AI106"/>
    <mergeCell ref="AJ106:AL106"/>
    <mergeCell ref="Q106:T106"/>
    <mergeCell ref="U106:X106"/>
    <mergeCell ref="Y106:AA106"/>
    <mergeCell ref="AJ108:AL108"/>
    <mergeCell ref="Q108:T108"/>
    <mergeCell ref="U108:X108"/>
    <mergeCell ref="Y108:AA108"/>
    <mergeCell ref="U107:X107"/>
    <mergeCell ref="Y107:AA107"/>
    <mergeCell ref="AB108:AE108"/>
    <mergeCell ref="AF108:AI108"/>
    <mergeCell ref="AB107:AE107"/>
    <mergeCell ref="AF107:AI107"/>
    <mergeCell ref="C106:K106"/>
    <mergeCell ref="C107:K107"/>
    <mergeCell ref="C108:K108"/>
    <mergeCell ref="C101:K101"/>
    <mergeCell ref="C102:K102"/>
    <mergeCell ref="C103:K103"/>
    <mergeCell ref="C104:K104"/>
    <mergeCell ref="AM102:AP102"/>
    <mergeCell ref="AM103:AP103"/>
    <mergeCell ref="AM104:AP104"/>
    <mergeCell ref="C105:K105"/>
    <mergeCell ref="AB105:AE105"/>
    <mergeCell ref="AF105:AI105"/>
    <mergeCell ref="AJ105:AL105"/>
    <mergeCell ref="Q105:T105"/>
    <mergeCell ref="AJ104:AL104"/>
    <mergeCell ref="Q104:T104"/>
    <mergeCell ref="C135:K136"/>
    <mergeCell ref="Q135:AA135"/>
    <mergeCell ref="AB135:AL135"/>
    <mergeCell ref="AM135:AP135"/>
    <mergeCell ref="Q136:T136"/>
    <mergeCell ref="U136:X136"/>
    <mergeCell ref="Y136:AA136"/>
    <mergeCell ref="AB136:AE136"/>
    <mergeCell ref="Y137:AA137"/>
    <mergeCell ref="AB137:AE137"/>
    <mergeCell ref="AF137:AI137"/>
    <mergeCell ref="AM99:AP99"/>
    <mergeCell ref="AM100:AP100"/>
    <mergeCell ref="AM105:AP105"/>
    <mergeCell ref="AM106:AP106"/>
    <mergeCell ref="AM107:AP107"/>
    <mergeCell ref="AM108:AP108"/>
    <mergeCell ref="AM101:AP101"/>
    <mergeCell ref="AM138:AP138"/>
    <mergeCell ref="AF136:AI136"/>
    <mergeCell ref="AJ136:AL136"/>
    <mergeCell ref="AM136:AP136"/>
    <mergeCell ref="AJ137:AL137"/>
    <mergeCell ref="Y139:AA139"/>
    <mergeCell ref="L139:P139"/>
    <mergeCell ref="AM137:AP137"/>
    <mergeCell ref="C138:K138"/>
    <mergeCell ref="Q138:T138"/>
    <mergeCell ref="U138:X138"/>
    <mergeCell ref="Y138:AA138"/>
    <mergeCell ref="AB138:AE138"/>
    <mergeCell ref="AF138:AI138"/>
    <mergeCell ref="AJ138:AL138"/>
    <mergeCell ref="AB139:AE139"/>
    <mergeCell ref="AF139:AI139"/>
    <mergeCell ref="AJ139:AL139"/>
    <mergeCell ref="AM139:AP139"/>
    <mergeCell ref="AM140:AP140"/>
    <mergeCell ref="Y140:AA140"/>
    <mergeCell ref="AB140:AE140"/>
    <mergeCell ref="AF140:AI140"/>
    <mergeCell ref="AJ140:AL140"/>
    <mergeCell ref="C140:K140"/>
    <mergeCell ref="Q140:T140"/>
    <mergeCell ref="U140:X140"/>
    <mergeCell ref="L140:P140"/>
    <mergeCell ref="C139:K139"/>
    <mergeCell ref="Q139:T139"/>
    <mergeCell ref="U139:X139"/>
    <mergeCell ref="C137:K137"/>
    <mergeCell ref="Q137:T137"/>
    <mergeCell ref="U137:X137"/>
    <mergeCell ref="L137:P137"/>
    <mergeCell ref="L138:P138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140"/>
  <sheetViews>
    <sheetView workbookViewId="0" topLeftCell="A118">
      <selection activeCell="A118" sqref="A1:IV16384"/>
    </sheetView>
  </sheetViews>
  <sheetFormatPr defaultColWidth="8.88671875" defaultRowHeight="22.5" customHeight="1"/>
  <cols>
    <col min="1" max="16384" width="1.77734375" style="3" customWidth="1"/>
  </cols>
  <sheetData>
    <row r="1" spans="1:6" ht="22.5" customHeight="1">
      <c r="A1" s="157" t="s">
        <v>203</v>
      </c>
      <c r="B1" s="1"/>
      <c r="C1" s="2"/>
      <c r="D1" s="2"/>
      <c r="E1" s="2"/>
      <c r="F1" s="2"/>
    </row>
    <row r="2" spans="1:33" ht="22.5" customHeight="1">
      <c r="A2" s="142"/>
      <c r="C2" s="2"/>
      <c r="D2" s="2"/>
      <c r="E2" s="2"/>
      <c r="F2" s="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22.5" customHeight="1">
      <c r="A3" s="142"/>
      <c r="D3" s="2"/>
      <c r="E3" s="2"/>
      <c r="F3" s="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0:33" ht="22.5" customHeight="1"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0:33" ht="22.5" customHeight="1"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0:33" ht="22.5" customHeight="1"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0:33" ht="22.5" customHeight="1"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0:33" ht="22.5" customHeight="1"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0:33" ht="22.5" customHeight="1"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0:33" ht="22.5" customHeight="1"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0:33" ht="22.5" customHeight="1"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0:33" ht="22.5" customHeight="1"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0:33" ht="22.5" customHeight="1"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45" ht="22.5" customHeight="1">
      <c r="A14" s="2"/>
      <c r="B14" s="2" t="s">
        <v>0</v>
      </c>
      <c r="D14" s="197">
        <v>0.25</v>
      </c>
      <c r="E14" s="164"/>
      <c r="F14" s="164"/>
      <c r="G14" s="2" t="s">
        <v>1</v>
      </c>
      <c r="H14" s="2"/>
      <c r="I14" s="2" t="s">
        <v>78</v>
      </c>
      <c r="K14" s="197">
        <v>0</v>
      </c>
      <c r="L14" s="164"/>
      <c r="M14" s="164"/>
      <c r="N14" s="2" t="s">
        <v>1</v>
      </c>
      <c r="P14" s="2" t="s">
        <v>79</v>
      </c>
      <c r="S14" s="2"/>
      <c r="T14" s="2"/>
      <c r="U14" s="2"/>
      <c r="V14" s="2"/>
      <c r="AC14" s="197">
        <v>24.5</v>
      </c>
      <c r="AD14" s="164"/>
      <c r="AE14" s="164"/>
      <c r="AF14" s="2" t="s">
        <v>80</v>
      </c>
      <c r="AG14" s="2"/>
      <c r="AS14" s="137" t="s">
        <v>81</v>
      </c>
    </row>
    <row r="15" spans="1:33" ht="22.5" customHeight="1">
      <c r="A15" s="2"/>
      <c r="B15" s="2" t="s">
        <v>3</v>
      </c>
      <c r="D15" s="197">
        <v>0.11</v>
      </c>
      <c r="E15" s="164"/>
      <c r="F15" s="164"/>
      <c r="G15" s="2" t="s">
        <v>1</v>
      </c>
      <c r="H15" s="2"/>
      <c r="I15" s="2" t="s">
        <v>2</v>
      </c>
      <c r="K15" s="197">
        <v>0.25</v>
      </c>
      <c r="L15" s="164"/>
      <c r="M15" s="164"/>
      <c r="N15" s="2" t="s">
        <v>1</v>
      </c>
      <c r="P15" s="2" t="s">
        <v>82</v>
      </c>
      <c r="S15" s="2"/>
      <c r="T15" s="2"/>
      <c r="U15" s="2"/>
      <c r="V15" s="2"/>
      <c r="AC15" s="197">
        <v>22.5</v>
      </c>
      <c r="AD15" s="164"/>
      <c r="AE15" s="164"/>
      <c r="AF15" s="2" t="s">
        <v>80</v>
      </c>
      <c r="AG15" s="2"/>
    </row>
    <row r="16" spans="1:34" ht="22.5" customHeight="1">
      <c r="A16" s="2"/>
      <c r="B16" s="2" t="s">
        <v>5</v>
      </c>
      <c r="D16" s="197">
        <v>0.18</v>
      </c>
      <c r="E16" s="164"/>
      <c r="F16" s="164"/>
      <c r="G16" s="2" t="s">
        <v>1</v>
      </c>
      <c r="H16" s="2"/>
      <c r="I16" s="2" t="s">
        <v>4</v>
      </c>
      <c r="K16" s="197">
        <v>0.09</v>
      </c>
      <c r="L16" s="164"/>
      <c r="M16" s="164"/>
      <c r="N16" s="2" t="s">
        <v>1</v>
      </c>
      <c r="P16" s="2" t="s">
        <v>83</v>
      </c>
      <c r="S16" s="2"/>
      <c r="T16" s="2"/>
      <c r="U16" s="200" t="s">
        <v>84</v>
      </c>
      <c r="V16" s="164"/>
      <c r="W16" s="2" t="s">
        <v>85</v>
      </c>
      <c r="X16" s="2"/>
      <c r="Y16" s="2"/>
      <c r="Z16" s="2"/>
      <c r="AA16" s="2"/>
      <c r="AB16" s="2"/>
      <c r="AC16" s="2"/>
      <c r="AD16" s="7"/>
      <c r="AE16" s="7"/>
      <c r="AF16" s="7"/>
      <c r="AG16" s="7"/>
      <c r="AH16" s="7"/>
    </row>
    <row r="17" spans="1:29" ht="22.5" customHeight="1">
      <c r="A17" s="2"/>
      <c r="B17" s="2" t="s">
        <v>7</v>
      </c>
      <c r="D17" s="197">
        <v>0.89</v>
      </c>
      <c r="E17" s="164"/>
      <c r="F17" s="164"/>
      <c r="G17" s="2" t="s">
        <v>1</v>
      </c>
      <c r="H17" s="2"/>
      <c r="I17" s="2" t="s">
        <v>6</v>
      </c>
      <c r="K17" s="197">
        <v>0.125</v>
      </c>
      <c r="L17" s="164"/>
      <c r="M17" s="164"/>
      <c r="N17" s="2" t="s">
        <v>1</v>
      </c>
      <c r="P17" s="2" t="s">
        <v>86</v>
      </c>
      <c r="S17" s="2"/>
      <c r="T17" s="2"/>
      <c r="U17" s="2"/>
      <c r="V17" s="2"/>
      <c r="X17" s="201">
        <v>100</v>
      </c>
      <c r="Y17" s="201"/>
      <c r="Z17" s="201"/>
      <c r="AA17" s="2" t="s">
        <v>87</v>
      </c>
      <c r="AC17" s="8"/>
    </row>
    <row r="18" spans="1:36" ht="22.5" customHeight="1">
      <c r="A18" s="2"/>
      <c r="B18" s="2" t="s">
        <v>9</v>
      </c>
      <c r="D18" s="197">
        <v>0.3</v>
      </c>
      <c r="E18" s="164"/>
      <c r="F18" s="164"/>
      <c r="G18" s="2" t="s">
        <v>1</v>
      </c>
      <c r="H18" s="2"/>
      <c r="I18" s="2" t="s">
        <v>8</v>
      </c>
      <c r="K18" s="197">
        <v>0.535</v>
      </c>
      <c r="L18" s="164"/>
      <c r="M18" s="164"/>
      <c r="N18" s="2" t="s">
        <v>1</v>
      </c>
      <c r="P18" s="2" t="s">
        <v>88</v>
      </c>
      <c r="S18" s="2"/>
      <c r="T18" s="2"/>
      <c r="U18" s="2"/>
      <c r="V18" s="2"/>
      <c r="W18" s="2"/>
      <c r="AC18" s="142" t="s">
        <v>89</v>
      </c>
      <c r="AH18" s="7"/>
      <c r="AJ18" s="2" t="s">
        <v>90</v>
      </c>
    </row>
    <row r="19" spans="1:28" ht="22.5" customHeight="1">
      <c r="A19" s="2"/>
      <c r="B19" s="2" t="s">
        <v>11</v>
      </c>
      <c r="D19" s="197">
        <v>0.08</v>
      </c>
      <c r="E19" s="164"/>
      <c r="F19" s="164"/>
      <c r="G19" s="2" t="s">
        <v>1</v>
      </c>
      <c r="H19" s="2"/>
      <c r="I19" s="2" t="s">
        <v>10</v>
      </c>
      <c r="K19" s="197">
        <v>0.06</v>
      </c>
      <c r="L19" s="164"/>
      <c r="M19" s="164"/>
      <c r="N19" s="2" t="s">
        <v>1</v>
      </c>
      <c r="Y19" s="2"/>
      <c r="Z19" s="2"/>
      <c r="AA19" s="2"/>
      <c r="AB19" s="2"/>
    </row>
    <row r="20" spans="1:29" ht="22.5" customHeight="1">
      <c r="A20" s="2"/>
      <c r="B20" s="2"/>
      <c r="D20" s="2"/>
      <c r="E20" s="2"/>
      <c r="G20" s="2"/>
      <c r="H20" s="2"/>
      <c r="I20" s="2" t="s">
        <v>12</v>
      </c>
      <c r="K20" s="197">
        <v>0.12</v>
      </c>
      <c r="L20" s="164"/>
      <c r="M20" s="164"/>
      <c r="N20" s="2" t="s">
        <v>1</v>
      </c>
      <c r="U20" s="10"/>
      <c r="V20" s="10"/>
      <c r="W20" s="103"/>
      <c r="X20" s="103"/>
      <c r="Y20" s="10"/>
      <c r="Z20" s="10"/>
      <c r="AA20" s="10"/>
      <c r="AB20" s="11"/>
      <c r="AC20" s="11"/>
    </row>
    <row r="21" spans="1:14" ht="22.5" customHeight="1">
      <c r="A21" s="2"/>
      <c r="B21" s="2"/>
      <c r="D21" s="2"/>
      <c r="E21" s="2"/>
      <c r="G21" s="2"/>
      <c r="H21" s="2"/>
      <c r="I21" s="2" t="s">
        <v>91</v>
      </c>
      <c r="K21" s="197">
        <f>K14+K15+K16+K17+K18-K20</f>
        <v>0.88</v>
      </c>
      <c r="L21" s="164"/>
      <c r="M21" s="164"/>
      <c r="N21" s="2" t="s">
        <v>1</v>
      </c>
    </row>
    <row r="22" spans="1:28" ht="22.5" customHeight="1">
      <c r="A22" s="2"/>
      <c r="B22" s="2"/>
      <c r="D22" s="2"/>
      <c r="E22" s="2"/>
      <c r="G22" s="2"/>
      <c r="H22" s="2"/>
      <c r="I22" s="2" t="s">
        <v>92</v>
      </c>
      <c r="K22" s="197">
        <v>0.25</v>
      </c>
      <c r="L22" s="164"/>
      <c r="M22" s="164"/>
      <c r="N22" s="2" t="s">
        <v>1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2.5" customHeight="1">
      <c r="A23" s="2"/>
      <c r="B23" s="2"/>
      <c r="D23" s="2"/>
      <c r="E23" s="2"/>
      <c r="G23" s="2"/>
      <c r="H23" s="2"/>
      <c r="I23" s="2"/>
      <c r="K23" s="12"/>
      <c r="L23" s="5"/>
      <c r="M23" s="6"/>
      <c r="N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6" ht="22.5" customHeight="1">
      <c r="A24" s="2"/>
      <c r="B24" s="2" t="s">
        <v>93</v>
      </c>
      <c r="C24" s="2"/>
      <c r="D24" s="2"/>
      <c r="E24" s="2"/>
      <c r="F24" s="2"/>
      <c r="H24" s="2"/>
      <c r="J24" s="2"/>
      <c r="K24" s="13" t="str">
        <f>IF(P25&gt;0.25,"( L&gt;0.25mの場合)","( L≤0.25mの場合)")</f>
        <v>( L≤0.25mの場合)</v>
      </c>
      <c r="L24" s="2"/>
      <c r="M24" s="2"/>
      <c r="N24" s="2"/>
      <c r="O24" s="2"/>
      <c r="Q24" s="14"/>
      <c r="R24" s="14"/>
      <c r="S24" s="15"/>
      <c r="U24" s="11"/>
      <c r="W24" s="14"/>
      <c r="Y24" s="16"/>
      <c r="Z24" s="17" t="s">
        <v>94</v>
      </c>
    </row>
    <row r="25" spans="1:23" ht="22.5" customHeight="1">
      <c r="A25" s="2"/>
      <c r="C25" s="11" t="s">
        <v>95</v>
      </c>
      <c r="D25" s="2"/>
      <c r="E25" s="2"/>
      <c r="F25" s="2"/>
      <c r="G25" s="2"/>
      <c r="H25" s="2"/>
      <c r="N25" s="2" t="s">
        <v>96</v>
      </c>
      <c r="O25" s="2"/>
      <c r="P25" s="5">
        <f>(K18-K19-K22)</f>
        <v>0.22500000000000003</v>
      </c>
      <c r="Q25" s="6"/>
      <c r="R25" s="6"/>
      <c r="S25" s="18"/>
      <c r="T25" s="2" t="s">
        <v>1</v>
      </c>
      <c r="U25" s="16"/>
      <c r="V25" s="14"/>
      <c r="W25" s="14"/>
    </row>
    <row r="26" spans="1:47" ht="22.5" customHeight="1">
      <c r="A26" s="2"/>
      <c r="C26" s="13" t="str">
        <f>IF(P25&gt;0.25,"do = (80·L + 210) =","do = (280·L + 160) =")</f>
        <v>do = (280·L + 160) =</v>
      </c>
      <c r="D26" s="2"/>
      <c r="E26" s="2"/>
      <c r="F26" s="2"/>
      <c r="G26" s="2"/>
      <c r="L26" s="2" t="str">
        <f>IF(P25&gt;0.25,"{(80×"&amp;P25&amp;") + 210} = "&amp;ROUND((80*P25+210),0)&amp;" mm &gt; 160 mm","{(280×"&amp;P25&amp;") + 160} = "&amp;ROUND((280*P25+160),0)&amp;" mm &gt; 160 mm")</f>
        <v>{(280×0.225) + 160} = 223 mm &gt; 160 mm</v>
      </c>
      <c r="W26" s="2"/>
      <c r="X26" s="11"/>
      <c r="AG26" s="2"/>
      <c r="AH26" s="2"/>
      <c r="AI26" s="2"/>
      <c r="AJ26" s="2"/>
      <c r="AK26" s="2"/>
      <c r="AL26" s="2"/>
      <c r="AM26" s="2"/>
      <c r="AN26" s="2"/>
      <c r="AP26" s="2"/>
      <c r="AQ26" s="2"/>
      <c r="AR26" s="2"/>
      <c r="AS26" s="2"/>
      <c r="AT26" s="2"/>
      <c r="AU26" s="2"/>
    </row>
    <row r="27" spans="1:35" ht="22.5" customHeight="1">
      <c r="A27" s="2"/>
      <c r="C27" s="2" t="s">
        <v>97</v>
      </c>
      <c r="D27" s="2"/>
      <c r="E27" s="2"/>
      <c r="F27" s="2"/>
      <c r="J27" s="18">
        <f>AB28</f>
        <v>1.25</v>
      </c>
      <c r="K27" s="6"/>
      <c r="L27" s="19" t="s">
        <v>98</v>
      </c>
      <c r="M27" s="20">
        <v>1</v>
      </c>
      <c r="N27" s="6"/>
      <c r="O27" s="19" t="s">
        <v>98</v>
      </c>
      <c r="P27" s="18">
        <f>IF(P25&gt;0.25,ROUND((80*P25+210),0),ROUND((280*P25+160),0))</f>
        <v>223</v>
      </c>
      <c r="Q27" s="6"/>
      <c r="R27" s="6"/>
      <c r="S27" s="19" t="s">
        <v>99</v>
      </c>
      <c r="T27" s="18">
        <f>ROUND(J27*M27*P27,-1)</f>
        <v>280</v>
      </c>
      <c r="U27" s="6"/>
      <c r="V27" s="18"/>
      <c r="W27" s="2" t="s">
        <v>100</v>
      </c>
      <c r="Y27" s="19" t="s">
        <v>101</v>
      </c>
      <c r="AA27" s="185">
        <f>D18*100</f>
        <v>30</v>
      </c>
      <c r="AB27" s="185"/>
      <c r="AC27" s="185"/>
      <c r="AD27" s="11" t="s">
        <v>102</v>
      </c>
      <c r="AE27" s="2"/>
      <c r="AH27" s="2" t="str">
        <f>IF(T27&lt;=AA27*10,"O.K.","N.G.")</f>
        <v>O.K.</v>
      </c>
      <c r="AI27" s="2"/>
    </row>
    <row r="28" spans="1:58" ht="22.5" customHeight="1">
      <c r="A28" s="2"/>
      <c r="C28" s="2" t="s">
        <v>13</v>
      </c>
      <c r="D28" s="2"/>
      <c r="G28" s="2" t="s">
        <v>14</v>
      </c>
      <c r="Y28" s="2" t="s">
        <v>103</v>
      </c>
      <c r="AB28" s="18">
        <f>IF(AC18="500未満",1.1,IF(AC18="500以上1000未満",1.15,IF(AC18="1000以上2000未満",1.2,IF(AC18="2000以上",1.25,"入力確認要望"))))</f>
        <v>1.25</v>
      </c>
      <c r="AC28" s="78"/>
      <c r="AD28" s="2" t="s">
        <v>104</v>
      </c>
      <c r="AN28" s="2"/>
      <c r="AP28" s="2"/>
      <c r="AQ28" s="2"/>
      <c r="AR28" s="2"/>
      <c r="AS28" s="2"/>
      <c r="AT28" s="2"/>
      <c r="AU28" s="2"/>
      <c r="AV28" s="2"/>
      <c r="AW28" s="2"/>
      <c r="AY28" s="2"/>
      <c r="BB28" s="2"/>
      <c r="BC28" s="2"/>
      <c r="BD28" s="2"/>
      <c r="BE28" s="2"/>
      <c r="BF28" s="11"/>
    </row>
    <row r="29" spans="1:58" ht="22.5" customHeight="1">
      <c r="A29" s="2"/>
      <c r="C29" s="8"/>
      <c r="D29" s="2"/>
      <c r="E29" s="2"/>
      <c r="G29" s="2" t="s">
        <v>105</v>
      </c>
      <c r="AN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BA29" s="2"/>
      <c r="BB29" s="2"/>
      <c r="BC29" s="2"/>
      <c r="BD29" s="2"/>
      <c r="BE29" s="2"/>
      <c r="BF29" s="11"/>
    </row>
    <row r="30" spans="1:58" ht="22.5" customHeight="1">
      <c r="A30" s="2"/>
      <c r="C30" s="8"/>
      <c r="D30" s="2"/>
      <c r="E30" s="2"/>
      <c r="G30" s="2"/>
      <c r="I30" s="2" t="s">
        <v>106</v>
      </c>
      <c r="Z30" s="2"/>
      <c r="AN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BA30" s="2"/>
      <c r="BB30" s="2"/>
      <c r="BC30" s="2"/>
      <c r="BD30" s="2"/>
      <c r="BE30" s="2"/>
      <c r="BF30" s="11"/>
    </row>
    <row r="31" spans="1:33" ht="22.5" customHeight="1" thickBot="1">
      <c r="A31" s="2"/>
      <c r="B31" s="11" t="s">
        <v>107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3" t="s">
        <v>81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4" ht="22.5" customHeight="1" thickBot="1">
      <c r="A32" s="2"/>
      <c r="B32" s="187" t="s">
        <v>15</v>
      </c>
      <c r="C32" s="187"/>
      <c r="D32" s="187"/>
      <c r="E32" s="187"/>
      <c r="F32" s="188"/>
      <c r="G32" s="186" t="s">
        <v>108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8"/>
      <c r="Y32" s="186" t="s">
        <v>109</v>
      </c>
      <c r="Z32" s="187"/>
      <c r="AA32" s="187"/>
      <c r="AB32" s="188"/>
      <c r="AC32" s="186" t="s">
        <v>110</v>
      </c>
      <c r="AD32" s="187"/>
      <c r="AE32" s="187"/>
      <c r="AF32" s="187"/>
      <c r="AG32" s="187"/>
      <c r="AH32" s="187"/>
    </row>
    <row r="33" spans="1:34" ht="22.5" customHeight="1" thickTop="1">
      <c r="A33" s="2"/>
      <c r="B33" s="189">
        <v>1</v>
      </c>
      <c r="C33" s="189"/>
      <c r="D33" s="189"/>
      <c r="E33" s="189"/>
      <c r="F33" s="190"/>
      <c r="G33" s="23" t="str">
        <f>K15&amp;" × "&amp;D17&amp;" × "&amp;AC14</f>
        <v>0.25 × 0.89 × 24.5</v>
      </c>
      <c r="H33" s="24"/>
      <c r="I33" s="24"/>
      <c r="J33" s="24"/>
      <c r="K33" s="24"/>
      <c r="L33" s="24"/>
      <c r="M33" s="25"/>
      <c r="N33" s="25"/>
      <c r="O33" s="25"/>
      <c r="P33" s="25"/>
      <c r="Q33" s="25"/>
      <c r="R33" s="25"/>
      <c r="S33" s="25"/>
      <c r="T33" s="26" t="s">
        <v>16</v>
      </c>
      <c r="U33" s="27">
        <f>ROUND(D17*K15*AC14,3)</f>
        <v>5.451</v>
      </c>
      <c r="V33" s="27"/>
      <c r="W33" s="26"/>
      <c r="X33" s="28"/>
      <c r="Y33" s="29">
        <f>ROUND(K18+K17+K16+K15/2-K19,3)</f>
        <v>0.815</v>
      </c>
      <c r="Z33" s="27"/>
      <c r="AA33" s="27"/>
      <c r="AB33" s="28"/>
      <c r="AC33" s="29">
        <f>-ROUND(U33*Y33,3)</f>
        <v>-4.443</v>
      </c>
      <c r="AD33" s="27"/>
      <c r="AE33" s="27"/>
      <c r="AF33" s="27"/>
      <c r="AG33" s="28"/>
      <c r="AH33" s="28"/>
    </row>
    <row r="34" spans="1:34" ht="22.5" customHeight="1">
      <c r="A34" s="2"/>
      <c r="B34" s="191">
        <v>2</v>
      </c>
      <c r="C34" s="191"/>
      <c r="D34" s="191"/>
      <c r="E34" s="191"/>
      <c r="F34" s="192"/>
      <c r="G34" s="30" t="str">
        <f>"½ × "&amp;K16&amp;" × "&amp;D17&amp;" × "&amp;AC14</f>
        <v>½ × 0.09 × 0.89 × 24.5</v>
      </c>
      <c r="H34" s="11"/>
      <c r="I34" s="11"/>
      <c r="J34" s="11"/>
      <c r="K34" s="11"/>
      <c r="L34" s="11"/>
      <c r="T34" s="15" t="s">
        <v>16</v>
      </c>
      <c r="U34" s="31">
        <f>ROUND(0.5*K16*D17*AC14,3)</f>
        <v>0.981</v>
      </c>
      <c r="V34" s="31"/>
      <c r="W34" s="15"/>
      <c r="X34" s="6"/>
      <c r="Y34" s="32">
        <f>ROUND(K18+K17+K16*2/3-K19,3)</f>
        <v>0.66</v>
      </c>
      <c r="Z34" s="31"/>
      <c r="AA34" s="31"/>
      <c r="AB34" s="6"/>
      <c r="AC34" s="32">
        <f>-ROUND(U34*Y34,3)</f>
        <v>-0.647</v>
      </c>
      <c r="AD34" s="31"/>
      <c r="AE34" s="31"/>
      <c r="AF34" s="31"/>
      <c r="AG34" s="6"/>
      <c r="AH34" s="6"/>
    </row>
    <row r="35" spans="1:34" ht="22.5" customHeight="1">
      <c r="A35" s="2"/>
      <c r="B35" s="189">
        <v>3</v>
      </c>
      <c r="C35" s="189"/>
      <c r="D35" s="189"/>
      <c r="E35" s="189"/>
      <c r="F35" s="190"/>
      <c r="G35" s="33" t="str">
        <f>(K15+K16)&amp;" × "&amp;(D15+D16)&amp;" × "&amp;AC14</f>
        <v>0.34 × 0.29 × 24.5</v>
      </c>
      <c r="H35" s="34"/>
      <c r="I35" s="34"/>
      <c r="J35" s="34"/>
      <c r="K35" s="34"/>
      <c r="L35" s="34"/>
      <c r="M35" s="35"/>
      <c r="N35" s="35"/>
      <c r="O35" s="35"/>
      <c r="P35" s="35"/>
      <c r="Q35" s="35"/>
      <c r="R35" s="35"/>
      <c r="S35" s="35"/>
      <c r="T35" s="36" t="s">
        <v>16</v>
      </c>
      <c r="U35" s="37">
        <f>ROUND((K15+K16)*(D15+D16)*AC14,3)</f>
        <v>2.416</v>
      </c>
      <c r="V35" s="37"/>
      <c r="W35" s="36"/>
      <c r="X35" s="38"/>
      <c r="Y35" s="39">
        <f>ROUND(K18+K17+(K16+K15)/2-K19,3)</f>
        <v>0.77</v>
      </c>
      <c r="Z35" s="37"/>
      <c r="AA35" s="37"/>
      <c r="AB35" s="38"/>
      <c r="AC35" s="39">
        <f>-ROUND(U35*Y35,3)</f>
        <v>-1.86</v>
      </c>
      <c r="AD35" s="37"/>
      <c r="AE35" s="37"/>
      <c r="AF35" s="37"/>
      <c r="AG35" s="38"/>
      <c r="AH35" s="38"/>
    </row>
    <row r="36" spans="1:34" ht="22.5" customHeight="1">
      <c r="A36" s="2"/>
      <c r="B36" s="191">
        <v>4</v>
      </c>
      <c r="C36" s="191"/>
      <c r="D36" s="191"/>
      <c r="E36" s="191"/>
      <c r="F36" s="192"/>
      <c r="G36" s="30" t="str">
        <f>"½ × "&amp;K17&amp;" × "&amp;D16&amp;" × "&amp;AC14</f>
        <v>½ × 0.125 × 0.18 × 24.5</v>
      </c>
      <c r="H36" s="11"/>
      <c r="I36" s="11"/>
      <c r="J36" s="11"/>
      <c r="K36" s="11"/>
      <c r="L36" s="11"/>
      <c r="T36" s="15" t="s">
        <v>16</v>
      </c>
      <c r="U36" s="31">
        <f>ROUND(0.5*K17*D16*AC14,3)</f>
        <v>0.276</v>
      </c>
      <c r="V36" s="31"/>
      <c r="W36" s="15"/>
      <c r="X36" s="6"/>
      <c r="Y36" s="32">
        <f>ROUND(K18+K17*2/3-K19,3)</f>
        <v>0.558</v>
      </c>
      <c r="Z36" s="31"/>
      <c r="AA36" s="31"/>
      <c r="AB36" s="6"/>
      <c r="AC36" s="32">
        <f>-ROUND(U36*Y36,3)</f>
        <v>-0.154</v>
      </c>
      <c r="AD36" s="31"/>
      <c r="AE36" s="31"/>
      <c r="AF36" s="31"/>
      <c r="AG36" s="6"/>
      <c r="AH36" s="6"/>
    </row>
    <row r="37" spans="1:34" ht="22.5" customHeight="1" thickBot="1">
      <c r="A37" s="2"/>
      <c r="B37" s="193">
        <v>5</v>
      </c>
      <c r="C37" s="193"/>
      <c r="D37" s="193"/>
      <c r="E37" s="193"/>
      <c r="F37" s="194"/>
      <c r="G37" s="116" t="str">
        <f>K17&amp;" × "&amp;D15&amp;" × "&amp;AC14</f>
        <v>0.125 × 0.11 × 24.5</v>
      </c>
      <c r="H37" s="117"/>
      <c r="I37" s="117"/>
      <c r="J37" s="117"/>
      <c r="K37" s="117"/>
      <c r="L37" s="117"/>
      <c r="M37" s="118"/>
      <c r="N37" s="118"/>
      <c r="O37" s="118"/>
      <c r="P37" s="118"/>
      <c r="Q37" s="118"/>
      <c r="R37" s="118"/>
      <c r="S37" s="118"/>
      <c r="T37" s="119" t="s">
        <v>16</v>
      </c>
      <c r="U37" s="120">
        <f>ROUND(K17*D15*AC14,3)</f>
        <v>0.337</v>
      </c>
      <c r="V37" s="120"/>
      <c r="W37" s="119"/>
      <c r="X37" s="121"/>
      <c r="Y37" s="122">
        <f>ROUND(K18+K17/2-K19,3)</f>
        <v>0.538</v>
      </c>
      <c r="Z37" s="120"/>
      <c r="AA37" s="120"/>
      <c r="AB37" s="121"/>
      <c r="AC37" s="122">
        <f>-ROUND(U37*Y37,3)</f>
        <v>-0.181</v>
      </c>
      <c r="AD37" s="120"/>
      <c r="AE37" s="120"/>
      <c r="AF37" s="120"/>
      <c r="AG37" s="121"/>
      <c r="AH37" s="121"/>
    </row>
    <row r="38" spans="1:34" ht="22.5" customHeight="1" thickBot="1" thickTop="1">
      <c r="A38" s="2"/>
      <c r="B38" s="195" t="s">
        <v>111</v>
      </c>
      <c r="C38" s="195"/>
      <c r="D38" s="195"/>
      <c r="E38" s="195"/>
      <c r="F38" s="196"/>
      <c r="G38" s="40"/>
      <c r="H38" s="41"/>
      <c r="I38" s="41"/>
      <c r="J38" s="41"/>
      <c r="K38" s="41"/>
      <c r="L38" s="41"/>
      <c r="M38" s="42"/>
      <c r="N38" s="42"/>
      <c r="O38" s="42"/>
      <c r="P38" s="42"/>
      <c r="Q38" s="42"/>
      <c r="R38" s="42"/>
      <c r="S38" s="42"/>
      <c r="T38" s="43"/>
      <c r="U38" s="44">
        <f>SUM(U33:U37)</f>
        <v>9.460999999999999</v>
      </c>
      <c r="V38" s="44"/>
      <c r="W38" s="43"/>
      <c r="X38" s="45"/>
      <c r="Y38" s="46" t="s">
        <v>112</v>
      </c>
      <c r="Z38" s="44"/>
      <c r="AA38" s="44"/>
      <c r="AB38" s="45"/>
      <c r="AC38" s="46">
        <f>SUM(AC33:AC37)</f>
        <v>-7.285</v>
      </c>
      <c r="AD38" s="44"/>
      <c r="AE38" s="44"/>
      <c r="AF38" s="44"/>
      <c r="AG38" s="45"/>
      <c r="AH38" s="45"/>
    </row>
    <row r="39" spans="1:34" ht="22.5" customHeight="1" thickTop="1">
      <c r="A39" s="2"/>
      <c r="B39" s="189">
        <v>6</v>
      </c>
      <c r="C39" s="189"/>
      <c r="D39" s="189"/>
      <c r="E39" s="189"/>
      <c r="F39" s="190"/>
      <c r="G39" s="30" t="str">
        <f>K14+K15+K16+K17+K18-K19&amp;" × "&amp;D14&amp;" × "&amp;AC14</f>
        <v>0.94 × 0.25 × 24.5</v>
      </c>
      <c r="H39" s="11"/>
      <c r="I39" s="11"/>
      <c r="J39" s="11"/>
      <c r="K39" s="11"/>
      <c r="L39" s="11"/>
      <c r="T39" s="15" t="s">
        <v>16</v>
      </c>
      <c r="U39" s="31">
        <f>ROUND((K14+K15+K16+K17+K18-K19)*D14*AC14,3)</f>
        <v>5.758</v>
      </c>
      <c r="V39" s="31"/>
      <c r="W39" s="15"/>
      <c r="X39" s="6"/>
      <c r="Y39" s="32">
        <f>ROUND((K14+K15+K16+K17+K18-K19)/2,3)</f>
        <v>0.47</v>
      </c>
      <c r="Z39" s="31"/>
      <c r="AA39" s="31"/>
      <c r="AB39" s="6"/>
      <c r="AC39" s="32">
        <f>-ROUND(U39*Y39,3)</f>
        <v>-2.706</v>
      </c>
      <c r="AD39" s="31"/>
      <c r="AE39" s="31"/>
      <c r="AF39" s="31"/>
      <c r="AG39" s="6"/>
      <c r="AH39" s="6"/>
    </row>
    <row r="40" spans="1:34" ht="22.5" customHeight="1">
      <c r="A40" s="2"/>
      <c r="B40" s="191">
        <v>7</v>
      </c>
      <c r="C40" s="191"/>
      <c r="D40" s="191"/>
      <c r="E40" s="191"/>
      <c r="F40" s="192"/>
      <c r="G40" s="33" t="str">
        <f>K18-K19&amp;" × "&amp;D19&amp;" × "&amp;AC15</f>
        <v>0.475 × 0.08 × 22.5</v>
      </c>
      <c r="H40" s="34"/>
      <c r="I40" s="34"/>
      <c r="J40" s="34"/>
      <c r="K40" s="34"/>
      <c r="L40" s="34"/>
      <c r="M40" s="35"/>
      <c r="N40" s="35"/>
      <c r="O40" s="35"/>
      <c r="P40" s="35"/>
      <c r="Q40" s="35"/>
      <c r="R40" s="35"/>
      <c r="S40" s="35"/>
      <c r="T40" s="36" t="s">
        <v>16</v>
      </c>
      <c r="U40" s="37">
        <f>ROUND((K18-K19)*D19*AC15,3)</f>
        <v>0.855</v>
      </c>
      <c r="V40" s="37"/>
      <c r="W40" s="36"/>
      <c r="X40" s="38"/>
      <c r="Y40" s="39">
        <f>ROUND((K18-K19)/2,3)</f>
        <v>0.238</v>
      </c>
      <c r="Z40" s="37"/>
      <c r="AA40" s="37"/>
      <c r="AB40" s="38"/>
      <c r="AC40" s="39">
        <f>-ROUND(U40*Y40,3)</f>
        <v>-0.203</v>
      </c>
      <c r="AD40" s="37"/>
      <c r="AE40" s="37"/>
      <c r="AF40" s="37"/>
      <c r="AG40" s="38"/>
      <c r="AH40" s="38"/>
    </row>
    <row r="41" spans="1:34" ht="22.5" customHeight="1">
      <c r="A41" s="2"/>
      <c r="B41" s="189">
        <v>8</v>
      </c>
      <c r="C41" s="189"/>
      <c r="D41" s="189"/>
      <c r="E41" s="189"/>
      <c r="F41" s="190"/>
      <c r="G41" s="30" t="str">
        <f>"½ × "&amp;K21&amp;" × "&amp;D18-D14&amp;" × "&amp;AC14</f>
        <v>½ × 0.88 × 0.05 × 24.5</v>
      </c>
      <c r="H41" s="11"/>
      <c r="I41" s="11"/>
      <c r="J41" s="11"/>
      <c r="K41" s="11"/>
      <c r="L41" s="11"/>
      <c r="T41" s="15" t="s">
        <v>16</v>
      </c>
      <c r="U41" s="31">
        <f>ROUND(0.5*K21*(D18-D14)*AC14,3)</f>
        <v>0.539</v>
      </c>
      <c r="V41" s="31"/>
      <c r="W41" s="15"/>
      <c r="X41" s="6"/>
      <c r="Y41" s="32">
        <f>ROUND((K20-K19)+(K21)/3,3)</f>
        <v>0.353</v>
      </c>
      <c r="Z41" s="31"/>
      <c r="AA41" s="31"/>
      <c r="AB41" s="6"/>
      <c r="AC41" s="32">
        <f>-ROUND(U41*Y41,3)</f>
        <v>-0.19</v>
      </c>
      <c r="AD41" s="31"/>
      <c r="AE41" s="31"/>
      <c r="AF41" s="31"/>
      <c r="AG41" s="6"/>
      <c r="AH41" s="6"/>
    </row>
    <row r="42" spans="1:34" ht="22.5" customHeight="1">
      <c r="A42" s="2"/>
      <c r="B42" s="191">
        <v>9</v>
      </c>
      <c r="C42" s="191"/>
      <c r="D42" s="191"/>
      <c r="E42" s="191"/>
      <c r="F42" s="192"/>
      <c r="G42" s="33" t="str">
        <f>K20-K19&amp;" × "&amp;D18-D14&amp;" × "&amp;AC14</f>
        <v>0.06 × 0.05 × 24.5</v>
      </c>
      <c r="H42" s="34"/>
      <c r="I42" s="34"/>
      <c r="J42" s="34"/>
      <c r="K42" s="34"/>
      <c r="L42" s="34"/>
      <c r="M42" s="35"/>
      <c r="N42" s="35"/>
      <c r="O42" s="35"/>
      <c r="P42" s="35"/>
      <c r="Q42" s="35"/>
      <c r="R42" s="35"/>
      <c r="S42" s="35"/>
      <c r="T42" s="36" t="s">
        <v>16</v>
      </c>
      <c r="U42" s="37">
        <f>(K20-K19)*(D18-D14)*AC14</f>
        <v>0.07349999999999998</v>
      </c>
      <c r="V42" s="37"/>
      <c r="W42" s="36"/>
      <c r="X42" s="38"/>
      <c r="Y42" s="39">
        <f>(K20-K19)/2</f>
        <v>0.03</v>
      </c>
      <c r="Z42" s="37"/>
      <c r="AA42" s="37"/>
      <c r="AB42" s="38"/>
      <c r="AC42" s="47">
        <f>-U42*Y42</f>
        <v>-0.0022049999999999995</v>
      </c>
      <c r="AD42" s="48"/>
      <c r="AE42" s="48"/>
      <c r="AF42" s="48"/>
      <c r="AG42" s="38"/>
      <c r="AH42" s="38"/>
    </row>
    <row r="43" spans="1:34" ht="22.5" customHeight="1" thickBot="1">
      <c r="A43" s="2"/>
      <c r="B43" s="198" t="s">
        <v>17</v>
      </c>
      <c r="C43" s="198"/>
      <c r="D43" s="198"/>
      <c r="E43" s="198"/>
      <c r="F43" s="199"/>
      <c r="G43" s="49"/>
      <c r="H43" s="21"/>
      <c r="I43" s="21"/>
      <c r="J43" s="21"/>
      <c r="K43" s="21"/>
      <c r="L43" s="21"/>
      <c r="M43" s="22"/>
      <c r="N43" s="22"/>
      <c r="O43" s="22"/>
      <c r="P43" s="22"/>
      <c r="Q43" s="22"/>
      <c r="R43" s="22"/>
      <c r="S43" s="22"/>
      <c r="T43" s="50"/>
      <c r="U43" s="51">
        <f>ROUND(SUM(U38:U42),3)</f>
        <v>16.687</v>
      </c>
      <c r="V43" s="51"/>
      <c r="W43" s="50"/>
      <c r="X43" s="52"/>
      <c r="Y43" s="53" t="s">
        <v>112</v>
      </c>
      <c r="Z43" s="51"/>
      <c r="AA43" s="51"/>
      <c r="AB43" s="52"/>
      <c r="AC43" s="53">
        <f>ROUND(SUM(AC38:AC42),3)</f>
        <v>-10.386</v>
      </c>
      <c r="AD43" s="51"/>
      <c r="AE43" s="51"/>
      <c r="AF43" s="51"/>
      <c r="AG43" s="52"/>
      <c r="AH43" s="52"/>
    </row>
    <row r="44" spans="1:34" ht="22.5" customHeight="1">
      <c r="A44" s="2"/>
      <c r="B44" s="2"/>
      <c r="C44" s="2"/>
      <c r="D44" s="2"/>
      <c r="E44" s="2"/>
      <c r="G44" s="2"/>
      <c r="H44" s="2"/>
      <c r="I44" s="2"/>
      <c r="J44" s="2"/>
      <c r="K44" s="2"/>
      <c r="L44" s="2"/>
      <c r="M44" s="2"/>
      <c r="N44" s="2"/>
      <c r="O44" s="2"/>
      <c r="P44" s="2"/>
      <c r="Z44" s="54" t="str">
        <f>"∴ Md = "&amp;AC43&amp;" kN·m "</f>
        <v>∴ Md = -10.386 kN·m </v>
      </c>
      <c r="AA44" s="54"/>
      <c r="AB44" s="54"/>
      <c r="AC44" s="54"/>
      <c r="AD44" s="54"/>
      <c r="AE44" s="54"/>
      <c r="AF44" s="54"/>
      <c r="AG44" s="54"/>
      <c r="AH44" s="54"/>
    </row>
    <row r="45" spans="1:12" ht="22.5" customHeight="1">
      <c r="A45" s="2"/>
      <c r="B45" s="2" t="s">
        <v>113</v>
      </c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34" ht="22.5" customHeight="1">
      <c r="A46" s="2"/>
      <c r="B46" s="2"/>
      <c r="C46" s="3" t="s">
        <v>114</v>
      </c>
      <c r="O46" s="3" t="s">
        <v>99</v>
      </c>
      <c r="P46" s="2" t="s">
        <v>115</v>
      </c>
      <c r="S46" s="3" t="s">
        <v>99</v>
      </c>
      <c r="T46" s="55">
        <f>ABS(AC38)</f>
        <v>7.285</v>
      </c>
      <c r="U46" s="55"/>
      <c r="V46" s="55"/>
      <c r="W46" s="55"/>
      <c r="X46" s="56" t="s">
        <v>116</v>
      </c>
      <c r="Y46" s="55">
        <f>U38</f>
        <v>9.460999999999999</v>
      </c>
      <c r="Z46" s="55"/>
      <c r="AA46" s="55"/>
      <c r="AB46" s="55"/>
      <c r="AC46" s="11" t="s">
        <v>99</v>
      </c>
      <c r="AD46" s="55">
        <f>T46/Y46</f>
        <v>0.7700031709121659</v>
      </c>
      <c r="AE46" s="55"/>
      <c r="AF46" s="55"/>
      <c r="AG46" s="55"/>
      <c r="AH46" s="11" t="s">
        <v>47</v>
      </c>
    </row>
    <row r="47" spans="1:33" ht="22.5" customHeight="1">
      <c r="A47" s="2"/>
      <c r="B47" s="2"/>
      <c r="C47" s="2" t="s">
        <v>117</v>
      </c>
      <c r="D47" s="2"/>
      <c r="H47" s="55"/>
      <c r="I47" s="55"/>
      <c r="J47" s="55"/>
      <c r="K47" s="55"/>
      <c r="L47" s="56"/>
      <c r="M47" s="55"/>
      <c r="N47" s="55"/>
      <c r="O47" s="55" t="s">
        <v>99</v>
      </c>
      <c r="P47" s="55"/>
      <c r="Q47" s="11" t="s">
        <v>118</v>
      </c>
      <c r="R47" s="55"/>
      <c r="S47" s="55">
        <f>K18-K19</f>
        <v>0.47500000000000003</v>
      </c>
      <c r="T47" s="55"/>
      <c r="U47" s="55"/>
      <c r="V47" s="11" t="s">
        <v>99</v>
      </c>
      <c r="W47" s="55">
        <f>AD46-S47</f>
        <v>0.2950031709121658</v>
      </c>
      <c r="X47" s="55"/>
      <c r="Y47" s="55"/>
      <c r="Z47" s="55"/>
      <c r="AA47" s="11" t="s">
        <v>47</v>
      </c>
      <c r="AB47" s="57"/>
      <c r="AC47" s="8"/>
      <c r="AG47" s="11"/>
    </row>
    <row r="48" spans="1:33" ht="22.5" customHeight="1">
      <c r="A48" s="2"/>
      <c r="B48" s="2"/>
      <c r="C48" s="2"/>
      <c r="D48" s="2"/>
      <c r="H48" s="55"/>
      <c r="I48" s="55"/>
      <c r="J48" s="55"/>
      <c r="K48" s="55"/>
      <c r="L48" s="56"/>
      <c r="M48" s="55"/>
      <c r="N48" s="55"/>
      <c r="O48" s="55"/>
      <c r="P48" s="55"/>
      <c r="Q48" s="11"/>
      <c r="R48" s="55"/>
      <c r="S48" s="55"/>
      <c r="T48" s="55"/>
      <c r="U48" s="55"/>
      <c r="V48" s="11"/>
      <c r="W48" s="55"/>
      <c r="X48" s="55"/>
      <c r="Y48" s="55"/>
      <c r="Z48" s="55"/>
      <c r="AA48" s="11"/>
      <c r="AG48" s="11"/>
    </row>
    <row r="49" spans="1:24" ht="22.5" customHeight="1">
      <c r="A49" s="2"/>
      <c r="B49" s="11" t="s">
        <v>119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1"/>
      <c r="X49" s="11"/>
    </row>
    <row r="50" spans="1:24" ht="22.5" customHeight="1">
      <c r="A50" s="2"/>
      <c r="B50" s="11"/>
      <c r="C50" s="2">
        <f>IF(AS14="(一般部)","","T荷重(衝撃を含む)による設計曲げモーメントとして8.2.4に規定する値の２倍を用いるものとする。")</f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1"/>
      <c r="X50" s="11"/>
    </row>
    <row r="51" spans="1:24" ht="22.5" customHeight="1">
      <c r="A51" s="2"/>
      <c r="B51" s="58" t="s">
        <v>120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1"/>
      <c r="X51" s="11"/>
    </row>
    <row r="52" spans="1:24" ht="22.5" customHeight="1">
      <c r="A52" s="2"/>
      <c r="C52" s="2" t="str">
        <f>IF(U16="A",IF(AS14="(一般部)","Ml = - PL / ( 1.30L ＋ 0.25 ) × 0.80","Ml = - PL / ( 1.30L ＋ 0.25 ) × 0.80 × 2"),IF(AS14="(一般部)","Ml = - PL / ( 1.30L ＋ 0.25 )","Ml = - PL / ( 1.30L ＋ 0.25 ) × 2"))</f>
        <v>Ml = - PL / ( 1.30L ＋ 0.25 )</v>
      </c>
      <c r="D52" s="5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R52" s="2"/>
      <c r="S52" s="2"/>
      <c r="T52" s="2"/>
      <c r="U52" s="16"/>
      <c r="V52" s="11"/>
      <c r="W52" s="17" t="s">
        <v>121</v>
      </c>
      <c r="X52" s="2"/>
    </row>
    <row r="53" spans="4:37" ht="22.5" customHeight="1">
      <c r="D53" s="19" t="s">
        <v>99</v>
      </c>
      <c r="E53" s="59" t="s">
        <v>122</v>
      </c>
      <c r="F53" s="60">
        <f>X17</f>
        <v>100</v>
      </c>
      <c r="G53" s="6"/>
      <c r="H53" s="6"/>
      <c r="I53" s="2" t="s">
        <v>98</v>
      </c>
      <c r="J53" s="5">
        <f>P25</f>
        <v>0.22500000000000003</v>
      </c>
      <c r="K53" s="6"/>
      <c r="L53" s="6"/>
      <c r="M53" s="56" t="s">
        <v>116</v>
      </c>
      <c r="N53" s="3" t="s">
        <v>123</v>
      </c>
      <c r="O53" s="61">
        <v>1.3</v>
      </c>
      <c r="P53" s="61"/>
      <c r="Q53" s="61"/>
      <c r="R53" s="2" t="s">
        <v>98</v>
      </c>
      <c r="S53" s="5">
        <f>J53</f>
        <v>0.22500000000000003</v>
      </c>
      <c r="T53" s="6"/>
      <c r="U53" s="6"/>
      <c r="V53" s="3" t="s">
        <v>124</v>
      </c>
      <c r="W53" s="61">
        <v>0.25</v>
      </c>
      <c r="X53" s="61"/>
      <c r="Y53" s="61"/>
      <c r="Z53" s="3" t="s">
        <v>104</v>
      </c>
      <c r="AA53" s="3">
        <f>IF(U16="A",IF(AS14="(一般部)","× 0.80","× 0.80× 2 "),IF(AS14="(一般部)","","× 2"))</f>
      </c>
      <c r="AF53" s="3" t="s">
        <v>99</v>
      </c>
      <c r="AG53" s="55">
        <f>IF(U16="A",IF(AS14="(一般部)",-F53*J53/(O53*S53+W53)*0.8,-F53*J53/(O53*S53+W53)*0.8*2),IF(U16="B",IF(AS14="(一般部)",-F53*J53/(O53*S53+W53),-F53*J53/(O53*S53+W53)*2),"ERROR"))</f>
        <v>-41.47465437788019</v>
      </c>
      <c r="AH53" s="55"/>
      <c r="AI53" s="55"/>
      <c r="AJ53" s="55"/>
      <c r="AK53" s="3" t="s">
        <v>18</v>
      </c>
    </row>
    <row r="54" spans="2:8" ht="22.5" customHeight="1">
      <c r="B54" s="58" t="s">
        <v>125</v>
      </c>
      <c r="H54" s="2"/>
    </row>
    <row r="55" spans="3:14" ht="22.5" customHeight="1">
      <c r="C55" s="2" t="str">
        <f>IF(U16="A",IF(AS14="(一般部)","Ml = ( 0.15L ＋ 0.13 ) P × 0.80","Ml = ( 0.15L ＋ 0.13 ) P × 0.80 × 2"),IF(AS14="(一般部)","Ml = ( 0.15L ＋ 0.13 ) P","Ml = ( 0.15L ＋ 0.13 ) P × 2"))</f>
        <v>Ml = ( 0.15L ＋ 0.13 ) P</v>
      </c>
      <c r="D55" s="58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4:37" ht="22.5" customHeight="1">
      <c r="D56" s="19" t="s">
        <v>99</v>
      </c>
      <c r="E56" s="59" t="s">
        <v>123</v>
      </c>
      <c r="F56" s="62">
        <v>0.15</v>
      </c>
      <c r="G56" s="6"/>
      <c r="H56" s="6"/>
      <c r="I56" s="2" t="s">
        <v>98</v>
      </c>
      <c r="J56" s="5">
        <f>P25</f>
        <v>0.22500000000000003</v>
      </c>
      <c r="K56" s="6"/>
      <c r="L56" s="6"/>
      <c r="M56" s="3" t="s">
        <v>124</v>
      </c>
      <c r="N56" s="61">
        <v>0.13</v>
      </c>
      <c r="O56" s="61"/>
      <c r="P56" s="61"/>
      <c r="Q56" s="3" t="s">
        <v>104</v>
      </c>
      <c r="R56" s="2" t="s">
        <v>98</v>
      </c>
      <c r="S56" s="63">
        <f>X17</f>
        <v>100</v>
      </c>
      <c r="T56" s="61"/>
      <c r="U56" s="61"/>
      <c r="V56" s="3">
        <f>IF(U16="A",IF(AS14="(一般部)","× 0.80","× 0.80× 2"),IF(AS14="(一般部)","","× 2"))</f>
      </c>
      <c r="AF56" s="3" t="s">
        <v>99</v>
      </c>
      <c r="AG56" s="55">
        <f>IF(U16="A",IF(AS14="(一般部)",(F56*J56+N56)*S56*0.8,(F56*J56+N56)*S56*0.8*2),IF(U16="B",IF(AS14="(一般部)",(F56*J56+N56)*S56,(F56*J56+N56)*S56*2),"ERROR"))</f>
        <v>16.375</v>
      </c>
      <c r="AH56" s="55"/>
      <c r="AI56" s="55"/>
      <c r="AJ56" s="55"/>
      <c r="AK56" s="3" t="s">
        <v>18</v>
      </c>
    </row>
    <row r="58" ht="22.5" customHeight="1">
      <c r="B58" s="3" t="s">
        <v>126</v>
      </c>
    </row>
    <row r="59" spans="3:16" ht="22.5" customHeight="1">
      <c r="C59" s="3" t="s">
        <v>127</v>
      </c>
      <c r="M59" s="202">
        <v>22</v>
      </c>
      <c r="N59" s="202"/>
      <c r="O59" s="202"/>
      <c r="P59" s="3" t="s">
        <v>128</v>
      </c>
    </row>
    <row r="60" spans="3:27" s="7" customFormat="1" ht="22.5" customHeight="1">
      <c r="C60" s="7" t="s">
        <v>129</v>
      </c>
      <c r="J60" s="79">
        <f>D15+D16+D17-D19</f>
        <v>1.0999999999999999</v>
      </c>
      <c r="K60" s="79"/>
      <c r="L60" s="79"/>
      <c r="M60" s="7" t="s">
        <v>124</v>
      </c>
      <c r="N60" s="79">
        <f>D19</f>
        <v>0.08</v>
      </c>
      <c r="O60" s="79"/>
      <c r="P60" s="79"/>
      <c r="Q60" s="7" t="s">
        <v>124</v>
      </c>
      <c r="R60" s="79">
        <f>D14</f>
        <v>0.25</v>
      </c>
      <c r="S60" s="79"/>
      <c r="T60" s="79"/>
      <c r="U60" s="80" t="s">
        <v>116</v>
      </c>
      <c r="V60" s="81">
        <v>2</v>
      </c>
      <c r="W60" s="7" t="s">
        <v>99</v>
      </c>
      <c r="X60" s="79">
        <f>J60+N60+R60/2</f>
        <v>1.305</v>
      </c>
      <c r="Y60" s="79"/>
      <c r="Z60" s="79"/>
      <c r="AA60" s="7" t="s">
        <v>47</v>
      </c>
    </row>
    <row r="61" spans="3:18" ht="22.5" customHeight="1">
      <c r="C61" s="3" t="s">
        <v>130</v>
      </c>
      <c r="F61" s="61">
        <f>-M59</f>
        <v>-22</v>
      </c>
      <c r="G61" s="61"/>
      <c r="H61" s="61"/>
      <c r="I61" s="2" t="s">
        <v>98</v>
      </c>
      <c r="J61" s="55">
        <f>X60</f>
        <v>1.305</v>
      </c>
      <c r="K61" s="55"/>
      <c r="L61" s="55"/>
      <c r="M61" s="3" t="s">
        <v>99</v>
      </c>
      <c r="N61" s="55">
        <f>F61*J61</f>
        <v>-28.709999999999997</v>
      </c>
      <c r="O61" s="55"/>
      <c r="P61" s="55"/>
      <c r="Q61" s="55"/>
      <c r="R61" s="3" t="s">
        <v>18</v>
      </c>
    </row>
    <row r="63" ht="22.5" customHeight="1">
      <c r="B63" s="3" t="s">
        <v>131</v>
      </c>
    </row>
    <row r="64" spans="3:16" ht="22.5" customHeight="1">
      <c r="C64" s="3" t="s">
        <v>132</v>
      </c>
      <c r="I64" s="202">
        <v>3</v>
      </c>
      <c r="J64" s="202"/>
      <c r="K64" s="202"/>
      <c r="L64" s="3" t="s">
        <v>133</v>
      </c>
      <c r="P64" s="3" t="s">
        <v>134</v>
      </c>
    </row>
    <row r="65" spans="3:29" ht="22.5" customHeight="1">
      <c r="C65" s="3" t="s">
        <v>135</v>
      </c>
      <c r="J65" s="55">
        <f>D15+D16+D17-D19</f>
        <v>1.0999999999999999</v>
      </c>
      <c r="K65" s="55"/>
      <c r="L65" s="55"/>
      <c r="M65" s="56" t="s">
        <v>116</v>
      </c>
      <c r="N65" s="59">
        <v>2</v>
      </c>
      <c r="O65" s="3" t="s">
        <v>124</v>
      </c>
      <c r="P65" s="55">
        <f>D19</f>
        <v>0.08</v>
      </c>
      <c r="Q65" s="55"/>
      <c r="R65" s="55"/>
      <c r="S65" s="3" t="s">
        <v>124</v>
      </c>
      <c r="T65" s="55">
        <f>D14</f>
        <v>0.25</v>
      </c>
      <c r="U65" s="55"/>
      <c r="V65" s="55"/>
      <c r="W65" s="56" t="s">
        <v>116</v>
      </c>
      <c r="X65" s="59">
        <v>2</v>
      </c>
      <c r="Y65" s="3" t="s">
        <v>99</v>
      </c>
      <c r="Z65" s="55">
        <f>J65/2+P65+T65/2</f>
        <v>0.7549999999999999</v>
      </c>
      <c r="AA65" s="55"/>
      <c r="AB65" s="55"/>
      <c r="AC65" s="3" t="s">
        <v>47</v>
      </c>
    </row>
    <row r="66" spans="3:22" ht="22.5" customHeight="1">
      <c r="C66" s="3" t="s">
        <v>136</v>
      </c>
      <c r="E66" s="61">
        <f>-I64</f>
        <v>-3</v>
      </c>
      <c r="F66" s="61"/>
      <c r="G66" s="61"/>
      <c r="H66" s="2" t="s">
        <v>98</v>
      </c>
      <c r="I66" s="55">
        <f>J65</f>
        <v>1.0999999999999999</v>
      </c>
      <c r="J66" s="6"/>
      <c r="K66" s="55"/>
      <c r="L66" s="55"/>
      <c r="M66" s="2" t="s">
        <v>98</v>
      </c>
      <c r="N66" s="55">
        <f>Z65</f>
        <v>0.7549999999999999</v>
      </c>
      <c r="O66" s="55"/>
      <c r="P66" s="55"/>
      <c r="Q66" s="3" t="s">
        <v>99</v>
      </c>
      <c r="R66" s="205">
        <f>E66*I66*N66</f>
        <v>-2.4914999999999994</v>
      </c>
      <c r="S66" s="205"/>
      <c r="T66" s="205"/>
      <c r="U66" s="205"/>
      <c r="V66" s="3" t="s">
        <v>137</v>
      </c>
    </row>
    <row r="68" ht="22.5" customHeight="1">
      <c r="B68" s="3" t="s">
        <v>138</v>
      </c>
    </row>
    <row r="69" spans="3:11" ht="22.5" customHeight="1">
      <c r="C69" s="2" t="s">
        <v>139</v>
      </c>
      <c r="D69" s="2"/>
      <c r="E69" s="2"/>
      <c r="F69" s="2"/>
      <c r="G69" s="2"/>
      <c r="H69" s="2"/>
      <c r="I69" s="2"/>
      <c r="J69" s="142" t="s">
        <v>40</v>
      </c>
      <c r="K69" s="2"/>
    </row>
    <row r="70" spans="3:38" ht="22.5" customHeight="1">
      <c r="C70" s="2" t="s">
        <v>140</v>
      </c>
      <c r="D70" s="64"/>
      <c r="E70" s="65"/>
      <c r="F70" s="65"/>
      <c r="G70" s="65"/>
      <c r="H70" s="65"/>
      <c r="I70" s="65"/>
      <c r="J70" s="55"/>
      <c r="K70" s="55"/>
      <c r="N70" s="143" t="s">
        <v>141</v>
      </c>
      <c r="O70" s="66"/>
      <c r="Q70" s="203">
        <v>24</v>
      </c>
      <c r="R70" s="163"/>
      <c r="S70" s="163"/>
      <c r="T70" s="65" t="s">
        <v>142</v>
      </c>
      <c r="U70" s="67"/>
      <c r="X70" s="74" t="s">
        <v>143</v>
      </c>
      <c r="Y70" s="74"/>
      <c r="Z70" s="74"/>
      <c r="AA70" s="74"/>
      <c r="AB70" s="74"/>
      <c r="AC70" s="74"/>
      <c r="AD70" s="74"/>
      <c r="AE70" s="74"/>
      <c r="AF70" s="73"/>
      <c r="AG70" s="68"/>
      <c r="AI70" s="144" t="s">
        <v>144</v>
      </c>
      <c r="AJ70" s="74"/>
      <c r="AK70" s="204">
        <v>7</v>
      </c>
      <c r="AL70" s="204"/>
    </row>
    <row r="71" spans="3:33" ht="22.5" customHeight="1">
      <c r="C71" s="3" t="s">
        <v>145</v>
      </c>
      <c r="N71" s="143" t="s">
        <v>146</v>
      </c>
      <c r="Q71" s="143" t="s">
        <v>147</v>
      </c>
      <c r="R71" s="15"/>
      <c r="S71" s="15"/>
      <c r="T71" s="20">
        <f>IF(J69="合成",3.5,IF(J69="非合成",3,"ERROR"))</f>
        <v>3</v>
      </c>
      <c r="U71" s="20"/>
      <c r="V71" s="69" t="s">
        <v>99</v>
      </c>
      <c r="W71" s="63">
        <f>Q70</f>
        <v>24</v>
      </c>
      <c r="X71" s="63"/>
      <c r="Y71" s="56" t="s">
        <v>116</v>
      </c>
      <c r="Z71" s="20">
        <f>T71</f>
        <v>3</v>
      </c>
      <c r="AA71" s="20"/>
      <c r="AB71" s="3" t="s">
        <v>99</v>
      </c>
      <c r="AC71" s="61">
        <f>W71/Z71</f>
        <v>8</v>
      </c>
      <c r="AD71" s="61"/>
      <c r="AE71" s="61"/>
      <c r="AF71" s="65" t="s">
        <v>142</v>
      </c>
      <c r="AG71" s="67"/>
    </row>
    <row r="72" spans="3:26" ht="22.5" customHeight="1">
      <c r="C72" s="74" t="s">
        <v>148</v>
      </c>
      <c r="D72" s="74"/>
      <c r="E72" s="74"/>
      <c r="F72" s="74"/>
      <c r="G72" s="74" t="s">
        <v>149</v>
      </c>
      <c r="H72" s="74"/>
      <c r="I72" s="163">
        <v>295</v>
      </c>
      <c r="J72" s="163"/>
      <c r="K72" s="74" t="s">
        <v>104</v>
      </c>
      <c r="N72" s="143" t="s">
        <v>150</v>
      </c>
      <c r="O72" s="74"/>
      <c r="Q72" s="70">
        <v>140</v>
      </c>
      <c r="R72" s="15"/>
      <c r="S72" s="15"/>
      <c r="T72" s="71" t="s">
        <v>123</v>
      </c>
      <c r="U72" s="70">
        <v>120</v>
      </c>
      <c r="V72" s="15"/>
      <c r="W72" s="3" t="s">
        <v>104</v>
      </c>
      <c r="X72" s="65" t="s">
        <v>142</v>
      </c>
      <c r="Z72" s="67"/>
    </row>
    <row r="73" spans="3:24" s="7" customFormat="1" ht="22.5" customHeight="1">
      <c r="C73" s="145"/>
      <c r="D73" s="145"/>
      <c r="E73" s="145"/>
      <c r="F73" s="145"/>
      <c r="G73" s="145"/>
      <c r="H73" s="145"/>
      <c r="I73" s="146"/>
      <c r="J73" s="146"/>
      <c r="K73" s="145"/>
      <c r="L73" s="147"/>
      <c r="M73" s="145"/>
      <c r="O73" s="70"/>
      <c r="P73" s="70"/>
      <c r="Q73" s="70"/>
      <c r="R73" s="82" t="s">
        <v>151</v>
      </c>
      <c r="S73" s="70"/>
      <c r="T73" s="70"/>
      <c r="U73" s="70"/>
      <c r="W73" s="83"/>
      <c r="X73" s="84"/>
    </row>
    <row r="74" ht="22.5" customHeight="1">
      <c r="C74" s="56" t="s">
        <v>152</v>
      </c>
    </row>
    <row r="75" spans="24:33" s="74" customFormat="1" ht="16.5" customHeight="1">
      <c r="X75" s="74" t="s">
        <v>112</v>
      </c>
      <c r="AB75" s="74" t="s">
        <v>112</v>
      </c>
      <c r="AG75" s="74" t="s">
        <v>112</v>
      </c>
    </row>
    <row r="76" spans="4:25" s="2" customFormat="1" ht="21.75" customHeight="1">
      <c r="D76" s="2" t="s">
        <v>153</v>
      </c>
      <c r="M76" s="74" t="s">
        <v>154</v>
      </c>
      <c r="N76" s="74"/>
      <c r="O76" s="70">
        <f>D18*100</f>
        <v>30</v>
      </c>
      <c r="P76" s="15"/>
      <c r="Q76" s="15"/>
      <c r="R76" s="74" t="s">
        <v>155</v>
      </c>
      <c r="S76" s="11"/>
      <c r="W76" s="11"/>
      <c r="X76" s="11"/>
      <c r="Y76" s="11"/>
    </row>
    <row r="77" spans="4:25" s="2" customFormat="1" ht="21.75" customHeight="1">
      <c r="D77" s="2" t="s">
        <v>156</v>
      </c>
      <c r="M77" s="72" t="s">
        <v>157</v>
      </c>
      <c r="N77" s="68"/>
      <c r="O77" s="70">
        <f>O76-O79</f>
        <v>26</v>
      </c>
      <c r="P77" s="15"/>
      <c r="Q77" s="15"/>
      <c r="R77" s="74" t="s">
        <v>155</v>
      </c>
      <c r="S77" s="11"/>
      <c r="W77" s="11"/>
      <c r="X77" s="11"/>
      <c r="Y77" s="11"/>
    </row>
    <row r="78" spans="4:25" s="2" customFormat="1" ht="21.75" customHeight="1">
      <c r="D78" s="8" t="s">
        <v>158</v>
      </c>
      <c r="E78" s="18"/>
      <c r="F78" s="148"/>
      <c r="G78" s="18"/>
      <c r="H78" s="18"/>
      <c r="M78" s="73" t="s">
        <v>159</v>
      </c>
      <c r="N78" s="68"/>
      <c r="O78" s="203">
        <v>4</v>
      </c>
      <c r="P78" s="163"/>
      <c r="Q78" s="163"/>
      <c r="R78" s="74" t="s">
        <v>155</v>
      </c>
      <c r="S78" s="11"/>
      <c r="W78" s="11"/>
      <c r="X78" s="11"/>
      <c r="Y78" s="11"/>
    </row>
    <row r="79" spans="4:25" s="2" customFormat="1" ht="21.75" customHeight="1">
      <c r="D79" s="8" t="s">
        <v>160</v>
      </c>
      <c r="G79" s="149"/>
      <c r="H79" s="149"/>
      <c r="M79" s="73" t="s">
        <v>161</v>
      </c>
      <c r="N79" s="68"/>
      <c r="O79" s="203">
        <v>4</v>
      </c>
      <c r="P79" s="163"/>
      <c r="Q79" s="163"/>
      <c r="R79" s="74" t="s">
        <v>155</v>
      </c>
      <c r="S79" s="11"/>
      <c r="W79" s="11"/>
      <c r="X79" s="11"/>
      <c r="Y79" s="11"/>
    </row>
    <row r="80" spans="4:18" s="2" customFormat="1" ht="21.75" customHeight="1">
      <c r="D80" s="2" t="s">
        <v>162</v>
      </c>
      <c r="M80" s="18" t="s">
        <v>163</v>
      </c>
      <c r="N80" s="18"/>
      <c r="O80" s="70">
        <v>100</v>
      </c>
      <c r="P80" s="15"/>
      <c r="Q80" s="15"/>
      <c r="R80" s="74" t="s">
        <v>155</v>
      </c>
    </row>
    <row r="81" spans="4:40" s="2" customFormat="1" ht="21.75" customHeight="1">
      <c r="D81" s="74" t="s">
        <v>164</v>
      </c>
      <c r="E81" s="74"/>
      <c r="F81" s="74"/>
      <c r="G81" s="74"/>
      <c r="H81" s="74"/>
      <c r="J81" s="74" t="s">
        <v>19</v>
      </c>
      <c r="K81" s="74"/>
      <c r="L81" s="73">
        <v>19</v>
      </c>
      <c r="M81" s="68"/>
      <c r="N81" s="144"/>
      <c r="O81" s="74"/>
      <c r="P81" s="74" t="s">
        <v>20</v>
      </c>
      <c r="Q81" s="74"/>
      <c r="S81" s="203">
        <v>125</v>
      </c>
      <c r="T81" s="163"/>
      <c r="U81" s="163"/>
      <c r="V81" s="74" t="s">
        <v>100</v>
      </c>
      <c r="Y81" s="74" t="s">
        <v>165</v>
      </c>
      <c r="Z81" s="74"/>
      <c r="AA81" s="74"/>
      <c r="AB81" s="74"/>
      <c r="AC81" s="74"/>
      <c r="AD81" s="74"/>
      <c r="AE81" s="74"/>
      <c r="AH81" s="74" t="s">
        <v>166</v>
      </c>
      <c r="AI81" s="74"/>
      <c r="AJ81" s="75">
        <f>IF(L81=13,1.267*1000/S81,IF(L81=16,1.986*1000/S81,IF(L81=19,2.865*1000/S81,IF(L81=22,3.871*1000/S81,IF(L81=25,5.067*1000/S81,IF(L81=29,6.424*1000/S81,7.942*1000/S81))))))</f>
        <v>22.92</v>
      </c>
      <c r="AK81" s="153"/>
      <c r="AL81" s="153"/>
      <c r="AM81" s="153"/>
      <c r="AN81" s="74" t="s">
        <v>167</v>
      </c>
    </row>
    <row r="82" spans="4:40" s="2" customFormat="1" ht="21.75" customHeight="1">
      <c r="D82" s="74" t="s">
        <v>168</v>
      </c>
      <c r="E82" s="74"/>
      <c r="F82" s="74"/>
      <c r="G82" s="74"/>
      <c r="H82" s="74"/>
      <c r="I82" s="74"/>
      <c r="J82" s="74" t="s">
        <v>19</v>
      </c>
      <c r="K82" s="74"/>
      <c r="L82" s="73">
        <v>19</v>
      </c>
      <c r="M82" s="68"/>
      <c r="N82" s="144"/>
      <c r="O82" s="74"/>
      <c r="P82" s="74" t="s">
        <v>20</v>
      </c>
      <c r="Q82" s="74"/>
      <c r="S82" s="203">
        <v>250</v>
      </c>
      <c r="T82" s="163"/>
      <c r="U82" s="163"/>
      <c r="V82" s="74" t="s">
        <v>100</v>
      </c>
      <c r="X82" s="74"/>
      <c r="Y82" s="74" t="s">
        <v>169</v>
      </c>
      <c r="Z82" s="74"/>
      <c r="AA82" s="74"/>
      <c r="AB82" s="74"/>
      <c r="AC82" s="74"/>
      <c r="AD82" s="74"/>
      <c r="AE82" s="74"/>
      <c r="AH82" s="74" t="s">
        <v>170</v>
      </c>
      <c r="AI82" s="74"/>
      <c r="AJ82" s="75">
        <f>IF(L82=13,1.267*1000/S82,IF(L82=16,1.986*1000/S82,IF(L82=19,2.865*1000/S82,IF(L82=22,3.871*1000/S82,IF(L82=25,5.067*1000/S82,IF(L82=29,6.424*1000/S82,7.942*1000/S82))))))</f>
        <v>11.46</v>
      </c>
      <c r="AK82" s="153"/>
      <c r="AL82" s="153"/>
      <c r="AM82" s="153"/>
      <c r="AN82" s="74" t="s">
        <v>167</v>
      </c>
    </row>
    <row r="83" spans="3:13" s="74" customFormat="1" ht="16.5" customHeight="1">
      <c r="C83" s="74" t="s">
        <v>171</v>
      </c>
      <c r="K83" s="154"/>
      <c r="L83" s="154"/>
      <c r="M83" s="154"/>
    </row>
    <row r="84" spans="4:13" s="74" customFormat="1" ht="16.5" customHeight="1">
      <c r="D84" s="74" t="s">
        <v>172</v>
      </c>
      <c r="K84" s="154"/>
      <c r="L84" s="154"/>
      <c r="M84" s="154"/>
    </row>
    <row r="85" spans="5:13" s="74" customFormat="1" ht="16.5" customHeight="1">
      <c r="E85" s="74" t="str">
        <f>"= -"&amp;$AK$70&amp;"×("&amp;ROUND(AJ81,2)&amp;" + "&amp;ROUND(AJ82,2)&amp;")/100 + √[ {"&amp;$AK$70&amp;"×("&amp;ROUND(AJ81,2)&amp;" + "&amp;ROUND(AJ82,2)&amp;")/100}^2 + 2×"&amp;$AK$70&amp;"×("&amp;O77&amp;"×"&amp;ROUND(AJ81,2)&amp;" + "&amp;O78&amp;"×"&amp;ROUND(AJ82,2)&amp;")/100 ]"</f>
        <v>= -7×(22.92 + 11.46)/100 + √[ {7×(22.92 + 11.46)/100}^2 + 2×7×(26×22.92 + 4×11.46)/100 ]</v>
      </c>
      <c r="K85" s="154"/>
      <c r="L85" s="154"/>
      <c r="M85" s="154"/>
    </row>
    <row r="86" spans="5:13" s="74" customFormat="1" ht="16.5" customHeight="1">
      <c r="E86" s="74" t="s">
        <v>99</v>
      </c>
      <c r="F86" s="61">
        <f>-$AK$70*(AJ81+AJ82)/100+SQRT(($AK$70*(AJ81+AJ82)/100)^2+2*$AK$70*(O77*AJ81+O78*AJ82)/100)</f>
        <v>7.372874605519461</v>
      </c>
      <c r="G86" s="55"/>
      <c r="H86" s="55"/>
      <c r="I86" s="74" t="s">
        <v>155</v>
      </c>
      <c r="K86" s="154"/>
      <c r="L86" s="154"/>
      <c r="M86" s="154"/>
    </row>
    <row r="87" spans="3:13" s="74" customFormat="1" ht="16.5" customHeight="1">
      <c r="C87" s="74" t="s">
        <v>173</v>
      </c>
      <c r="K87" s="154"/>
      <c r="L87" s="154"/>
      <c r="M87" s="154"/>
    </row>
    <row r="88" spans="4:13" s="74" customFormat="1" ht="16.5" customHeight="1">
      <c r="D88" s="74" t="s">
        <v>174</v>
      </c>
      <c r="K88" s="154"/>
      <c r="L88" s="154"/>
      <c r="M88" s="154"/>
    </row>
    <row r="89" spans="5:13" s="74" customFormat="1" ht="16.5" customHeight="1">
      <c r="E89" s="74" t="str">
        <f>"= ( 100 × "&amp;ROUND(F86,2)&amp;" / 2 ) × ( "&amp;O77&amp;" - "&amp;ROUND(F86,2)&amp;" / 3 ) + "&amp;$AK$70&amp;" × "&amp;ROUND(AJ82,2)&amp;" ×( "&amp;ROUND(F86,2)&amp;" - "&amp;O78&amp;" ) / "&amp;ROUND(F86,2)&amp;" ×( "&amp;O77&amp;" - "&amp;O78&amp;" )"</f>
        <v>= ( 100 × 7.37 / 2 ) × ( 26 - 7.37 / 3 ) + 7 × 11.46 ×( 7.37 - 4 ) / 7.37 ×( 26 - 4 )</v>
      </c>
      <c r="K89" s="154"/>
      <c r="L89" s="154"/>
      <c r="M89" s="154"/>
    </row>
    <row r="90" spans="5:13" s="74" customFormat="1" ht="16.5" customHeight="1">
      <c r="E90" s="74" t="s">
        <v>99</v>
      </c>
      <c r="F90" s="155">
        <f>(100*ROUND(F86,2)/2)*(O77-ROUND(F86,2)/3)+$AK$70*AJ82*(ROUND(F86,2)-O78)/ROUND(F86,2)*(O77-O78)</f>
        <v>9482.707587064675</v>
      </c>
      <c r="G90" s="155"/>
      <c r="H90" s="155"/>
      <c r="I90" s="155"/>
      <c r="J90" s="74" t="s">
        <v>175</v>
      </c>
      <c r="K90" s="154"/>
      <c r="L90" s="154"/>
      <c r="M90" s="154"/>
    </row>
    <row r="91" spans="3:13" s="74" customFormat="1" ht="16.5" customHeight="1">
      <c r="C91" s="74" t="s">
        <v>176</v>
      </c>
      <c r="K91" s="154"/>
      <c r="L91" s="154"/>
      <c r="M91" s="154"/>
    </row>
    <row r="92" spans="4:13" s="74" customFormat="1" ht="16.5" customHeight="1">
      <c r="D92" s="74" t="s">
        <v>177</v>
      </c>
      <c r="K92" s="154"/>
      <c r="L92" s="154"/>
      <c r="M92" s="154"/>
    </row>
    <row r="93" spans="4:13" s="74" customFormat="1" ht="16.5" customHeight="1">
      <c r="D93" s="137" t="str">
        <f>"= (1/"&amp;$AK$70&amp;")×( "&amp;ROUND(F86,2)&amp;" / ( "&amp;O77&amp;"- "&amp;ROUND(F86,2)&amp;" ))×"&amp;ROUND(F90,1)</f>
        <v>= (1/7)×( 7.37 / ( 26- 7.37 ))×9482.7</v>
      </c>
      <c r="K93" s="154"/>
      <c r="L93" s="154"/>
      <c r="M93" s="154"/>
    </row>
    <row r="94" spans="4:13" s="74" customFormat="1" ht="16.5" customHeight="1">
      <c r="D94" s="74" t="s">
        <v>99</v>
      </c>
      <c r="E94" s="155">
        <f>1/$AK$70*(ROUND(F86,2)/(O77-ROUND(F86,2)))*ROUND(F90,1)</f>
        <v>535.905981136416</v>
      </c>
      <c r="F94" s="155"/>
      <c r="G94" s="155"/>
      <c r="H94" s="155"/>
      <c r="I94" s="74" t="s">
        <v>175</v>
      </c>
      <c r="K94" s="154"/>
      <c r="L94" s="154"/>
      <c r="M94" s="154"/>
    </row>
    <row r="95" spans="11:13" s="74" customFormat="1" ht="16.5" customHeight="1">
      <c r="K95" s="154"/>
      <c r="L95" s="154"/>
      <c r="M95" s="154"/>
    </row>
    <row r="96" spans="3:23" s="74" customFormat="1" ht="16.5" customHeight="1">
      <c r="C96" s="74" t="s">
        <v>178</v>
      </c>
      <c r="K96" s="76" t="s">
        <v>179</v>
      </c>
      <c r="L96" s="154"/>
      <c r="M96" s="154"/>
      <c r="W96" s="156"/>
    </row>
    <row r="97" spans="3:17" s="74" customFormat="1" ht="16.5" customHeight="1">
      <c r="C97" s="74" t="s">
        <v>180</v>
      </c>
      <c r="K97" s="74" t="s">
        <v>181</v>
      </c>
      <c r="L97" s="154"/>
      <c r="M97" s="154"/>
      <c r="Q97" s="74" t="s">
        <v>182</v>
      </c>
    </row>
    <row r="98" spans="11:13" s="74" customFormat="1" ht="16.5" customHeight="1">
      <c r="K98" s="154"/>
      <c r="L98" s="154"/>
      <c r="M98" s="154"/>
    </row>
    <row r="99" spans="1:42" s="74" customFormat="1" ht="16.5" customHeight="1">
      <c r="A99" s="3"/>
      <c r="B99" s="3"/>
      <c r="C99" s="168" t="s">
        <v>183</v>
      </c>
      <c r="D99" s="168"/>
      <c r="E99" s="168"/>
      <c r="F99" s="168"/>
      <c r="G99" s="168"/>
      <c r="H99" s="168"/>
      <c r="I99" s="168"/>
      <c r="J99" s="168"/>
      <c r="K99" s="168"/>
      <c r="L99" s="176" t="s">
        <v>184</v>
      </c>
      <c r="M99" s="177"/>
      <c r="N99" s="177"/>
      <c r="O99" s="177"/>
      <c r="P99" s="178"/>
      <c r="Q99" s="168" t="s">
        <v>185</v>
      </c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 t="s">
        <v>186</v>
      </c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72" t="s">
        <v>187</v>
      </c>
      <c r="AN99" s="173"/>
      <c r="AO99" s="173"/>
      <c r="AP99" s="174"/>
    </row>
    <row r="100" spans="1:42" s="74" customFormat="1" ht="16.5" customHeight="1">
      <c r="A100" s="3"/>
      <c r="B100" s="3"/>
      <c r="C100" s="168"/>
      <c r="D100" s="168"/>
      <c r="E100" s="168"/>
      <c r="F100" s="168"/>
      <c r="G100" s="168"/>
      <c r="H100" s="168"/>
      <c r="I100" s="168"/>
      <c r="J100" s="168"/>
      <c r="K100" s="168"/>
      <c r="L100" s="179" t="s">
        <v>188</v>
      </c>
      <c r="M100" s="180"/>
      <c r="N100" s="180"/>
      <c r="O100" s="180"/>
      <c r="P100" s="181"/>
      <c r="Q100" s="168" t="s">
        <v>189</v>
      </c>
      <c r="R100" s="168"/>
      <c r="S100" s="168"/>
      <c r="T100" s="168"/>
      <c r="U100" s="168" t="s">
        <v>187</v>
      </c>
      <c r="V100" s="168"/>
      <c r="W100" s="168"/>
      <c r="X100" s="168"/>
      <c r="Y100" s="168" t="s">
        <v>190</v>
      </c>
      <c r="Z100" s="168"/>
      <c r="AA100" s="168"/>
      <c r="AB100" s="168" t="s">
        <v>189</v>
      </c>
      <c r="AC100" s="168"/>
      <c r="AD100" s="168"/>
      <c r="AE100" s="168"/>
      <c r="AF100" s="168" t="s">
        <v>187</v>
      </c>
      <c r="AG100" s="168"/>
      <c r="AH100" s="168"/>
      <c r="AI100" s="168"/>
      <c r="AJ100" s="168" t="s">
        <v>190</v>
      </c>
      <c r="AK100" s="168"/>
      <c r="AL100" s="168"/>
      <c r="AM100" s="151" t="s">
        <v>191</v>
      </c>
      <c r="AN100" s="152"/>
      <c r="AO100" s="152"/>
      <c r="AP100" s="134"/>
    </row>
    <row r="101" spans="1:42" s="74" customFormat="1" ht="22.5" customHeight="1">
      <c r="A101" s="3"/>
      <c r="B101" s="3"/>
      <c r="C101" s="167" t="s">
        <v>192</v>
      </c>
      <c r="D101" s="167"/>
      <c r="E101" s="167"/>
      <c r="F101" s="167"/>
      <c r="G101" s="167"/>
      <c r="H101" s="167"/>
      <c r="I101" s="167"/>
      <c r="J101" s="167"/>
      <c r="K101" s="167"/>
      <c r="L101" s="182">
        <f>AC43</f>
        <v>-10.386</v>
      </c>
      <c r="M101" s="183"/>
      <c r="N101" s="183"/>
      <c r="O101" s="183"/>
      <c r="P101" s="184"/>
      <c r="Q101" s="168" t="s">
        <v>122</v>
      </c>
      <c r="R101" s="168"/>
      <c r="S101" s="168"/>
      <c r="T101" s="168"/>
      <c r="U101" s="168" t="s">
        <v>122</v>
      </c>
      <c r="V101" s="168"/>
      <c r="W101" s="168"/>
      <c r="X101" s="168"/>
      <c r="Y101" s="168" t="s">
        <v>122</v>
      </c>
      <c r="Z101" s="168"/>
      <c r="AA101" s="168"/>
      <c r="AB101" s="168" t="s">
        <v>122</v>
      </c>
      <c r="AC101" s="168"/>
      <c r="AD101" s="168"/>
      <c r="AE101" s="168"/>
      <c r="AF101" s="168" t="s">
        <v>122</v>
      </c>
      <c r="AG101" s="168"/>
      <c r="AH101" s="168"/>
      <c r="AI101" s="168"/>
      <c r="AJ101" s="168" t="s">
        <v>122</v>
      </c>
      <c r="AK101" s="168"/>
      <c r="AL101" s="168"/>
      <c r="AM101" s="168" t="s">
        <v>122</v>
      </c>
      <c r="AN101" s="168"/>
      <c r="AO101" s="168"/>
      <c r="AP101" s="168"/>
    </row>
    <row r="102" spans="1:42" s="74" customFormat="1" ht="22.5" customHeight="1">
      <c r="A102" s="3"/>
      <c r="B102" s="3"/>
      <c r="C102" s="167" t="s">
        <v>193</v>
      </c>
      <c r="D102" s="167"/>
      <c r="E102" s="167"/>
      <c r="F102" s="167"/>
      <c r="G102" s="167"/>
      <c r="H102" s="167"/>
      <c r="I102" s="167"/>
      <c r="J102" s="167"/>
      <c r="K102" s="167"/>
      <c r="L102" s="169">
        <f>AG53</f>
        <v>-41.47465437788019</v>
      </c>
      <c r="M102" s="170"/>
      <c r="N102" s="170"/>
      <c r="O102" s="170"/>
      <c r="P102" s="171"/>
      <c r="Q102" s="168" t="s">
        <v>122</v>
      </c>
      <c r="R102" s="168"/>
      <c r="S102" s="168"/>
      <c r="T102" s="168"/>
      <c r="U102" s="168" t="s">
        <v>122</v>
      </c>
      <c r="V102" s="168"/>
      <c r="W102" s="168"/>
      <c r="X102" s="168"/>
      <c r="Y102" s="168" t="s">
        <v>122</v>
      </c>
      <c r="Z102" s="168"/>
      <c r="AA102" s="168"/>
      <c r="AB102" s="168" t="s">
        <v>122</v>
      </c>
      <c r="AC102" s="168"/>
      <c r="AD102" s="168"/>
      <c r="AE102" s="168"/>
      <c r="AF102" s="168" t="s">
        <v>122</v>
      </c>
      <c r="AG102" s="168"/>
      <c r="AH102" s="168"/>
      <c r="AI102" s="168"/>
      <c r="AJ102" s="168" t="s">
        <v>122</v>
      </c>
      <c r="AK102" s="168"/>
      <c r="AL102" s="168"/>
      <c r="AM102" s="168" t="s">
        <v>122</v>
      </c>
      <c r="AN102" s="168"/>
      <c r="AO102" s="168"/>
      <c r="AP102" s="168"/>
    </row>
    <row r="103" spans="3:42" ht="22.5" customHeight="1">
      <c r="C103" s="167" t="s">
        <v>194</v>
      </c>
      <c r="D103" s="167"/>
      <c r="E103" s="167"/>
      <c r="F103" s="167"/>
      <c r="G103" s="167"/>
      <c r="H103" s="167"/>
      <c r="I103" s="167"/>
      <c r="J103" s="167"/>
      <c r="K103" s="167"/>
      <c r="L103" s="169">
        <f>N61</f>
        <v>-28.709999999999997</v>
      </c>
      <c r="M103" s="170"/>
      <c r="N103" s="170"/>
      <c r="O103" s="170"/>
      <c r="P103" s="171"/>
      <c r="Q103" s="168" t="s">
        <v>122</v>
      </c>
      <c r="R103" s="168"/>
      <c r="S103" s="168"/>
      <c r="T103" s="168"/>
      <c r="U103" s="168" t="s">
        <v>122</v>
      </c>
      <c r="V103" s="168"/>
      <c r="W103" s="168"/>
      <c r="X103" s="168"/>
      <c r="Y103" s="168" t="s">
        <v>122</v>
      </c>
      <c r="Z103" s="168"/>
      <c r="AA103" s="168"/>
      <c r="AB103" s="168" t="s">
        <v>122</v>
      </c>
      <c r="AC103" s="168"/>
      <c r="AD103" s="168"/>
      <c r="AE103" s="168"/>
      <c r="AF103" s="168" t="s">
        <v>122</v>
      </c>
      <c r="AG103" s="168"/>
      <c r="AH103" s="168"/>
      <c r="AI103" s="168"/>
      <c r="AJ103" s="168" t="s">
        <v>122</v>
      </c>
      <c r="AK103" s="168"/>
      <c r="AL103" s="168"/>
      <c r="AM103" s="168" t="s">
        <v>122</v>
      </c>
      <c r="AN103" s="168"/>
      <c r="AO103" s="168"/>
      <c r="AP103" s="168"/>
    </row>
    <row r="104" spans="3:42" ht="22.5" customHeight="1">
      <c r="C104" s="167" t="s">
        <v>195</v>
      </c>
      <c r="D104" s="167"/>
      <c r="E104" s="167"/>
      <c r="F104" s="167"/>
      <c r="G104" s="167"/>
      <c r="H104" s="167"/>
      <c r="I104" s="167"/>
      <c r="J104" s="167"/>
      <c r="K104" s="167"/>
      <c r="L104" s="169">
        <f>R66</f>
        <v>-2.4914999999999994</v>
      </c>
      <c r="M104" s="170"/>
      <c r="N104" s="170"/>
      <c r="O104" s="170"/>
      <c r="P104" s="171"/>
      <c r="Q104" s="168" t="s">
        <v>122</v>
      </c>
      <c r="R104" s="168"/>
      <c r="S104" s="168"/>
      <c r="T104" s="168"/>
      <c r="U104" s="168" t="s">
        <v>122</v>
      </c>
      <c r="V104" s="168"/>
      <c r="W104" s="168"/>
      <c r="X104" s="168"/>
      <c r="Y104" s="168" t="s">
        <v>122</v>
      </c>
      <c r="Z104" s="168"/>
      <c r="AA104" s="168"/>
      <c r="AB104" s="168" t="s">
        <v>122</v>
      </c>
      <c r="AC104" s="168"/>
      <c r="AD104" s="168"/>
      <c r="AE104" s="168"/>
      <c r="AF104" s="168" t="s">
        <v>122</v>
      </c>
      <c r="AG104" s="168"/>
      <c r="AH104" s="168"/>
      <c r="AI104" s="168"/>
      <c r="AJ104" s="168" t="s">
        <v>122</v>
      </c>
      <c r="AK104" s="168"/>
      <c r="AL104" s="168"/>
      <c r="AM104" s="168" t="s">
        <v>122</v>
      </c>
      <c r="AN104" s="168"/>
      <c r="AO104" s="168"/>
      <c r="AP104" s="168"/>
    </row>
    <row r="105" spans="3:42" ht="22.5" customHeight="1">
      <c r="C105" s="167" t="s">
        <v>196</v>
      </c>
      <c r="D105" s="167"/>
      <c r="E105" s="167"/>
      <c r="F105" s="167"/>
      <c r="G105" s="167"/>
      <c r="H105" s="167"/>
      <c r="I105" s="167"/>
      <c r="J105" s="167"/>
      <c r="K105" s="167"/>
      <c r="L105" s="169">
        <f>L101+L102</f>
        <v>-51.860654377880195</v>
      </c>
      <c r="M105" s="170"/>
      <c r="N105" s="170"/>
      <c r="O105" s="170"/>
      <c r="P105" s="171"/>
      <c r="Q105" s="150">
        <f>ABS(L105)/F90*1000</f>
        <v>5.468971166908395</v>
      </c>
      <c r="R105" s="150"/>
      <c r="S105" s="150"/>
      <c r="T105" s="150"/>
      <c r="U105" s="150">
        <f>$AC$71</f>
        <v>8</v>
      </c>
      <c r="V105" s="150"/>
      <c r="W105" s="150"/>
      <c r="X105" s="150"/>
      <c r="Y105" s="168" t="str">
        <f>IF(Q105&lt;=U105,"O.K.","N.G.")</f>
        <v>O.K.</v>
      </c>
      <c r="Z105" s="168"/>
      <c r="AA105" s="168"/>
      <c r="AB105" s="150">
        <f>ABS(L105)/E94*1000</f>
        <v>96.77192679937446</v>
      </c>
      <c r="AC105" s="150"/>
      <c r="AD105" s="150"/>
      <c r="AE105" s="150"/>
      <c r="AF105" s="175">
        <f>$U$72</f>
        <v>120</v>
      </c>
      <c r="AG105" s="175"/>
      <c r="AH105" s="175"/>
      <c r="AI105" s="175"/>
      <c r="AJ105" s="168" t="str">
        <f>IF(AB105&lt;=AF105,"O.K.","N.G.")</f>
        <v>O.K.</v>
      </c>
      <c r="AK105" s="168"/>
      <c r="AL105" s="168"/>
      <c r="AM105" s="150">
        <v>1</v>
      </c>
      <c r="AN105" s="150"/>
      <c r="AO105" s="150"/>
      <c r="AP105" s="150"/>
    </row>
    <row r="106" spans="3:42" ht="22.5" customHeight="1">
      <c r="C106" s="167" t="s">
        <v>197</v>
      </c>
      <c r="D106" s="167"/>
      <c r="E106" s="167"/>
      <c r="F106" s="167"/>
      <c r="G106" s="167"/>
      <c r="H106" s="167"/>
      <c r="I106" s="167"/>
      <c r="J106" s="167"/>
      <c r="K106" s="167"/>
      <c r="L106" s="169">
        <f>L101+L104</f>
        <v>-12.877499999999998</v>
      </c>
      <c r="M106" s="170"/>
      <c r="N106" s="170"/>
      <c r="O106" s="170"/>
      <c r="P106" s="171"/>
      <c r="Q106" s="150">
        <f>ABS(L106)/F90*1000</f>
        <v>1.3579982174675664</v>
      </c>
      <c r="R106" s="150"/>
      <c r="S106" s="150"/>
      <c r="T106" s="150"/>
      <c r="U106" s="150">
        <f>U105*AM106</f>
        <v>9.6</v>
      </c>
      <c r="V106" s="150"/>
      <c r="W106" s="150"/>
      <c r="X106" s="150"/>
      <c r="Y106" s="168" t="str">
        <f>IF(Q106&lt;=U106,"O.K.","N.G.")</f>
        <v>O.K.</v>
      </c>
      <c r="Z106" s="168"/>
      <c r="AA106" s="168"/>
      <c r="AB106" s="150">
        <f>ABS(L106)/E94*1000</f>
        <v>24.02940152429835</v>
      </c>
      <c r="AC106" s="150"/>
      <c r="AD106" s="150"/>
      <c r="AE106" s="150"/>
      <c r="AF106" s="175">
        <f>AF105*AM106</f>
        <v>144</v>
      </c>
      <c r="AG106" s="175"/>
      <c r="AH106" s="175"/>
      <c r="AI106" s="175"/>
      <c r="AJ106" s="168" t="str">
        <f>IF(AB106&lt;=AF106,"O.K.","N.G.")</f>
        <v>O.K.</v>
      </c>
      <c r="AK106" s="168"/>
      <c r="AL106" s="168"/>
      <c r="AM106" s="150">
        <v>1.2</v>
      </c>
      <c r="AN106" s="150"/>
      <c r="AO106" s="150"/>
      <c r="AP106" s="150"/>
    </row>
    <row r="107" spans="3:42" ht="22.5" customHeight="1">
      <c r="C107" s="167" t="s">
        <v>198</v>
      </c>
      <c r="D107" s="167"/>
      <c r="E107" s="167"/>
      <c r="F107" s="167"/>
      <c r="G107" s="167"/>
      <c r="H107" s="167"/>
      <c r="I107" s="167"/>
      <c r="J107" s="167"/>
      <c r="K107" s="167"/>
      <c r="L107" s="169">
        <f>L101+L102+L104/2</f>
        <v>-53.106404377880196</v>
      </c>
      <c r="M107" s="170"/>
      <c r="N107" s="170"/>
      <c r="O107" s="170"/>
      <c r="P107" s="171"/>
      <c r="Q107" s="150">
        <f>ABS(L107)/F90*1000</f>
        <v>5.6003418739097715</v>
      </c>
      <c r="R107" s="150"/>
      <c r="S107" s="150"/>
      <c r="T107" s="150"/>
      <c r="U107" s="150">
        <f>U105*AM107</f>
        <v>10</v>
      </c>
      <c r="V107" s="150"/>
      <c r="W107" s="150"/>
      <c r="X107" s="150"/>
      <c r="Y107" s="168" t="str">
        <f>IF(Q107&lt;=U107,"O.K.","N.G.")</f>
        <v>O.K.</v>
      </c>
      <c r="Z107" s="168"/>
      <c r="AA107" s="168"/>
      <c r="AB107" s="150">
        <f>ABS(L107)/E94*1000</f>
        <v>99.09649499575532</v>
      </c>
      <c r="AC107" s="150"/>
      <c r="AD107" s="150"/>
      <c r="AE107" s="150"/>
      <c r="AF107" s="175">
        <f>AF105*AM107</f>
        <v>150</v>
      </c>
      <c r="AG107" s="175"/>
      <c r="AH107" s="175"/>
      <c r="AI107" s="175"/>
      <c r="AJ107" s="168" t="str">
        <f>IF(AB107&lt;=AF107,"O.K.","N.G.")</f>
        <v>O.K.</v>
      </c>
      <c r="AK107" s="168"/>
      <c r="AL107" s="168"/>
      <c r="AM107" s="150">
        <v>1.25</v>
      </c>
      <c r="AN107" s="150"/>
      <c r="AO107" s="150"/>
      <c r="AP107" s="150"/>
    </row>
    <row r="108" spans="3:42" ht="22.5" customHeight="1">
      <c r="C108" s="167" t="s">
        <v>199</v>
      </c>
      <c r="D108" s="167"/>
      <c r="E108" s="167"/>
      <c r="F108" s="167"/>
      <c r="G108" s="167"/>
      <c r="H108" s="167"/>
      <c r="I108" s="167"/>
      <c r="J108" s="167"/>
      <c r="K108" s="167"/>
      <c r="L108" s="169">
        <f>L101+L102+L103</f>
        <v>-80.57065437788019</v>
      </c>
      <c r="M108" s="170"/>
      <c r="N108" s="170"/>
      <c r="O108" s="170"/>
      <c r="P108" s="171"/>
      <c r="Q108" s="150">
        <f>ABS(L108)/F90*1000</f>
        <v>8.496587460714945</v>
      </c>
      <c r="R108" s="150"/>
      <c r="S108" s="150"/>
      <c r="T108" s="150"/>
      <c r="U108" s="150">
        <f>U105*AM108</f>
        <v>12</v>
      </c>
      <c r="V108" s="150"/>
      <c r="W108" s="150"/>
      <c r="X108" s="150"/>
      <c r="Y108" s="168" t="str">
        <f>IF(Q108&lt;=U108,"O.K.","N.G.")</f>
        <v>O.K.</v>
      </c>
      <c r="Z108" s="168"/>
      <c r="AA108" s="168"/>
      <c r="AB108" s="150">
        <f>ABS(L108)/E94*1000</f>
        <v>150.3447567557018</v>
      </c>
      <c r="AC108" s="150"/>
      <c r="AD108" s="150"/>
      <c r="AE108" s="150"/>
      <c r="AF108" s="175">
        <f>AF105*AM108</f>
        <v>180</v>
      </c>
      <c r="AG108" s="175"/>
      <c r="AH108" s="175"/>
      <c r="AI108" s="175"/>
      <c r="AJ108" s="168" t="str">
        <f>IF(AB108&lt;=AF108,"O.K.","N.G.")</f>
        <v>O.K.</v>
      </c>
      <c r="AK108" s="168"/>
      <c r="AL108" s="168"/>
      <c r="AM108" s="150">
        <v>1.5</v>
      </c>
      <c r="AN108" s="150"/>
      <c r="AO108" s="150"/>
      <c r="AP108" s="150"/>
    </row>
    <row r="110" ht="22.5" customHeight="1">
      <c r="C110" s="56" t="s">
        <v>200</v>
      </c>
    </row>
    <row r="111" spans="24:33" s="74" customFormat="1" ht="16.5" customHeight="1">
      <c r="X111" s="74" t="s">
        <v>112</v>
      </c>
      <c r="AB111" s="74" t="s">
        <v>112</v>
      </c>
      <c r="AG111" s="74" t="s">
        <v>112</v>
      </c>
    </row>
    <row r="112" spans="4:25" s="10" customFormat="1" ht="21.75" customHeight="1">
      <c r="D112" s="10" t="s">
        <v>153</v>
      </c>
      <c r="M112" s="145" t="s">
        <v>154</v>
      </c>
      <c r="N112" s="145"/>
      <c r="O112" s="203">
        <v>30</v>
      </c>
      <c r="P112" s="203"/>
      <c r="Q112" s="203"/>
      <c r="R112" s="145" t="s">
        <v>155</v>
      </c>
      <c r="S112" s="85"/>
      <c r="W112" s="85"/>
      <c r="X112" s="85"/>
      <c r="Y112" s="85"/>
    </row>
    <row r="113" spans="4:25" s="2" customFormat="1" ht="21.75" customHeight="1">
      <c r="D113" s="2" t="s">
        <v>156</v>
      </c>
      <c r="M113" s="72" t="s">
        <v>157</v>
      </c>
      <c r="N113" s="68"/>
      <c r="O113" s="70">
        <f>O112-O115</f>
        <v>24.25</v>
      </c>
      <c r="P113" s="15"/>
      <c r="Q113" s="15"/>
      <c r="R113" s="74" t="s">
        <v>155</v>
      </c>
      <c r="S113" s="11"/>
      <c r="W113" s="11"/>
      <c r="X113" s="11"/>
      <c r="Y113" s="11"/>
    </row>
    <row r="114" spans="4:25" s="2" customFormat="1" ht="21.75" customHeight="1">
      <c r="D114" s="8" t="s">
        <v>158</v>
      </c>
      <c r="E114" s="18"/>
      <c r="F114" s="148"/>
      <c r="G114" s="18"/>
      <c r="H114" s="18"/>
      <c r="M114" s="73" t="s">
        <v>159</v>
      </c>
      <c r="N114" s="68"/>
      <c r="O114" s="70">
        <f>O78+(L81+L117)/10/2</f>
        <v>5.75</v>
      </c>
      <c r="P114" s="15"/>
      <c r="Q114" s="15"/>
      <c r="R114" s="74" t="s">
        <v>155</v>
      </c>
      <c r="S114" s="11"/>
      <c r="W114" s="11"/>
      <c r="X114" s="11"/>
      <c r="Y114" s="11"/>
    </row>
    <row r="115" spans="4:25" s="2" customFormat="1" ht="21.75" customHeight="1">
      <c r="D115" s="8" t="s">
        <v>160</v>
      </c>
      <c r="G115" s="149"/>
      <c r="H115" s="149"/>
      <c r="M115" s="73" t="s">
        <v>161</v>
      </c>
      <c r="N115" s="68"/>
      <c r="O115" s="70">
        <f>O79+(L82+L118)/10/2</f>
        <v>5.75</v>
      </c>
      <c r="P115" s="15"/>
      <c r="Q115" s="15"/>
      <c r="R115" s="74" t="s">
        <v>155</v>
      </c>
      <c r="S115" s="11"/>
      <c r="W115" s="11"/>
      <c r="X115" s="11"/>
      <c r="Y115" s="11"/>
    </row>
    <row r="116" spans="4:18" s="2" customFormat="1" ht="21.75" customHeight="1">
      <c r="D116" s="2" t="s">
        <v>162</v>
      </c>
      <c r="M116" s="18" t="s">
        <v>163</v>
      </c>
      <c r="N116" s="18"/>
      <c r="O116" s="70">
        <v>100</v>
      </c>
      <c r="P116" s="15"/>
      <c r="Q116" s="15"/>
      <c r="R116" s="74" t="s">
        <v>155</v>
      </c>
    </row>
    <row r="117" spans="4:41" s="2" customFormat="1" ht="21.75" customHeight="1">
      <c r="D117" s="74" t="s">
        <v>164</v>
      </c>
      <c r="E117" s="74"/>
      <c r="F117" s="74"/>
      <c r="G117" s="74"/>
      <c r="H117" s="74"/>
      <c r="J117" s="74" t="s">
        <v>19</v>
      </c>
      <c r="K117" s="74"/>
      <c r="L117" s="73">
        <v>16</v>
      </c>
      <c r="M117" s="68"/>
      <c r="N117" s="144"/>
      <c r="P117" s="74" t="s">
        <v>20</v>
      </c>
      <c r="R117" s="74"/>
      <c r="T117" s="203">
        <v>125</v>
      </c>
      <c r="U117" s="163"/>
      <c r="V117" s="163"/>
      <c r="W117" s="74" t="s">
        <v>100</v>
      </c>
      <c r="Y117" s="74" t="s">
        <v>165</v>
      </c>
      <c r="Z117" s="74"/>
      <c r="AA117" s="74"/>
      <c r="AB117" s="74"/>
      <c r="AC117" s="74"/>
      <c r="AD117" s="74"/>
      <c r="AE117" s="74"/>
      <c r="AH117" s="74" t="s">
        <v>166</v>
      </c>
      <c r="AI117" s="74"/>
      <c r="AJ117" s="74"/>
      <c r="AK117" s="75">
        <f>IF(L117=13,1.267*1000/T117,IF(L117=16,1.986*1000/T117,IF(L117=19,2.865*1000/T117,IF(L117=22,3.871*1000/T117,IF(L117=25,5.067*1000/T117,IF(L117=29,6.424*1000/T117,7.942*1000/T117))))))</f>
        <v>15.888</v>
      </c>
      <c r="AL117" s="153"/>
      <c r="AM117" s="153"/>
      <c r="AN117" s="153"/>
      <c r="AO117" s="74" t="s">
        <v>167</v>
      </c>
    </row>
    <row r="118" spans="4:41" s="2" customFormat="1" ht="21.75" customHeight="1">
      <c r="D118" s="74" t="s">
        <v>168</v>
      </c>
      <c r="E118" s="74"/>
      <c r="F118" s="74"/>
      <c r="G118" s="74"/>
      <c r="H118" s="74"/>
      <c r="I118" s="74"/>
      <c r="J118" s="74" t="s">
        <v>19</v>
      </c>
      <c r="K118" s="74"/>
      <c r="L118" s="73">
        <v>16</v>
      </c>
      <c r="M118" s="68"/>
      <c r="N118" s="144"/>
      <c r="P118" s="74" t="s">
        <v>20</v>
      </c>
      <c r="R118" s="74"/>
      <c r="T118" s="203">
        <v>250</v>
      </c>
      <c r="U118" s="163"/>
      <c r="V118" s="163"/>
      <c r="W118" s="74" t="s">
        <v>100</v>
      </c>
      <c r="X118" s="74"/>
      <c r="Y118" s="74" t="s">
        <v>169</v>
      </c>
      <c r="Z118" s="74"/>
      <c r="AA118" s="74"/>
      <c r="AB118" s="74"/>
      <c r="AC118" s="74"/>
      <c r="AD118" s="74"/>
      <c r="AE118" s="74"/>
      <c r="AH118" s="74" t="s">
        <v>170</v>
      </c>
      <c r="AI118" s="74"/>
      <c r="AJ118" s="74"/>
      <c r="AK118" s="75">
        <f>IF(L118=13,1.267*1000/T118,IF(L118=16,1.986*1000/T118,IF(L118=19,2.865*1000/T118,IF(L118=22,3.871*1000/T118,IF(L118=25,5.067*1000/T118,IF(L118=29,6.424*1000/T118,7.942*1000/T118))))))</f>
        <v>7.944</v>
      </c>
      <c r="AL118" s="153"/>
      <c r="AM118" s="153"/>
      <c r="AN118" s="153"/>
      <c r="AO118" s="74" t="s">
        <v>167</v>
      </c>
    </row>
    <row r="119" spans="3:13" s="74" customFormat="1" ht="16.5" customHeight="1">
      <c r="C119" s="74" t="s">
        <v>171</v>
      </c>
      <c r="K119" s="154"/>
      <c r="L119" s="154"/>
      <c r="M119" s="154"/>
    </row>
    <row r="120" spans="4:13" s="74" customFormat="1" ht="16.5" customHeight="1">
      <c r="D120" s="74" t="s">
        <v>172</v>
      </c>
      <c r="K120" s="154"/>
      <c r="L120" s="154"/>
      <c r="M120" s="154"/>
    </row>
    <row r="121" spans="5:13" s="74" customFormat="1" ht="16.5" customHeight="1">
      <c r="E121" s="74" t="str">
        <f>"= -"&amp;$AK$70&amp;"×("&amp;ROUND(AK117,2)&amp;" + "&amp;ROUND(AK118,2)&amp;")/100 + √[ {"&amp;$AK$70&amp;"×("&amp;ROUND(AK117,2)&amp;" + "&amp;ROUND(AK118,2)&amp;")/100}^2 + 2×"&amp;$AK$70&amp;"×("&amp;O113&amp;"×"&amp;ROUND(AK117,2)&amp;" + "&amp;O114&amp;"×"&amp;ROUND(AK118,2)&amp;")/100 ]"</f>
        <v>= -7×(15.89 + 7.94)/100 + √[ {7×(15.89 + 7.94)/100}^2 + 2×7×(24.25×15.89 + 5.75×7.94)/100 ]</v>
      </c>
      <c r="K121" s="154"/>
      <c r="L121" s="154"/>
      <c r="M121" s="154"/>
    </row>
    <row r="122" spans="5:13" s="74" customFormat="1" ht="16.5" customHeight="1">
      <c r="E122" s="74" t="s">
        <v>99</v>
      </c>
      <c r="F122" s="61">
        <f>-$AK$70*(AK117+AK118)/100+SQRT(($AK$70*(AK117+AK118)/100)^2+2*$AK$70*(O113*AK117+O114*AK118)/100)</f>
        <v>6.276425172151687</v>
      </c>
      <c r="G122" s="55"/>
      <c r="H122" s="55"/>
      <c r="I122" s="74" t="s">
        <v>155</v>
      </c>
      <c r="K122" s="154"/>
      <c r="L122" s="154"/>
      <c r="M122" s="154"/>
    </row>
    <row r="123" spans="3:13" s="74" customFormat="1" ht="16.5" customHeight="1">
      <c r="C123" s="74" t="s">
        <v>173</v>
      </c>
      <c r="K123" s="154"/>
      <c r="L123" s="154"/>
      <c r="M123" s="154"/>
    </row>
    <row r="124" spans="4:13" s="74" customFormat="1" ht="16.5" customHeight="1">
      <c r="D124" s="74" t="s">
        <v>174</v>
      </c>
      <c r="K124" s="154"/>
      <c r="L124" s="154"/>
      <c r="M124" s="154"/>
    </row>
    <row r="125" spans="5:13" s="74" customFormat="1" ht="16.5" customHeight="1">
      <c r="E125" s="74" t="str">
        <f>"= ( 100 × "&amp;ROUND(F122,2)&amp;" / 2 ) × ( "&amp;O113&amp;" - "&amp;ROUND(F122,2)&amp;" / 3 ) + "&amp;$AK$70&amp;"×"&amp;ROUND(AK117,2)&amp;"×( "&amp;ROUND(F122,2)&amp;" - "&amp;O114&amp;" ) / "&amp;ROUND(F122,2)&amp;" ×( "&amp;O113&amp;" - "&amp;O114&amp;" )"</f>
        <v>= ( 100 × 6.28 / 2 ) × ( 24.25 - 6.28 / 3 ) + 7×15.89×( 6.28 - 5.75 ) / 6.28 ×( 24.25 - 5.75 )</v>
      </c>
      <c r="K125" s="154"/>
      <c r="L125" s="154"/>
      <c r="M125" s="154"/>
    </row>
    <row r="126" spans="5:13" s="74" customFormat="1" ht="16.5" customHeight="1">
      <c r="E126" s="74" t="s">
        <v>99</v>
      </c>
      <c r="F126" s="155">
        <f>(100*ROUND(F122,2)/2)*(O113-ROUND(F122,2)/3)+$AK$70*AK118*(ROUND(F122,2)-O114)/ROUND(F122,2)*(O113-O114)</f>
        <v>7044.014422505308</v>
      </c>
      <c r="G126" s="155"/>
      <c r="H126" s="155"/>
      <c r="I126" s="155"/>
      <c r="J126" s="74" t="s">
        <v>175</v>
      </c>
      <c r="K126" s="154"/>
      <c r="L126" s="154"/>
      <c r="M126" s="154"/>
    </row>
    <row r="127" spans="3:13" s="74" customFormat="1" ht="16.5" customHeight="1">
      <c r="C127" s="74" t="s">
        <v>176</v>
      </c>
      <c r="K127" s="154"/>
      <c r="L127" s="154"/>
      <c r="M127" s="154"/>
    </row>
    <row r="128" spans="4:13" s="74" customFormat="1" ht="16.5" customHeight="1">
      <c r="D128" s="74" t="s">
        <v>177</v>
      </c>
      <c r="K128" s="154"/>
      <c r="L128" s="154"/>
      <c r="M128" s="154"/>
    </row>
    <row r="129" spans="4:13" s="74" customFormat="1" ht="16.5" customHeight="1">
      <c r="D129" s="137" t="str">
        <f>"= (1/"&amp;$AK$70&amp;")×( "&amp;ROUND(F122,2)&amp;" / ( "&amp;O113&amp;"- "&amp;ROUND(F122,2)&amp;" ))×"&amp;ROUND(F126,1)</f>
        <v>= (1/7)×( 6.28 / ( 24.25- 6.28 ))×7044</v>
      </c>
      <c r="K129" s="154"/>
      <c r="L129" s="154"/>
      <c r="M129" s="154"/>
    </row>
    <row r="130" spans="4:13" s="74" customFormat="1" ht="16.5" customHeight="1">
      <c r="D130" s="74" t="s">
        <v>99</v>
      </c>
      <c r="E130" s="155">
        <f>1/$AK$70*(ROUND(F122,2)/(O113-ROUND(F122,2)))*ROUND(F126,1)</f>
        <v>351.6680181254472</v>
      </c>
      <c r="F130" s="155"/>
      <c r="G130" s="155"/>
      <c r="H130" s="155"/>
      <c r="I130" s="74" t="s">
        <v>175</v>
      </c>
      <c r="K130" s="154"/>
      <c r="L130" s="154"/>
      <c r="M130" s="154"/>
    </row>
    <row r="131" spans="11:13" s="74" customFormat="1" ht="16.5" customHeight="1">
      <c r="K131" s="154"/>
      <c r="L131" s="154"/>
      <c r="M131" s="154"/>
    </row>
    <row r="132" spans="3:23" s="74" customFormat="1" ht="16.5" customHeight="1">
      <c r="C132" s="74" t="s">
        <v>178</v>
      </c>
      <c r="K132" s="76" t="s">
        <v>179</v>
      </c>
      <c r="L132" s="154"/>
      <c r="M132" s="154"/>
      <c r="W132" s="156"/>
    </row>
    <row r="133" spans="3:17" s="74" customFormat="1" ht="16.5" customHeight="1">
      <c r="C133" s="74" t="s">
        <v>180</v>
      </c>
      <c r="K133" s="74" t="s">
        <v>181</v>
      </c>
      <c r="L133" s="154"/>
      <c r="M133" s="154"/>
      <c r="Q133" s="74" t="s">
        <v>182</v>
      </c>
    </row>
    <row r="134" spans="11:13" s="74" customFormat="1" ht="16.5" customHeight="1">
      <c r="K134" s="154"/>
      <c r="L134" s="154"/>
      <c r="M134" s="154"/>
    </row>
    <row r="135" spans="1:42" s="74" customFormat="1" ht="16.5" customHeight="1">
      <c r="A135" s="3"/>
      <c r="B135" s="3"/>
      <c r="C135" s="168" t="s">
        <v>183</v>
      </c>
      <c r="D135" s="168"/>
      <c r="E135" s="168"/>
      <c r="F135" s="168"/>
      <c r="G135" s="168"/>
      <c r="H135" s="168"/>
      <c r="I135" s="168"/>
      <c r="J135" s="168"/>
      <c r="K135" s="168"/>
      <c r="L135" s="176" t="s">
        <v>184</v>
      </c>
      <c r="M135" s="177"/>
      <c r="N135" s="177"/>
      <c r="O135" s="177"/>
      <c r="P135" s="178"/>
      <c r="Q135" s="168" t="s">
        <v>185</v>
      </c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 t="s">
        <v>186</v>
      </c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72" t="s">
        <v>187</v>
      </c>
      <c r="AN135" s="173"/>
      <c r="AO135" s="173"/>
      <c r="AP135" s="174"/>
    </row>
    <row r="136" spans="1:42" s="74" customFormat="1" ht="16.5" customHeight="1">
      <c r="A136" s="3"/>
      <c r="B136" s="3"/>
      <c r="C136" s="168"/>
      <c r="D136" s="168"/>
      <c r="E136" s="168"/>
      <c r="F136" s="168"/>
      <c r="G136" s="168"/>
      <c r="H136" s="168"/>
      <c r="I136" s="168"/>
      <c r="J136" s="168"/>
      <c r="K136" s="168"/>
      <c r="L136" s="179" t="s">
        <v>188</v>
      </c>
      <c r="M136" s="180"/>
      <c r="N136" s="180"/>
      <c r="O136" s="180"/>
      <c r="P136" s="181"/>
      <c r="Q136" s="168" t="s">
        <v>189</v>
      </c>
      <c r="R136" s="168"/>
      <c r="S136" s="168"/>
      <c r="T136" s="168"/>
      <c r="U136" s="168" t="s">
        <v>187</v>
      </c>
      <c r="V136" s="168"/>
      <c r="W136" s="168"/>
      <c r="X136" s="168"/>
      <c r="Y136" s="168" t="s">
        <v>190</v>
      </c>
      <c r="Z136" s="168"/>
      <c r="AA136" s="168"/>
      <c r="AB136" s="168" t="s">
        <v>189</v>
      </c>
      <c r="AC136" s="168"/>
      <c r="AD136" s="168"/>
      <c r="AE136" s="168"/>
      <c r="AF136" s="168" t="s">
        <v>187</v>
      </c>
      <c r="AG136" s="168"/>
      <c r="AH136" s="168"/>
      <c r="AI136" s="168"/>
      <c r="AJ136" s="168" t="s">
        <v>190</v>
      </c>
      <c r="AK136" s="168"/>
      <c r="AL136" s="168"/>
      <c r="AM136" s="151" t="s">
        <v>191</v>
      </c>
      <c r="AN136" s="152"/>
      <c r="AO136" s="152"/>
      <c r="AP136" s="134"/>
    </row>
    <row r="137" spans="1:42" s="74" customFormat="1" ht="22.5" customHeight="1">
      <c r="A137" s="3"/>
      <c r="B137" s="3"/>
      <c r="C137" s="167" t="s">
        <v>192</v>
      </c>
      <c r="D137" s="167"/>
      <c r="E137" s="167"/>
      <c r="F137" s="167"/>
      <c r="G137" s="167"/>
      <c r="H137" s="167"/>
      <c r="I137" s="167"/>
      <c r="J137" s="167"/>
      <c r="K137" s="167"/>
      <c r="L137" s="182">
        <v>0</v>
      </c>
      <c r="M137" s="183"/>
      <c r="N137" s="183"/>
      <c r="O137" s="183"/>
      <c r="P137" s="184"/>
      <c r="Q137" s="168" t="s">
        <v>122</v>
      </c>
      <c r="R137" s="168"/>
      <c r="S137" s="168"/>
      <c r="T137" s="168"/>
      <c r="U137" s="168" t="s">
        <v>122</v>
      </c>
      <c r="V137" s="168"/>
      <c r="W137" s="168"/>
      <c r="X137" s="168"/>
      <c r="Y137" s="168" t="s">
        <v>122</v>
      </c>
      <c r="Z137" s="168"/>
      <c r="AA137" s="168"/>
      <c r="AB137" s="168" t="s">
        <v>122</v>
      </c>
      <c r="AC137" s="168"/>
      <c r="AD137" s="168"/>
      <c r="AE137" s="168"/>
      <c r="AF137" s="168" t="s">
        <v>122</v>
      </c>
      <c r="AG137" s="168"/>
      <c r="AH137" s="168"/>
      <c r="AI137" s="168"/>
      <c r="AJ137" s="168" t="s">
        <v>122</v>
      </c>
      <c r="AK137" s="168"/>
      <c r="AL137" s="168"/>
      <c r="AM137" s="168" t="s">
        <v>122</v>
      </c>
      <c r="AN137" s="168"/>
      <c r="AO137" s="168"/>
      <c r="AP137" s="168"/>
    </row>
    <row r="138" spans="1:42" s="74" customFormat="1" ht="22.5" customHeight="1">
      <c r="A138" s="3"/>
      <c r="B138" s="3"/>
      <c r="C138" s="167" t="s">
        <v>193</v>
      </c>
      <c r="D138" s="167"/>
      <c r="E138" s="167"/>
      <c r="F138" s="167"/>
      <c r="G138" s="167"/>
      <c r="H138" s="167"/>
      <c r="I138" s="167"/>
      <c r="J138" s="167"/>
      <c r="K138" s="167"/>
      <c r="L138" s="169">
        <f>AG56</f>
        <v>16.375</v>
      </c>
      <c r="M138" s="170"/>
      <c r="N138" s="170"/>
      <c r="O138" s="170"/>
      <c r="P138" s="171"/>
      <c r="Q138" s="150">
        <f>ABS(L138)/F126*1000</f>
        <v>2.324668721245461</v>
      </c>
      <c r="R138" s="150"/>
      <c r="S138" s="150"/>
      <c r="T138" s="150"/>
      <c r="U138" s="150">
        <f>$AC$71</f>
        <v>8</v>
      </c>
      <c r="V138" s="150"/>
      <c r="W138" s="150"/>
      <c r="X138" s="150"/>
      <c r="Y138" s="168" t="str">
        <f>IF(Q138&lt;=U138,"O.K.","N.G.")</f>
        <v>O.K.</v>
      </c>
      <c r="Z138" s="168"/>
      <c r="AA138" s="168"/>
      <c r="AB138" s="150">
        <f>ABS(L138)/E130*1000</f>
        <v>46.56380209746199</v>
      </c>
      <c r="AC138" s="150"/>
      <c r="AD138" s="150"/>
      <c r="AE138" s="150"/>
      <c r="AF138" s="150">
        <f>$U$72</f>
        <v>120</v>
      </c>
      <c r="AG138" s="150"/>
      <c r="AH138" s="150"/>
      <c r="AI138" s="150"/>
      <c r="AJ138" s="168" t="str">
        <f>IF(AB138&lt;=AF138,"O.K.","N.G.")</f>
        <v>O.K.</v>
      </c>
      <c r="AK138" s="168"/>
      <c r="AL138" s="168"/>
      <c r="AM138" s="150">
        <v>1</v>
      </c>
      <c r="AN138" s="150"/>
      <c r="AO138" s="150"/>
      <c r="AP138" s="150"/>
    </row>
    <row r="139" spans="3:42" ht="22.5" customHeight="1">
      <c r="C139" s="167" t="s">
        <v>194</v>
      </c>
      <c r="D139" s="167"/>
      <c r="E139" s="167"/>
      <c r="F139" s="167"/>
      <c r="G139" s="167"/>
      <c r="H139" s="167"/>
      <c r="I139" s="167"/>
      <c r="J139" s="167"/>
      <c r="K139" s="167"/>
      <c r="L139" s="169">
        <v>0</v>
      </c>
      <c r="M139" s="170"/>
      <c r="N139" s="170"/>
      <c r="O139" s="170"/>
      <c r="P139" s="171"/>
      <c r="Q139" s="168" t="s">
        <v>122</v>
      </c>
      <c r="R139" s="168"/>
      <c r="S139" s="168"/>
      <c r="T139" s="168"/>
      <c r="U139" s="168" t="s">
        <v>122</v>
      </c>
      <c r="V139" s="168"/>
      <c r="W139" s="168"/>
      <c r="X139" s="168"/>
      <c r="Y139" s="168" t="s">
        <v>122</v>
      </c>
      <c r="Z139" s="168"/>
      <c r="AA139" s="168"/>
      <c r="AB139" s="168" t="s">
        <v>122</v>
      </c>
      <c r="AC139" s="168"/>
      <c r="AD139" s="168"/>
      <c r="AE139" s="168"/>
      <c r="AF139" s="168" t="s">
        <v>122</v>
      </c>
      <c r="AG139" s="168"/>
      <c r="AH139" s="168"/>
      <c r="AI139" s="168"/>
      <c r="AJ139" s="168" t="s">
        <v>122</v>
      </c>
      <c r="AK139" s="168"/>
      <c r="AL139" s="168"/>
      <c r="AM139" s="168" t="s">
        <v>122</v>
      </c>
      <c r="AN139" s="168"/>
      <c r="AO139" s="168"/>
      <c r="AP139" s="168"/>
    </row>
    <row r="140" spans="3:42" ht="22.5" customHeight="1">
      <c r="C140" s="167" t="s">
        <v>195</v>
      </c>
      <c r="D140" s="167"/>
      <c r="E140" s="167"/>
      <c r="F140" s="167"/>
      <c r="G140" s="167"/>
      <c r="H140" s="167"/>
      <c r="I140" s="167"/>
      <c r="J140" s="167"/>
      <c r="K140" s="167"/>
      <c r="L140" s="169">
        <v>0</v>
      </c>
      <c r="M140" s="170"/>
      <c r="N140" s="170"/>
      <c r="O140" s="170"/>
      <c r="P140" s="171"/>
      <c r="Q140" s="168" t="s">
        <v>122</v>
      </c>
      <c r="R140" s="168"/>
      <c r="S140" s="168"/>
      <c r="T140" s="168"/>
      <c r="U140" s="168" t="s">
        <v>122</v>
      </c>
      <c r="V140" s="168"/>
      <c r="W140" s="168"/>
      <c r="X140" s="168"/>
      <c r="Y140" s="168" t="s">
        <v>122</v>
      </c>
      <c r="Z140" s="168"/>
      <c r="AA140" s="168"/>
      <c r="AB140" s="168" t="s">
        <v>122</v>
      </c>
      <c r="AC140" s="168"/>
      <c r="AD140" s="168"/>
      <c r="AE140" s="168"/>
      <c r="AF140" s="168" t="s">
        <v>122</v>
      </c>
      <c r="AG140" s="168"/>
      <c r="AH140" s="168"/>
      <c r="AI140" s="168"/>
      <c r="AJ140" s="168" t="s">
        <v>122</v>
      </c>
      <c r="AK140" s="168"/>
      <c r="AL140" s="168"/>
      <c r="AM140" s="168" t="s">
        <v>122</v>
      </c>
      <c r="AN140" s="168"/>
      <c r="AO140" s="168"/>
      <c r="AP140" s="168"/>
    </row>
  </sheetData>
  <mergeCells count="182">
    <mergeCell ref="O112:Q112"/>
    <mergeCell ref="T117:V117"/>
    <mergeCell ref="T118:V118"/>
    <mergeCell ref="O78:Q78"/>
    <mergeCell ref="O79:Q79"/>
    <mergeCell ref="S81:U81"/>
    <mergeCell ref="S82:U82"/>
    <mergeCell ref="Q99:AA99"/>
    <mergeCell ref="Q100:T100"/>
    <mergeCell ref="U100:X100"/>
    <mergeCell ref="M59:O59"/>
    <mergeCell ref="I64:K64"/>
    <mergeCell ref="Q70:S70"/>
    <mergeCell ref="AK70:AL70"/>
    <mergeCell ref="R66:U66"/>
    <mergeCell ref="K20:M20"/>
    <mergeCell ref="K21:M21"/>
    <mergeCell ref="K22:M22"/>
    <mergeCell ref="AC14:AE14"/>
    <mergeCell ref="AC15:AE15"/>
    <mergeCell ref="U16:V16"/>
    <mergeCell ref="X17:Z17"/>
    <mergeCell ref="D18:F18"/>
    <mergeCell ref="D19:F19"/>
    <mergeCell ref="K14:M14"/>
    <mergeCell ref="K15:M15"/>
    <mergeCell ref="K16:M16"/>
    <mergeCell ref="K17:M17"/>
    <mergeCell ref="K18:M18"/>
    <mergeCell ref="K19:M19"/>
    <mergeCell ref="D14:F14"/>
    <mergeCell ref="D15:F15"/>
    <mergeCell ref="D16:F16"/>
    <mergeCell ref="D17:F17"/>
    <mergeCell ref="L135:P135"/>
    <mergeCell ref="L136:P136"/>
    <mergeCell ref="B39:F39"/>
    <mergeCell ref="B40:F40"/>
    <mergeCell ref="B43:F43"/>
    <mergeCell ref="B41:F41"/>
    <mergeCell ref="B42:F42"/>
    <mergeCell ref="C99:K100"/>
    <mergeCell ref="I72:J72"/>
    <mergeCell ref="B32:F32"/>
    <mergeCell ref="B33:F33"/>
    <mergeCell ref="B34:F34"/>
    <mergeCell ref="B35:F35"/>
    <mergeCell ref="B36:F36"/>
    <mergeCell ref="B37:F37"/>
    <mergeCell ref="B38:F38"/>
    <mergeCell ref="AA27:AC27"/>
    <mergeCell ref="G32:X32"/>
    <mergeCell ref="Y32:AB32"/>
    <mergeCell ref="AC32:AH32"/>
    <mergeCell ref="AB99:AL99"/>
    <mergeCell ref="AB100:AE100"/>
    <mergeCell ref="AF100:AI100"/>
    <mergeCell ref="AJ100:AL100"/>
    <mergeCell ref="Y100:AA100"/>
    <mergeCell ref="L99:P99"/>
    <mergeCell ref="L100:P100"/>
    <mergeCell ref="L101:P101"/>
    <mergeCell ref="AJ102:AL102"/>
    <mergeCell ref="L102:P102"/>
    <mergeCell ref="L103:P103"/>
    <mergeCell ref="L104:P104"/>
    <mergeCell ref="AJ101:AL101"/>
    <mergeCell ref="Q101:T101"/>
    <mergeCell ref="U101:X101"/>
    <mergeCell ref="Y101:AA101"/>
    <mergeCell ref="AB101:AE101"/>
    <mergeCell ref="AF101:AI101"/>
    <mergeCell ref="AB102:AE102"/>
    <mergeCell ref="L106:P106"/>
    <mergeCell ref="L107:P107"/>
    <mergeCell ref="L108:P108"/>
    <mergeCell ref="L105:P105"/>
    <mergeCell ref="AF102:AI102"/>
    <mergeCell ref="AJ103:AL103"/>
    <mergeCell ref="Q103:T103"/>
    <mergeCell ref="U103:X103"/>
    <mergeCell ref="Y103:AA103"/>
    <mergeCell ref="AB103:AE103"/>
    <mergeCell ref="AF103:AI103"/>
    <mergeCell ref="Q102:T102"/>
    <mergeCell ref="U102:X102"/>
    <mergeCell ref="Y102:AA102"/>
    <mergeCell ref="U104:X104"/>
    <mergeCell ref="Y104:AA104"/>
    <mergeCell ref="AB104:AE104"/>
    <mergeCell ref="AF104:AI104"/>
    <mergeCell ref="AJ107:AL107"/>
    <mergeCell ref="Q107:T107"/>
    <mergeCell ref="U105:X105"/>
    <mergeCell ref="Y105:AA105"/>
    <mergeCell ref="AB106:AE106"/>
    <mergeCell ref="AF106:AI106"/>
    <mergeCell ref="AJ106:AL106"/>
    <mergeCell ref="Q106:T106"/>
    <mergeCell ref="U106:X106"/>
    <mergeCell ref="Y106:AA106"/>
    <mergeCell ref="AJ108:AL108"/>
    <mergeCell ref="Q108:T108"/>
    <mergeCell ref="U108:X108"/>
    <mergeCell ref="Y108:AA108"/>
    <mergeCell ref="U107:X107"/>
    <mergeCell ref="Y107:AA107"/>
    <mergeCell ref="AB108:AE108"/>
    <mergeCell ref="AF108:AI108"/>
    <mergeCell ref="AB107:AE107"/>
    <mergeCell ref="AF107:AI107"/>
    <mergeCell ref="C106:K106"/>
    <mergeCell ref="C107:K107"/>
    <mergeCell ref="C108:K108"/>
    <mergeCell ref="C101:K101"/>
    <mergeCell ref="C102:K102"/>
    <mergeCell ref="C103:K103"/>
    <mergeCell ref="C104:K104"/>
    <mergeCell ref="AM102:AP102"/>
    <mergeCell ref="AM103:AP103"/>
    <mergeCell ref="AM104:AP104"/>
    <mergeCell ref="C105:K105"/>
    <mergeCell ref="AB105:AE105"/>
    <mergeCell ref="AF105:AI105"/>
    <mergeCell ref="AJ105:AL105"/>
    <mergeCell ref="Q105:T105"/>
    <mergeCell ref="AJ104:AL104"/>
    <mergeCell ref="Q104:T104"/>
    <mergeCell ref="C135:K136"/>
    <mergeCell ref="Q135:AA135"/>
    <mergeCell ref="AB135:AL135"/>
    <mergeCell ref="AM135:AP135"/>
    <mergeCell ref="Q136:T136"/>
    <mergeCell ref="U136:X136"/>
    <mergeCell ref="Y136:AA136"/>
    <mergeCell ref="AB136:AE136"/>
    <mergeCell ref="Y137:AA137"/>
    <mergeCell ref="AB137:AE137"/>
    <mergeCell ref="AF137:AI137"/>
    <mergeCell ref="AM99:AP99"/>
    <mergeCell ref="AM100:AP100"/>
    <mergeCell ref="AM105:AP105"/>
    <mergeCell ref="AM106:AP106"/>
    <mergeCell ref="AM107:AP107"/>
    <mergeCell ref="AM108:AP108"/>
    <mergeCell ref="AM101:AP101"/>
    <mergeCell ref="AM138:AP138"/>
    <mergeCell ref="AF136:AI136"/>
    <mergeCell ref="AJ136:AL136"/>
    <mergeCell ref="AM136:AP136"/>
    <mergeCell ref="AJ137:AL137"/>
    <mergeCell ref="Y139:AA139"/>
    <mergeCell ref="L139:P139"/>
    <mergeCell ref="AM137:AP137"/>
    <mergeCell ref="C138:K138"/>
    <mergeCell ref="Q138:T138"/>
    <mergeCell ref="U138:X138"/>
    <mergeCell ref="Y138:AA138"/>
    <mergeCell ref="AB138:AE138"/>
    <mergeCell ref="AF138:AI138"/>
    <mergeCell ref="AJ138:AL138"/>
    <mergeCell ref="AB139:AE139"/>
    <mergeCell ref="AF139:AI139"/>
    <mergeCell ref="AJ139:AL139"/>
    <mergeCell ref="AM139:AP139"/>
    <mergeCell ref="AM140:AP140"/>
    <mergeCell ref="Y140:AA140"/>
    <mergeCell ref="AB140:AE140"/>
    <mergeCell ref="AF140:AI140"/>
    <mergeCell ref="AJ140:AL140"/>
    <mergeCell ref="C140:K140"/>
    <mergeCell ref="Q140:T140"/>
    <mergeCell ref="U140:X140"/>
    <mergeCell ref="L140:P140"/>
    <mergeCell ref="C139:K139"/>
    <mergeCell ref="Q139:T139"/>
    <mergeCell ref="U139:X139"/>
    <mergeCell ref="C137:K137"/>
    <mergeCell ref="Q137:T137"/>
    <mergeCell ref="U137:X137"/>
    <mergeCell ref="L137:P137"/>
    <mergeCell ref="L138:P138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40"/>
  <sheetViews>
    <sheetView workbookViewId="0" topLeftCell="A118">
      <selection activeCell="A118" sqref="A1:IV16384"/>
    </sheetView>
  </sheetViews>
  <sheetFormatPr defaultColWidth="8.88671875" defaultRowHeight="22.5" customHeight="1"/>
  <cols>
    <col min="1" max="16384" width="1.77734375" style="3" customWidth="1"/>
  </cols>
  <sheetData>
    <row r="1" spans="1:6" ht="22.5" customHeight="1">
      <c r="A1" s="157" t="s">
        <v>204</v>
      </c>
      <c r="B1" s="1"/>
      <c r="C1" s="2"/>
      <c r="D1" s="2"/>
      <c r="E1" s="2"/>
      <c r="F1" s="2"/>
    </row>
    <row r="2" spans="1:33" ht="22.5" customHeight="1">
      <c r="A2" s="142"/>
      <c r="C2" s="2"/>
      <c r="D2" s="2"/>
      <c r="E2" s="2"/>
      <c r="F2" s="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22.5" customHeight="1">
      <c r="A3" s="142"/>
      <c r="D3" s="2"/>
      <c r="E3" s="2"/>
      <c r="F3" s="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0:33" ht="22.5" customHeight="1"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0:33" ht="22.5" customHeight="1"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0:33" ht="22.5" customHeight="1"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0:33" ht="22.5" customHeight="1"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0:33" ht="22.5" customHeight="1"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0:33" ht="22.5" customHeight="1"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0:33" ht="22.5" customHeight="1"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0:33" ht="22.5" customHeight="1"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0:33" ht="22.5" customHeight="1"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0:33" ht="22.5" customHeight="1"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45" ht="22.5" customHeight="1">
      <c r="A14" s="2"/>
      <c r="B14" s="2" t="s">
        <v>0</v>
      </c>
      <c r="D14" s="197">
        <v>0.25</v>
      </c>
      <c r="E14" s="164"/>
      <c r="F14" s="164"/>
      <c r="G14" s="2" t="s">
        <v>1</v>
      </c>
      <c r="H14" s="2"/>
      <c r="I14" s="2" t="s">
        <v>78</v>
      </c>
      <c r="K14" s="197">
        <v>0</v>
      </c>
      <c r="L14" s="164"/>
      <c r="M14" s="164"/>
      <c r="N14" s="2" t="s">
        <v>1</v>
      </c>
      <c r="P14" s="2" t="s">
        <v>79</v>
      </c>
      <c r="S14" s="2"/>
      <c r="T14" s="2"/>
      <c r="U14" s="2"/>
      <c r="V14" s="2"/>
      <c r="AC14" s="197">
        <v>24.5</v>
      </c>
      <c r="AD14" s="164"/>
      <c r="AE14" s="164"/>
      <c r="AF14" s="2" t="s">
        <v>80</v>
      </c>
      <c r="AG14" s="2"/>
      <c r="AS14" s="137" t="s">
        <v>202</v>
      </c>
    </row>
    <row r="15" spans="1:33" ht="22.5" customHeight="1">
      <c r="A15" s="2"/>
      <c r="B15" s="2" t="s">
        <v>3</v>
      </c>
      <c r="D15" s="197">
        <v>0.11</v>
      </c>
      <c r="E15" s="164"/>
      <c r="F15" s="164"/>
      <c r="G15" s="2" t="s">
        <v>1</v>
      </c>
      <c r="H15" s="2"/>
      <c r="I15" s="2" t="s">
        <v>2</v>
      </c>
      <c r="K15" s="197">
        <v>0.25</v>
      </c>
      <c r="L15" s="164"/>
      <c r="M15" s="164"/>
      <c r="N15" s="2" t="s">
        <v>1</v>
      </c>
      <c r="P15" s="2" t="s">
        <v>82</v>
      </c>
      <c r="S15" s="2"/>
      <c r="T15" s="2"/>
      <c r="U15" s="2"/>
      <c r="V15" s="2"/>
      <c r="AC15" s="197">
        <v>22.5</v>
      </c>
      <c r="AD15" s="164"/>
      <c r="AE15" s="164"/>
      <c r="AF15" s="2" t="s">
        <v>80</v>
      </c>
      <c r="AG15" s="2"/>
    </row>
    <row r="16" spans="1:34" ht="22.5" customHeight="1">
      <c r="A16" s="2"/>
      <c r="B16" s="2" t="s">
        <v>5</v>
      </c>
      <c r="D16" s="197">
        <v>0.18</v>
      </c>
      <c r="E16" s="164"/>
      <c r="F16" s="164"/>
      <c r="G16" s="2" t="s">
        <v>1</v>
      </c>
      <c r="H16" s="2"/>
      <c r="I16" s="2" t="s">
        <v>4</v>
      </c>
      <c r="K16" s="197">
        <v>0.09</v>
      </c>
      <c r="L16" s="164"/>
      <c r="M16" s="164"/>
      <c r="N16" s="2" t="s">
        <v>1</v>
      </c>
      <c r="P16" s="2" t="s">
        <v>83</v>
      </c>
      <c r="S16" s="2"/>
      <c r="T16" s="2"/>
      <c r="U16" s="200" t="s">
        <v>84</v>
      </c>
      <c r="V16" s="164"/>
      <c r="W16" s="2" t="s">
        <v>85</v>
      </c>
      <c r="X16" s="2"/>
      <c r="Y16" s="2"/>
      <c r="Z16" s="2"/>
      <c r="AA16" s="2"/>
      <c r="AB16" s="2"/>
      <c r="AC16" s="2"/>
      <c r="AD16" s="7"/>
      <c r="AE16" s="7"/>
      <c r="AF16" s="7"/>
      <c r="AG16" s="7"/>
      <c r="AH16" s="7"/>
    </row>
    <row r="17" spans="1:29" ht="22.5" customHeight="1">
      <c r="A17" s="2"/>
      <c r="B17" s="2" t="s">
        <v>7</v>
      </c>
      <c r="D17" s="197">
        <v>0.89</v>
      </c>
      <c r="E17" s="164"/>
      <c r="F17" s="164"/>
      <c r="G17" s="2" t="s">
        <v>1</v>
      </c>
      <c r="H17" s="2"/>
      <c r="I17" s="2" t="s">
        <v>6</v>
      </c>
      <c r="K17" s="197">
        <v>0.125</v>
      </c>
      <c r="L17" s="164"/>
      <c r="M17" s="164"/>
      <c r="N17" s="2" t="s">
        <v>1</v>
      </c>
      <c r="P17" s="2" t="s">
        <v>86</v>
      </c>
      <c r="S17" s="2"/>
      <c r="T17" s="2"/>
      <c r="U17" s="2"/>
      <c r="V17" s="2"/>
      <c r="X17" s="201">
        <v>100</v>
      </c>
      <c r="Y17" s="201"/>
      <c r="Z17" s="201"/>
      <c r="AA17" s="2" t="s">
        <v>87</v>
      </c>
      <c r="AC17" s="8"/>
    </row>
    <row r="18" spans="1:36" ht="22.5" customHeight="1">
      <c r="A18" s="2"/>
      <c r="B18" s="2" t="s">
        <v>9</v>
      </c>
      <c r="D18" s="197">
        <v>0.3</v>
      </c>
      <c r="E18" s="164"/>
      <c r="F18" s="164"/>
      <c r="G18" s="2" t="s">
        <v>1</v>
      </c>
      <c r="H18" s="2"/>
      <c r="I18" s="2" t="s">
        <v>8</v>
      </c>
      <c r="K18" s="197">
        <v>0.535</v>
      </c>
      <c r="L18" s="164"/>
      <c r="M18" s="164"/>
      <c r="N18" s="2" t="s">
        <v>1</v>
      </c>
      <c r="P18" s="2" t="s">
        <v>88</v>
      </c>
      <c r="S18" s="2"/>
      <c r="T18" s="2"/>
      <c r="U18" s="2"/>
      <c r="V18" s="2"/>
      <c r="W18" s="2"/>
      <c r="AC18" s="142" t="s">
        <v>89</v>
      </c>
      <c r="AH18" s="7"/>
      <c r="AJ18" s="2" t="s">
        <v>90</v>
      </c>
    </row>
    <row r="19" spans="1:28" ht="22.5" customHeight="1">
      <c r="A19" s="2"/>
      <c r="B19" s="2" t="s">
        <v>11</v>
      </c>
      <c r="D19" s="197">
        <v>0.08</v>
      </c>
      <c r="E19" s="164"/>
      <c r="F19" s="164"/>
      <c r="G19" s="2" t="s">
        <v>1</v>
      </c>
      <c r="H19" s="2"/>
      <c r="I19" s="2" t="s">
        <v>10</v>
      </c>
      <c r="K19" s="197">
        <v>0.06</v>
      </c>
      <c r="L19" s="164"/>
      <c r="M19" s="164"/>
      <c r="N19" s="2" t="s">
        <v>1</v>
      </c>
      <c r="Y19" s="2"/>
      <c r="Z19" s="2"/>
      <c r="AA19" s="2"/>
      <c r="AB19" s="2"/>
    </row>
    <row r="20" spans="1:29" ht="22.5" customHeight="1">
      <c r="A20" s="2"/>
      <c r="B20" s="2"/>
      <c r="D20" s="2"/>
      <c r="E20" s="2"/>
      <c r="G20" s="2"/>
      <c r="H20" s="2"/>
      <c r="I20" s="2" t="s">
        <v>12</v>
      </c>
      <c r="K20" s="197">
        <v>0.12</v>
      </c>
      <c r="L20" s="164"/>
      <c r="M20" s="164"/>
      <c r="N20" s="2" t="s">
        <v>1</v>
      </c>
      <c r="U20" s="10"/>
      <c r="V20" s="10"/>
      <c r="W20" s="103"/>
      <c r="X20" s="103"/>
      <c r="Y20" s="10"/>
      <c r="Z20" s="10"/>
      <c r="AA20" s="10"/>
      <c r="AB20" s="11"/>
      <c r="AC20" s="11"/>
    </row>
    <row r="21" spans="1:14" ht="22.5" customHeight="1">
      <c r="A21" s="2"/>
      <c r="B21" s="2"/>
      <c r="D21" s="2"/>
      <c r="E21" s="2"/>
      <c r="G21" s="2"/>
      <c r="H21" s="2"/>
      <c r="I21" s="2" t="s">
        <v>91</v>
      </c>
      <c r="K21" s="197">
        <f>K14+K15+K16+K17+K18-K20</f>
        <v>0.88</v>
      </c>
      <c r="L21" s="164"/>
      <c r="M21" s="164"/>
      <c r="N21" s="2" t="s">
        <v>1</v>
      </c>
    </row>
    <row r="22" spans="1:28" ht="22.5" customHeight="1">
      <c r="A22" s="2"/>
      <c r="B22" s="2"/>
      <c r="D22" s="2"/>
      <c r="E22" s="2"/>
      <c r="G22" s="2"/>
      <c r="H22" s="2"/>
      <c r="I22" s="2" t="s">
        <v>92</v>
      </c>
      <c r="K22" s="197">
        <v>0.25</v>
      </c>
      <c r="L22" s="164"/>
      <c r="M22" s="164"/>
      <c r="N22" s="2" t="s">
        <v>1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2.5" customHeight="1">
      <c r="A23" s="2"/>
      <c r="B23" s="2"/>
      <c r="D23" s="2"/>
      <c r="E23" s="2"/>
      <c r="G23" s="2"/>
      <c r="H23" s="2"/>
      <c r="I23" s="2"/>
      <c r="K23" s="12"/>
      <c r="L23" s="5"/>
      <c r="M23" s="6"/>
      <c r="N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6" ht="22.5" customHeight="1">
      <c r="A24" s="2"/>
      <c r="B24" s="2" t="s">
        <v>93</v>
      </c>
      <c r="C24" s="2"/>
      <c r="D24" s="2"/>
      <c r="E24" s="2"/>
      <c r="F24" s="2"/>
      <c r="H24" s="2"/>
      <c r="J24" s="2"/>
      <c r="K24" s="13" t="str">
        <f>IF(P25&gt;0.25,"( L&gt;0.25mの場合)","( L≤0.25mの場合)")</f>
        <v>( L≤0.25mの場合)</v>
      </c>
      <c r="L24" s="2"/>
      <c r="M24" s="2"/>
      <c r="N24" s="2"/>
      <c r="O24" s="2"/>
      <c r="Q24" s="14"/>
      <c r="R24" s="14"/>
      <c r="S24" s="15"/>
      <c r="U24" s="11"/>
      <c r="W24" s="14"/>
      <c r="Y24" s="16"/>
      <c r="Z24" s="17" t="s">
        <v>94</v>
      </c>
    </row>
    <row r="25" spans="1:23" ht="22.5" customHeight="1">
      <c r="A25" s="2"/>
      <c r="C25" s="11" t="s">
        <v>95</v>
      </c>
      <c r="D25" s="2"/>
      <c r="E25" s="2"/>
      <c r="F25" s="2"/>
      <c r="G25" s="2"/>
      <c r="H25" s="2"/>
      <c r="N25" s="2" t="s">
        <v>96</v>
      </c>
      <c r="O25" s="2"/>
      <c r="P25" s="5">
        <f>(K18-K19-K22)</f>
        <v>0.22500000000000003</v>
      </c>
      <c r="Q25" s="6"/>
      <c r="R25" s="6"/>
      <c r="S25" s="18"/>
      <c r="T25" s="2" t="s">
        <v>1</v>
      </c>
      <c r="U25" s="16"/>
      <c r="V25" s="14"/>
      <c r="W25" s="14"/>
    </row>
    <row r="26" spans="1:47" ht="22.5" customHeight="1">
      <c r="A26" s="2"/>
      <c r="C26" s="13" t="str">
        <f>IF(P25&gt;0.25,"do = (80·L + 210) =","do = (280·L + 160) =")</f>
        <v>do = (280·L + 160) =</v>
      </c>
      <c r="D26" s="2"/>
      <c r="E26" s="2"/>
      <c r="F26" s="2"/>
      <c r="G26" s="2"/>
      <c r="L26" s="2" t="str">
        <f>IF(P25&gt;0.25,"{(80×"&amp;P25&amp;") + 210} = "&amp;ROUND((80*P25+210),0)&amp;" mm &gt; 160 mm","{(280×"&amp;P25&amp;") + 160} = "&amp;ROUND((280*P25+160),0)&amp;" mm &gt; 160 mm")</f>
        <v>{(280×0.225) + 160} = 223 mm &gt; 160 mm</v>
      </c>
      <c r="W26" s="2"/>
      <c r="X26" s="11"/>
      <c r="AG26" s="2"/>
      <c r="AH26" s="2"/>
      <c r="AI26" s="2"/>
      <c r="AJ26" s="2"/>
      <c r="AK26" s="2"/>
      <c r="AL26" s="2"/>
      <c r="AM26" s="2"/>
      <c r="AN26" s="2"/>
      <c r="AP26" s="2"/>
      <c r="AQ26" s="2"/>
      <c r="AR26" s="2"/>
      <c r="AS26" s="2"/>
      <c r="AT26" s="2"/>
      <c r="AU26" s="2"/>
    </row>
    <row r="27" spans="1:35" ht="22.5" customHeight="1">
      <c r="A27" s="2"/>
      <c r="C27" s="2" t="s">
        <v>97</v>
      </c>
      <c r="D27" s="2"/>
      <c r="E27" s="2"/>
      <c r="F27" s="2"/>
      <c r="J27" s="18">
        <f>AB28</f>
        <v>1.25</v>
      </c>
      <c r="K27" s="6"/>
      <c r="L27" s="19" t="s">
        <v>98</v>
      </c>
      <c r="M27" s="20">
        <v>1</v>
      </c>
      <c r="N27" s="6"/>
      <c r="O27" s="19" t="s">
        <v>98</v>
      </c>
      <c r="P27" s="18">
        <f>IF(P25&gt;0.25,ROUND((80*P25+210),0),ROUND((280*P25+160),0))</f>
        <v>223</v>
      </c>
      <c r="Q27" s="6"/>
      <c r="R27" s="6"/>
      <c r="S27" s="19" t="s">
        <v>99</v>
      </c>
      <c r="T27" s="18">
        <f>ROUND(J27*M27*P27,-1)</f>
        <v>280</v>
      </c>
      <c r="U27" s="6"/>
      <c r="V27" s="18"/>
      <c r="W27" s="2" t="s">
        <v>100</v>
      </c>
      <c r="Y27" s="19" t="s">
        <v>101</v>
      </c>
      <c r="AA27" s="185">
        <f>D18*100</f>
        <v>30</v>
      </c>
      <c r="AB27" s="185"/>
      <c r="AC27" s="185"/>
      <c r="AD27" s="11" t="s">
        <v>102</v>
      </c>
      <c r="AE27" s="2"/>
      <c r="AH27" s="2" t="str">
        <f>IF(T27&lt;=AA27*10,"O.K.","N.G.")</f>
        <v>O.K.</v>
      </c>
      <c r="AI27" s="2"/>
    </row>
    <row r="28" spans="1:58" ht="22.5" customHeight="1">
      <c r="A28" s="2"/>
      <c r="C28" s="2" t="s">
        <v>13</v>
      </c>
      <c r="D28" s="2"/>
      <c r="G28" s="2" t="s">
        <v>14</v>
      </c>
      <c r="Y28" s="2" t="s">
        <v>103</v>
      </c>
      <c r="AB28" s="18">
        <f>IF(AC18="500未満",1.1,IF(AC18="500以上1000未満",1.15,IF(AC18="1000以上2000未満",1.2,IF(AC18="2000以上",1.25,"入力確認要望"))))</f>
        <v>1.25</v>
      </c>
      <c r="AC28" s="78"/>
      <c r="AD28" s="2" t="s">
        <v>104</v>
      </c>
      <c r="AN28" s="2"/>
      <c r="AP28" s="2"/>
      <c r="AQ28" s="2"/>
      <c r="AR28" s="2"/>
      <c r="AS28" s="2"/>
      <c r="AT28" s="2"/>
      <c r="AU28" s="2"/>
      <c r="AV28" s="2"/>
      <c r="AW28" s="2"/>
      <c r="AY28" s="2"/>
      <c r="BB28" s="2"/>
      <c r="BC28" s="2"/>
      <c r="BD28" s="2"/>
      <c r="BE28" s="2"/>
      <c r="BF28" s="11"/>
    </row>
    <row r="29" spans="1:58" ht="22.5" customHeight="1">
      <c r="A29" s="2"/>
      <c r="C29" s="8"/>
      <c r="D29" s="2"/>
      <c r="E29" s="2"/>
      <c r="G29" s="2" t="s">
        <v>105</v>
      </c>
      <c r="AN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BA29" s="2"/>
      <c r="BB29" s="2"/>
      <c r="BC29" s="2"/>
      <c r="BD29" s="2"/>
      <c r="BE29" s="2"/>
      <c r="BF29" s="11"/>
    </row>
    <row r="30" spans="1:58" ht="22.5" customHeight="1">
      <c r="A30" s="2"/>
      <c r="C30" s="8"/>
      <c r="D30" s="2"/>
      <c r="E30" s="2"/>
      <c r="G30" s="2"/>
      <c r="I30" s="2" t="s">
        <v>106</v>
      </c>
      <c r="Z30" s="2"/>
      <c r="AN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BA30" s="2"/>
      <c r="BB30" s="2"/>
      <c r="BC30" s="2"/>
      <c r="BD30" s="2"/>
      <c r="BE30" s="2"/>
      <c r="BF30" s="11"/>
    </row>
    <row r="31" spans="1:33" ht="22.5" customHeight="1" thickBot="1">
      <c r="A31" s="2"/>
      <c r="B31" s="11" t="s">
        <v>107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3" t="s">
        <v>81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4" ht="22.5" customHeight="1" thickBot="1">
      <c r="A32" s="2"/>
      <c r="B32" s="187" t="s">
        <v>15</v>
      </c>
      <c r="C32" s="187"/>
      <c r="D32" s="187"/>
      <c r="E32" s="187"/>
      <c r="F32" s="188"/>
      <c r="G32" s="186" t="s">
        <v>108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8"/>
      <c r="Y32" s="186" t="s">
        <v>109</v>
      </c>
      <c r="Z32" s="187"/>
      <c r="AA32" s="187"/>
      <c r="AB32" s="188"/>
      <c r="AC32" s="186" t="s">
        <v>110</v>
      </c>
      <c r="AD32" s="187"/>
      <c r="AE32" s="187"/>
      <c r="AF32" s="187"/>
      <c r="AG32" s="187"/>
      <c r="AH32" s="187"/>
    </row>
    <row r="33" spans="1:34" ht="22.5" customHeight="1" thickTop="1">
      <c r="A33" s="2"/>
      <c r="B33" s="189">
        <v>1</v>
      </c>
      <c r="C33" s="189"/>
      <c r="D33" s="189"/>
      <c r="E33" s="189"/>
      <c r="F33" s="190"/>
      <c r="G33" s="23" t="str">
        <f>K15&amp;" × "&amp;D17&amp;" × "&amp;AC14</f>
        <v>0.25 × 0.89 × 24.5</v>
      </c>
      <c r="H33" s="24"/>
      <c r="I33" s="24"/>
      <c r="J33" s="24"/>
      <c r="K33" s="24"/>
      <c r="L33" s="24"/>
      <c r="M33" s="25"/>
      <c r="N33" s="25"/>
      <c r="O33" s="25"/>
      <c r="P33" s="25"/>
      <c r="Q33" s="25"/>
      <c r="R33" s="25"/>
      <c r="S33" s="25"/>
      <c r="T33" s="26" t="s">
        <v>16</v>
      </c>
      <c r="U33" s="27">
        <f>ROUND(D17*K15*AC14,3)</f>
        <v>5.451</v>
      </c>
      <c r="V33" s="27"/>
      <c r="W33" s="26"/>
      <c r="X33" s="28"/>
      <c r="Y33" s="29">
        <f>ROUND(K18+K17+K16+K15/2-K19,3)</f>
        <v>0.815</v>
      </c>
      <c r="Z33" s="27"/>
      <c r="AA33" s="27"/>
      <c r="AB33" s="28"/>
      <c r="AC33" s="29">
        <f>-ROUND(U33*Y33,3)</f>
        <v>-4.443</v>
      </c>
      <c r="AD33" s="27"/>
      <c r="AE33" s="27"/>
      <c r="AF33" s="27"/>
      <c r="AG33" s="28"/>
      <c r="AH33" s="28"/>
    </row>
    <row r="34" spans="1:34" ht="22.5" customHeight="1">
      <c r="A34" s="2"/>
      <c r="B34" s="191">
        <v>2</v>
      </c>
      <c r="C34" s="191"/>
      <c r="D34" s="191"/>
      <c r="E34" s="191"/>
      <c r="F34" s="192"/>
      <c r="G34" s="30" t="str">
        <f>"½ × "&amp;K16&amp;" × "&amp;D17&amp;" × "&amp;AC14</f>
        <v>½ × 0.09 × 0.89 × 24.5</v>
      </c>
      <c r="H34" s="11"/>
      <c r="I34" s="11"/>
      <c r="J34" s="11"/>
      <c r="K34" s="11"/>
      <c r="L34" s="11"/>
      <c r="T34" s="15" t="s">
        <v>16</v>
      </c>
      <c r="U34" s="31">
        <f>ROUND(0.5*K16*D17*AC14,3)</f>
        <v>0.981</v>
      </c>
      <c r="V34" s="31"/>
      <c r="W34" s="15"/>
      <c r="X34" s="6"/>
      <c r="Y34" s="32">
        <f>ROUND(K18+K17+K16*2/3-K19,3)</f>
        <v>0.66</v>
      </c>
      <c r="Z34" s="31"/>
      <c r="AA34" s="31"/>
      <c r="AB34" s="6"/>
      <c r="AC34" s="32">
        <f>-ROUND(U34*Y34,3)</f>
        <v>-0.647</v>
      </c>
      <c r="AD34" s="31"/>
      <c r="AE34" s="31"/>
      <c r="AF34" s="31"/>
      <c r="AG34" s="6"/>
      <c r="AH34" s="6"/>
    </row>
    <row r="35" spans="1:34" ht="22.5" customHeight="1">
      <c r="A35" s="2"/>
      <c r="B35" s="189">
        <v>3</v>
      </c>
      <c r="C35" s="189"/>
      <c r="D35" s="189"/>
      <c r="E35" s="189"/>
      <c r="F35" s="190"/>
      <c r="G35" s="33" t="str">
        <f>(K15+K16)&amp;" × "&amp;(D15+D16)&amp;" × "&amp;AC14</f>
        <v>0.34 × 0.29 × 24.5</v>
      </c>
      <c r="H35" s="34"/>
      <c r="I35" s="34"/>
      <c r="J35" s="34"/>
      <c r="K35" s="34"/>
      <c r="L35" s="34"/>
      <c r="M35" s="35"/>
      <c r="N35" s="35"/>
      <c r="O35" s="35"/>
      <c r="P35" s="35"/>
      <c r="Q35" s="35"/>
      <c r="R35" s="35"/>
      <c r="S35" s="35"/>
      <c r="T35" s="36" t="s">
        <v>16</v>
      </c>
      <c r="U35" s="37">
        <f>ROUND((K15+K16)*(D15+D16)*AC14,3)</f>
        <v>2.416</v>
      </c>
      <c r="V35" s="37"/>
      <c r="W35" s="36"/>
      <c r="X35" s="38"/>
      <c r="Y35" s="39">
        <f>ROUND(K18+K17+(K16+K15)/2-K19,3)</f>
        <v>0.77</v>
      </c>
      <c r="Z35" s="37"/>
      <c r="AA35" s="37"/>
      <c r="AB35" s="38"/>
      <c r="AC35" s="39">
        <f>-ROUND(U35*Y35,3)</f>
        <v>-1.86</v>
      </c>
      <c r="AD35" s="37"/>
      <c r="AE35" s="37"/>
      <c r="AF35" s="37"/>
      <c r="AG35" s="38"/>
      <c r="AH35" s="38"/>
    </row>
    <row r="36" spans="1:34" ht="22.5" customHeight="1">
      <c r="A36" s="2"/>
      <c r="B36" s="191">
        <v>4</v>
      </c>
      <c r="C36" s="191"/>
      <c r="D36" s="191"/>
      <c r="E36" s="191"/>
      <c r="F36" s="192"/>
      <c r="G36" s="30" t="str">
        <f>"½ × "&amp;K17&amp;" × "&amp;D16&amp;" × "&amp;AC14</f>
        <v>½ × 0.125 × 0.18 × 24.5</v>
      </c>
      <c r="H36" s="11"/>
      <c r="I36" s="11"/>
      <c r="J36" s="11"/>
      <c r="K36" s="11"/>
      <c r="L36" s="11"/>
      <c r="T36" s="15" t="s">
        <v>16</v>
      </c>
      <c r="U36" s="31">
        <f>ROUND(0.5*K17*D16*AC14,3)</f>
        <v>0.276</v>
      </c>
      <c r="V36" s="31"/>
      <c r="W36" s="15"/>
      <c r="X36" s="6"/>
      <c r="Y36" s="32">
        <f>ROUND(K18+K17*2/3-K19,3)</f>
        <v>0.558</v>
      </c>
      <c r="Z36" s="31"/>
      <c r="AA36" s="31"/>
      <c r="AB36" s="6"/>
      <c r="AC36" s="32">
        <f>-ROUND(U36*Y36,3)</f>
        <v>-0.154</v>
      </c>
      <c r="AD36" s="31"/>
      <c r="AE36" s="31"/>
      <c r="AF36" s="31"/>
      <c r="AG36" s="6"/>
      <c r="AH36" s="6"/>
    </row>
    <row r="37" spans="1:34" ht="22.5" customHeight="1" thickBot="1">
      <c r="A37" s="2"/>
      <c r="B37" s="193">
        <v>5</v>
      </c>
      <c r="C37" s="193"/>
      <c r="D37" s="193"/>
      <c r="E37" s="193"/>
      <c r="F37" s="194"/>
      <c r="G37" s="116" t="str">
        <f>K17&amp;" × "&amp;D15&amp;" × "&amp;AC14</f>
        <v>0.125 × 0.11 × 24.5</v>
      </c>
      <c r="H37" s="117"/>
      <c r="I37" s="117"/>
      <c r="J37" s="117"/>
      <c r="K37" s="117"/>
      <c r="L37" s="117"/>
      <c r="M37" s="118"/>
      <c r="N37" s="118"/>
      <c r="O37" s="118"/>
      <c r="P37" s="118"/>
      <c r="Q37" s="118"/>
      <c r="R37" s="118"/>
      <c r="S37" s="118"/>
      <c r="T37" s="119" t="s">
        <v>16</v>
      </c>
      <c r="U37" s="120">
        <f>ROUND(K17*D15*AC14,3)</f>
        <v>0.337</v>
      </c>
      <c r="V37" s="120"/>
      <c r="W37" s="119"/>
      <c r="X37" s="121"/>
      <c r="Y37" s="122">
        <f>ROUND(K18+K17/2-K19,3)</f>
        <v>0.538</v>
      </c>
      <c r="Z37" s="120"/>
      <c r="AA37" s="120"/>
      <c r="AB37" s="121"/>
      <c r="AC37" s="122">
        <f>-ROUND(U37*Y37,3)</f>
        <v>-0.181</v>
      </c>
      <c r="AD37" s="120"/>
      <c r="AE37" s="120"/>
      <c r="AF37" s="120"/>
      <c r="AG37" s="121"/>
      <c r="AH37" s="121"/>
    </row>
    <row r="38" spans="1:34" ht="22.5" customHeight="1" thickBot="1" thickTop="1">
      <c r="A38" s="2"/>
      <c r="B38" s="195" t="s">
        <v>111</v>
      </c>
      <c r="C38" s="195"/>
      <c r="D38" s="195"/>
      <c r="E38" s="195"/>
      <c r="F38" s="196"/>
      <c r="G38" s="40"/>
      <c r="H38" s="41"/>
      <c r="I38" s="41"/>
      <c r="J38" s="41"/>
      <c r="K38" s="41"/>
      <c r="L38" s="41"/>
      <c r="M38" s="42"/>
      <c r="N38" s="42"/>
      <c r="O38" s="42"/>
      <c r="P38" s="42"/>
      <c r="Q38" s="42"/>
      <c r="R38" s="42"/>
      <c r="S38" s="42"/>
      <c r="T38" s="43"/>
      <c r="U38" s="44">
        <f>SUM(U33:U37)</f>
        <v>9.460999999999999</v>
      </c>
      <c r="V38" s="44"/>
      <c r="W38" s="43"/>
      <c r="X38" s="45"/>
      <c r="Y38" s="46" t="s">
        <v>112</v>
      </c>
      <c r="Z38" s="44"/>
      <c r="AA38" s="44"/>
      <c r="AB38" s="45"/>
      <c r="AC38" s="46">
        <f>SUM(AC33:AC37)</f>
        <v>-7.285</v>
      </c>
      <c r="AD38" s="44"/>
      <c r="AE38" s="44"/>
      <c r="AF38" s="44"/>
      <c r="AG38" s="45"/>
      <c r="AH38" s="45"/>
    </row>
    <row r="39" spans="1:34" ht="22.5" customHeight="1" thickTop="1">
      <c r="A39" s="2"/>
      <c r="B39" s="189">
        <v>6</v>
      </c>
      <c r="C39" s="189"/>
      <c r="D39" s="189"/>
      <c r="E39" s="189"/>
      <c r="F39" s="190"/>
      <c r="G39" s="30" t="str">
        <f>K14+K15+K16+K17+K18-K19&amp;" × "&amp;D14&amp;" × "&amp;AC14</f>
        <v>0.94 × 0.25 × 24.5</v>
      </c>
      <c r="H39" s="11"/>
      <c r="I39" s="11"/>
      <c r="J39" s="11"/>
      <c r="K39" s="11"/>
      <c r="L39" s="11"/>
      <c r="T39" s="15" t="s">
        <v>16</v>
      </c>
      <c r="U39" s="31">
        <f>ROUND((K14+K15+K16+K17+K18-K19)*D14*AC14,3)</f>
        <v>5.758</v>
      </c>
      <c r="V39" s="31"/>
      <c r="W39" s="15"/>
      <c r="X39" s="6"/>
      <c r="Y39" s="32">
        <f>ROUND((K14+K15+K16+K17+K18-K19)/2,3)</f>
        <v>0.47</v>
      </c>
      <c r="Z39" s="31"/>
      <c r="AA39" s="31"/>
      <c r="AB39" s="6"/>
      <c r="AC39" s="32">
        <f>-ROUND(U39*Y39,3)</f>
        <v>-2.706</v>
      </c>
      <c r="AD39" s="31"/>
      <c r="AE39" s="31"/>
      <c r="AF39" s="31"/>
      <c r="AG39" s="6"/>
      <c r="AH39" s="6"/>
    </row>
    <row r="40" spans="1:34" ht="22.5" customHeight="1">
      <c r="A40" s="2"/>
      <c r="B40" s="191">
        <v>7</v>
      </c>
      <c r="C40" s="191"/>
      <c r="D40" s="191"/>
      <c r="E40" s="191"/>
      <c r="F40" s="192"/>
      <c r="G40" s="33" t="str">
        <f>K18-K19&amp;" × "&amp;D19&amp;" × "&amp;AC15</f>
        <v>0.475 × 0.08 × 22.5</v>
      </c>
      <c r="H40" s="34"/>
      <c r="I40" s="34"/>
      <c r="J40" s="34"/>
      <c r="K40" s="34"/>
      <c r="L40" s="34"/>
      <c r="M40" s="35"/>
      <c r="N40" s="35"/>
      <c r="O40" s="35"/>
      <c r="P40" s="35"/>
      <c r="Q40" s="35"/>
      <c r="R40" s="35"/>
      <c r="S40" s="35"/>
      <c r="T40" s="36" t="s">
        <v>16</v>
      </c>
      <c r="U40" s="37">
        <f>ROUND((K18-K19)*D19*AC15,3)</f>
        <v>0.855</v>
      </c>
      <c r="V40" s="37"/>
      <c r="W40" s="36"/>
      <c r="X40" s="38"/>
      <c r="Y40" s="39">
        <f>ROUND((K18-K19)/2,3)</f>
        <v>0.238</v>
      </c>
      <c r="Z40" s="37"/>
      <c r="AA40" s="37"/>
      <c r="AB40" s="38"/>
      <c r="AC40" s="39">
        <f>-ROUND(U40*Y40,3)</f>
        <v>-0.203</v>
      </c>
      <c r="AD40" s="37"/>
      <c r="AE40" s="37"/>
      <c r="AF40" s="37"/>
      <c r="AG40" s="38"/>
      <c r="AH40" s="38"/>
    </row>
    <row r="41" spans="1:34" ht="22.5" customHeight="1">
      <c r="A41" s="2"/>
      <c r="B41" s="189">
        <v>8</v>
      </c>
      <c r="C41" s="189"/>
      <c r="D41" s="189"/>
      <c r="E41" s="189"/>
      <c r="F41" s="190"/>
      <c r="G41" s="30" t="str">
        <f>"½ × "&amp;K21&amp;" × "&amp;D18-D14&amp;" × "&amp;AC14</f>
        <v>½ × 0.88 × 0.05 × 24.5</v>
      </c>
      <c r="H41" s="11"/>
      <c r="I41" s="11"/>
      <c r="J41" s="11"/>
      <c r="K41" s="11"/>
      <c r="L41" s="11"/>
      <c r="T41" s="15" t="s">
        <v>16</v>
      </c>
      <c r="U41" s="31">
        <f>ROUND(0.5*K21*(D18-D14)*AC14,3)</f>
        <v>0.539</v>
      </c>
      <c r="V41" s="31"/>
      <c r="W41" s="15"/>
      <c r="X41" s="6"/>
      <c r="Y41" s="32">
        <f>ROUND((K20-K19)+(K21)/3,3)</f>
        <v>0.353</v>
      </c>
      <c r="Z41" s="31"/>
      <c r="AA41" s="31"/>
      <c r="AB41" s="6"/>
      <c r="AC41" s="32">
        <f>-ROUND(U41*Y41,3)</f>
        <v>-0.19</v>
      </c>
      <c r="AD41" s="31"/>
      <c r="AE41" s="31"/>
      <c r="AF41" s="31"/>
      <c r="AG41" s="6"/>
      <c r="AH41" s="6"/>
    </row>
    <row r="42" spans="1:34" ht="22.5" customHeight="1">
      <c r="A42" s="2"/>
      <c r="B42" s="191">
        <v>9</v>
      </c>
      <c r="C42" s="191"/>
      <c r="D42" s="191"/>
      <c r="E42" s="191"/>
      <c r="F42" s="192"/>
      <c r="G42" s="33" t="str">
        <f>K20-K19&amp;" × "&amp;D18-D14&amp;" × "&amp;AC14</f>
        <v>0.06 × 0.05 × 24.5</v>
      </c>
      <c r="H42" s="34"/>
      <c r="I42" s="34"/>
      <c r="J42" s="34"/>
      <c r="K42" s="34"/>
      <c r="L42" s="34"/>
      <c r="M42" s="35"/>
      <c r="N42" s="35"/>
      <c r="O42" s="35"/>
      <c r="P42" s="35"/>
      <c r="Q42" s="35"/>
      <c r="R42" s="35"/>
      <c r="S42" s="35"/>
      <c r="T42" s="36" t="s">
        <v>16</v>
      </c>
      <c r="U42" s="37">
        <f>(K20-K19)*(D18-D14)*AC14</f>
        <v>0.07349999999999998</v>
      </c>
      <c r="V42" s="37"/>
      <c r="W42" s="36"/>
      <c r="X42" s="38"/>
      <c r="Y42" s="39">
        <f>(K20-K19)/2</f>
        <v>0.03</v>
      </c>
      <c r="Z42" s="37"/>
      <c r="AA42" s="37"/>
      <c r="AB42" s="38"/>
      <c r="AC42" s="47">
        <f>-U42*Y42</f>
        <v>-0.0022049999999999995</v>
      </c>
      <c r="AD42" s="48"/>
      <c r="AE42" s="48"/>
      <c r="AF42" s="48"/>
      <c r="AG42" s="38"/>
      <c r="AH42" s="38"/>
    </row>
    <row r="43" spans="1:34" ht="22.5" customHeight="1" thickBot="1">
      <c r="A43" s="2"/>
      <c r="B43" s="198" t="s">
        <v>17</v>
      </c>
      <c r="C43" s="198"/>
      <c r="D43" s="198"/>
      <c r="E43" s="198"/>
      <c r="F43" s="199"/>
      <c r="G43" s="49"/>
      <c r="H43" s="21"/>
      <c r="I43" s="21"/>
      <c r="J43" s="21"/>
      <c r="K43" s="21"/>
      <c r="L43" s="21"/>
      <c r="M43" s="22"/>
      <c r="N43" s="22"/>
      <c r="O43" s="22"/>
      <c r="P43" s="22"/>
      <c r="Q43" s="22"/>
      <c r="R43" s="22"/>
      <c r="S43" s="22"/>
      <c r="T43" s="50"/>
      <c r="U43" s="51">
        <f>ROUND(SUM(U38:U42),3)</f>
        <v>16.687</v>
      </c>
      <c r="V43" s="51"/>
      <c r="W43" s="50"/>
      <c r="X43" s="52"/>
      <c r="Y43" s="53" t="s">
        <v>112</v>
      </c>
      <c r="Z43" s="51"/>
      <c r="AA43" s="51"/>
      <c r="AB43" s="52"/>
      <c r="AC43" s="53">
        <f>ROUND(SUM(AC38:AC42),3)</f>
        <v>-10.386</v>
      </c>
      <c r="AD43" s="51"/>
      <c r="AE43" s="51"/>
      <c r="AF43" s="51"/>
      <c r="AG43" s="52"/>
      <c r="AH43" s="52"/>
    </row>
    <row r="44" spans="1:34" ht="22.5" customHeight="1">
      <c r="A44" s="2"/>
      <c r="B44" s="2"/>
      <c r="C44" s="2"/>
      <c r="D44" s="2"/>
      <c r="E44" s="2"/>
      <c r="G44" s="2"/>
      <c r="H44" s="2"/>
      <c r="I44" s="2"/>
      <c r="J44" s="2"/>
      <c r="K44" s="2"/>
      <c r="L44" s="2"/>
      <c r="M44" s="2"/>
      <c r="N44" s="2"/>
      <c r="O44" s="2"/>
      <c r="P44" s="2"/>
      <c r="Z44" s="54" t="str">
        <f>"∴ Md = "&amp;AC43&amp;" kN·m "</f>
        <v>∴ Md = -10.386 kN·m </v>
      </c>
      <c r="AA44" s="54"/>
      <c r="AB44" s="54"/>
      <c r="AC44" s="54"/>
      <c r="AD44" s="54"/>
      <c r="AE44" s="54"/>
      <c r="AF44" s="54"/>
      <c r="AG44" s="54"/>
      <c r="AH44" s="54"/>
    </row>
    <row r="45" spans="1:12" ht="22.5" customHeight="1">
      <c r="A45" s="2"/>
      <c r="B45" s="2" t="s">
        <v>113</v>
      </c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34" ht="22.5" customHeight="1">
      <c r="A46" s="2"/>
      <c r="B46" s="2"/>
      <c r="C46" s="3" t="s">
        <v>114</v>
      </c>
      <c r="O46" s="3" t="s">
        <v>99</v>
      </c>
      <c r="P46" s="2" t="s">
        <v>115</v>
      </c>
      <c r="S46" s="3" t="s">
        <v>99</v>
      </c>
      <c r="T46" s="55">
        <f>ABS(AC38)</f>
        <v>7.285</v>
      </c>
      <c r="U46" s="55"/>
      <c r="V46" s="55"/>
      <c r="W46" s="55"/>
      <c r="X46" s="56" t="s">
        <v>116</v>
      </c>
      <c r="Y46" s="55">
        <f>U38</f>
        <v>9.460999999999999</v>
      </c>
      <c r="Z46" s="55"/>
      <c r="AA46" s="55"/>
      <c r="AB46" s="55"/>
      <c r="AC46" s="11" t="s">
        <v>99</v>
      </c>
      <c r="AD46" s="55">
        <f>T46/Y46</f>
        <v>0.7700031709121659</v>
      </c>
      <c r="AE46" s="55"/>
      <c r="AF46" s="55"/>
      <c r="AG46" s="55"/>
      <c r="AH46" s="11" t="s">
        <v>47</v>
      </c>
    </row>
    <row r="47" spans="1:33" ht="22.5" customHeight="1">
      <c r="A47" s="2"/>
      <c r="B47" s="2"/>
      <c r="C47" s="2" t="s">
        <v>117</v>
      </c>
      <c r="D47" s="2"/>
      <c r="H47" s="55"/>
      <c r="I47" s="55"/>
      <c r="J47" s="55"/>
      <c r="K47" s="55"/>
      <c r="L47" s="56"/>
      <c r="M47" s="55"/>
      <c r="N47" s="55"/>
      <c r="O47" s="55" t="s">
        <v>99</v>
      </c>
      <c r="P47" s="55"/>
      <c r="Q47" s="11" t="s">
        <v>118</v>
      </c>
      <c r="R47" s="55"/>
      <c r="S47" s="55">
        <f>K18-K19</f>
        <v>0.47500000000000003</v>
      </c>
      <c r="T47" s="55"/>
      <c r="U47" s="55"/>
      <c r="V47" s="11" t="s">
        <v>99</v>
      </c>
      <c r="W47" s="55">
        <f>AD46-S47</f>
        <v>0.2950031709121658</v>
      </c>
      <c r="X47" s="55"/>
      <c r="Y47" s="55"/>
      <c r="Z47" s="55"/>
      <c r="AA47" s="11" t="s">
        <v>47</v>
      </c>
      <c r="AB47" s="57"/>
      <c r="AC47" s="8"/>
      <c r="AG47" s="11"/>
    </row>
    <row r="48" spans="1:33" ht="22.5" customHeight="1">
      <c r="A48" s="2"/>
      <c r="B48" s="2"/>
      <c r="C48" s="2"/>
      <c r="D48" s="2"/>
      <c r="H48" s="55"/>
      <c r="I48" s="55"/>
      <c r="J48" s="55"/>
      <c r="K48" s="55"/>
      <c r="L48" s="56"/>
      <c r="M48" s="55"/>
      <c r="N48" s="55"/>
      <c r="O48" s="55"/>
      <c r="P48" s="55"/>
      <c r="Q48" s="11"/>
      <c r="R48" s="55"/>
      <c r="S48" s="55"/>
      <c r="T48" s="55"/>
      <c r="U48" s="55"/>
      <c r="V48" s="11"/>
      <c r="W48" s="55"/>
      <c r="X48" s="55"/>
      <c r="Y48" s="55"/>
      <c r="Z48" s="55"/>
      <c r="AA48" s="11"/>
      <c r="AG48" s="11"/>
    </row>
    <row r="49" spans="1:24" ht="22.5" customHeight="1">
      <c r="A49" s="2"/>
      <c r="B49" s="11" t="s">
        <v>119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1"/>
      <c r="X49" s="11"/>
    </row>
    <row r="50" spans="1:24" ht="22.5" customHeight="1">
      <c r="A50" s="2"/>
      <c r="B50" s="11"/>
      <c r="C50" s="2" t="str">
        <f>IF(AS14="(一般部)","","T荷重(衝撃を含む)による設計曲げモーメントとして8.2.4に規定する値の２倍を用いるものとする。")</f>
        <v>T荷重(衝撃を含む)による設計曲げモーメントとして8.2.4に規定する値の２倍を用いるものとする。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1"/>
      <c r="X50" s="11"/>
    </row>
    <row r="51" spans="1:24" ht="22.5" customHeight="1">
      <c r="A51" s="2"/>
      <c r="B51" s="58" t="s">
        <v>120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1"/>
      <c r="X51" s="11"/>
    </row>
    <row r="52" spans="1:24" ht="22.5" customHeight="1">
      <c r="A52" s="2"/>
      <c r="C52" s="2" t="str">
        <f>IF(U16="A",IF(AS14="(一般部)","Ml = - PL / ( 1.30L ＋ 0.25 ) × 0.80","Ml = - PL / ( 1.30L ＋ 0.25 ) × 0.80 × 2"),IF(AS14="(一般部)","Ml = - PL / ( 1.30L ＋ 0.25 )","Ml = - PL / ( 1.30L ＋ 0.25 ) × 2"))</f>
        <v>Ml = - PL / ( 1.30L ＋ 0.25 ) × 2</v>
      </c>
      <c r="D52" s="5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R52" s="2"/>
      <c r="S52" s="2"/>
      <c r="T52" s="2"/>
      <c r="U52" s="16"/>
      <c r="V52" s="11"/>
      <c r="W52" s="17" t="s">
        <v>121</v>
      </c>
      <c r="X52" s="2"/>
    </row>
    <row r="53" spans="4:37" ht="22.5" customHeight="1">
      <c r="D53" s="19" t="s">
        <v>99</v>
      </c>
      <c r="E53" s="59" t="s">
        <v>122</v>
      </c>
      <c r="F53" s="60">
        <f>X17</f>
        <v>100</v>
      </c>
      <c r="G53" s="6"/>
      <c r="H53" s="6"/>
      <c r="I53" s="2" t="s">
        <v>98</v>
      </c>
      <c r="J53" s="5">
        <f>P25</f>
        <v>0.22500000000000003</v>
      </c>
      <c r="K53" s="6"/>
      <c r="L53" s="6"/>
      <c r="M53" s="56" t="s">
        <v>116</v>
      </c>
      <c r="N53" s="3" t="s">
        <v>123</v>
      </c>
      <c r="O53" s="61">
        <v>1.3</v>
      </c>
      <c r="P53" s="61"/>
      <c r="Q53" s="61"/>
      <c r="R53" s="2" t="s">
        <v>98</v>
      </c>
      <c r="S53" s="5">
        <f>J53</f>
        <v>0.22500000000000003</v>
      </c>
      <c r="T53" s="6"/>
      <c r="U53" s="6"/>
      <c r="V53" s="3" t="s">
        <v>124</v>
      </c>
      <c r="W53" s="61">
        <v>0.25</v>
      </c>
      <c r="X53" s="61"/>
      <c r="Y53" s="61"/>
      <c r="Z53" s="3" t="s">
        <v>104</v>
      </c>
      <c r="AA53" s="3" t="str">
        <f>IF(U16="A",IF(AS14="(一般部)","× 0.80","× 0.80× 2 "),IF(AS14="(一般部)","","× 2"))</f>
        <v>× 2</v>
      </c>
      <c r="AF53" s="3" t="s">
        <v>99</v>
      </c>
      <c r="AG53" s="55">
        <f>IF(U16="A",IF(AS14="(一般部)",-F53*J53/(O53*S53+W53)*0.8,-F53*J53/(O53*S53+W53)*0.8*2),IF(U16="B",IF(AS14="(一般部)",-F53*J53/(O53*S53+W53),-F53*J53/(O53*S53+W53)*2),"ERROR"))</f>
        <v>-82.94930875576038</v>
      </c>
      <c r="AH53" s="55"/>
      <c r="AI53" s="55"/>
      <c r="AJ53" s="55"/>
      <c r="AK53" s="3" t="s">
        <v>18</v>
      </c>
    </row>
    <row r="54" spans="2:8" ht="22.5" customHeight="1">
      <c r="B54" s="58" t="s">
        <v>125</v>
      </c>
      <c r="H54" s="2"/>
    </row>
    <row r="55" spans="3:14" ht="22.5" customHeight="1">
      <c r="C55" s="2" t="str">
        <f>IF(U16="A",IF(AS14="(一般部)","Ml = ( 0.15L ＋ 0.13 ) P × 0.80","Ml = ( 0.15L ＋ 0.13 ) P × 0.80 × 2"),IF(AS14="(一般部)","Ml = ( 0.15L ＋ 0.13 ) P","Ml = ( 0.15L ＋ 0.13 ) P × 2"))</f>
        <v>Ml = ( 0.15L ＋ 0.13 ) P × 2</v>
      </c>
      <c r="D55" s="58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4:37" ht="22.5" customHeight="1">
      <c r="D56" s="19" t="s">
        <v>99</v>
      </c>
      <c r="E56" s="59" t="s">
        <v>123</v>
      </c>
      <c r="F56" s="62">
        <v>0.15</v>
      </c>
      <c r="G56" s="6"/>
      <c r="H56" s="6"/>
      <c r="I56" s="2" t="s">
        <v>98</v>
      </c>
      <c r="J56" s="5">
        <f>P25</f>
        <v>0.22500000000000003</v>
      </c>
      <c r="K56" s="6"/>
      <c r="L56" s="6"/>
      <c r="M56" s="3" t="s">
        <v>124</v>
      </c>
      <c r="N56" s="61">
        <v>0.13</v>
      </c>
      <c r="O56" s="61"/>
      <c r="P56" s="61"/>
      <c r="Q56" s="3" t="s">
        <v>104</v>
      </c>
      <c r="R56" s="2" t="s">
        <v>98</v>
      </c>
      <c r="S56" s="63">
        <f>X17</f>
        <v>100</v>
      </c>
      <c r="T56" s="61"/>
      <c r="U56" s="61"/>
      <c r="V56" s="3" t="str">
        <f>IF(U16="A",IF(AS14="(一般部)","× 0.80","× 0.80× 2"),IF(AS14="(一般部)","","× 2"))</f>
        <v>× 2</v>
      </c>
      <c r="AF56" s="3" t="s">
        <v>99</v>
      </c>
      <c r="AG56" s="55">
        <f>IF(U16="A",IF(AS14="(一般部)",(F56*J56+N56)*S56*0.8,(F56*J56+N56)*S56*0.8*2),IF(U16="B",IF(AS14="(一般部)",(F56*J56+N56)*S56,(F56*J56+N56)*S56*2),"ERROR"))</f>
        <v>32.75</v>
      </c>
      <c r="AH56" s="55"/>
      <c r="AI56" s="55"/>
      <c r="AJ56" s="55"/>
      <c r="AK56" s="3" t="s">
        <v>18</v>
      </c>
    </row>
    <row r="58" ht="22.5" customHeight="1">
      <c r="B58" s="3" t="s">
        <v>126</v>
      </c>
    </row>
    <row r="59" spans="3:16" ht="22.5" customHeight="1">
      <c r="C59" s="3" t="s">
        <v>127</v>
      </c>
      <c r="M59" s="202">
        <v>22</v>
      </c>
      <c r="N59" s="202"/>
      <c r="O59" s="202"/>
      <c r="P59" s="3" t="s">
        <v>128</v>
      </c>
    </row>
    <row r="60" spans="3:27" s="7" customFormat="1" ht="22.5" customHeight="1">
      <c r="C60" s="7" t="s">
        <v>129</v>
      </c>
      <c r="J60" s="79">
        <f>D15+D16+D17-D19</f>
        <v>1.0999999999999999</v>
      </c>
      <c r="K60" s="79"/>
      <c r="L60" s="79"/>
      <c r="M60" s="7" t="s">
        <v>124</v>
      </c>
      <c r="N60" s="79">
        <f>D19</f>
        <v>0.08</v>
      </c>
      <c r="O60" s="79"/>
      <c r="P60" s="79"/>
      <c r="Q60" s="7" t="s">
        <v>124</v>
      </c>
      <c r="R60" s="79">
        <f>D14</f>
        <v>0.25</v>
      </c>
      <c r="S60" s="79"/>
      <c r="T60" s="79"/>
      <c r="U60" s="80" t="s">
        <v>116</v>
      </c>
      <c r="V60" s="81">
        <v>2</v>
      </c>
      <c r="W60" s="7" t="s">
        <v>99</v>
      </c>
      <c r="X60" s="79">
        <f>J60+N60+R60/2</f>
        <v>1.305</v>
      </c>
      <c r="Y60" s="79"/>
      <c r="Z60" s="79"/>
      <c r="AA60" s="7" t="s">
        <v>47</v>
      </c>
    </row>
    <row r="61" spans="3:18" ht="22.5" customHeight="1">
      <c r="C61" s="3" t="s">
        <v>130</v>
      </c>
      <c r="F61" s="61">
        <f>-M59</f>
        <v>-22</v>
      </c>
      <c r="G61" s="61"/>
      <c r="H61" s="61"/>
      <c r="I61" s="2" t="s">
        <v>98</v>
      </c>
      <c r="J61" s="55">
        <f>X60</f>
        <v>1.305</v>
      </c>
      <c r="K61" s="55"/>
      <c r="L61" s="55"/>
      <c r="M61" s="3" t="s">
        <v>99</v>
      </c>
      <c r="N61" s="55">
        <f>F61*J61</f>
        <v>-28.709999999999997</v>
      </c>
      <c r="O61" s="55"/>
      <c r="P61" s="55"/>
      <c r="Q61" s="55"/>
      <c r="R61" s="3" t="s">
        <v>18</v>
      </c>
    </row>
    <row r="63" ht="22.5" customHeight="1">
      <c r="B63" s="3" t="s">
        <v>131</v>
      </c>
    </row>
    <row r="64" spans="3:16" ht="22.5" customHeight="1">
      <c r="C64" s="3" t="s">
        <v>132</v>
      </c>
      <c r="I64" s="202">
        <v>3</v>
      </c>
      <c r="J64" s="202"/>
      <c r="K64" s="202"/>
      <c r="L64" s="3" t="s">
        <v>133</v>
      </c>
      <c r="P64" s="3" t="s">
        <v>134</v>
      </c>
    </row>
    <row r="65" spans="3:29" ht="22.5" customHeight="1">
      <c r="C65" s="3" t="s">
        <v>135</v>
      </c>
      <c r="J65" s="55">
        <f>D15+D16+D17-D19</f>
        <v>1.0999999999999999</v>
      </c>
      <c r="K65" s="55"/>
      <c r="L65" s="55"/>
      <c r="M65" s="56" t="s">
        <v>116</v>
      </c>
      <c r="N65" s="59">
        <v>2</v>
      </c>
      <c r="O65" s="3" t="s">
        <v>124</v>
      </c>
      <c r="P65" s="55">
        <f>D19</f>
        <v>0.08</v>
      </c>
      <c r="Q65" s="55"/>
      <c r="R65" s="55"/>
      <c r="S65" s="3" t="s">
        <v>124</v>
      </c>
      <c r="T65" s="55">
        <f>D14</f>
        <v>0.25</v>
      </c>
      <c r="U65" s="55"/>
      <c r="V65" s="55"/>
      <c r="W65" s="56" t="s">
        <v>116</v>
      </c>
      <c r="X65" s="59">
        <v>2</v>
      </c>
      <c r="Y65" s="3" t="s">
        <v>99</v>
      </c>
      <c r="Z65" s="55">
        <f>J65/2+P65+T65/2</f>
        <v>0.7549999999999999</v>
      </c>
      <c r="AA65" s="55"/>
      <c r="AB65" s="55"/>
      <c r="AC65" s="3" t="s">
        <v>47</v>
      </c>
    </row>
    <row r="66" spans="3:22" ht="22.5" customHeight="1">
      <c r="C66" s="3" t="s">
        <v>136</v>
      </c>
      <c r="E66" s="61">
        <f>-I64</f>
        <v>-3</v>
      </c>
      <c r="F66" s="61"/>
      <c r="G66" s="61"/>
      <c r="H66" s="2" t="s">
        <v>98</v>
      </c>
      <c r="I66" s="55">
        <f>J65</f>
        <v>1.0999999999999999</v>
      </c>
      <c r="J66" s="6"/>
      <c r="K66" s="55"/>
      <c r="L66" s="55"/>
      <c r="M66" s="2" t="s">
        <v>98</v>
      </c>
      <c r="N66" s="55">
        <f>Z65</f>
        <v>0.7549999999999999</v>
      </c>
      <c r="O66" s="55"/>
      <c r="P66" s="55"/>
      <c r="Q66" s="3" t="s">
        <v>99</v>
      </c>
      <c r="R66" s="205">
        <f>E66*I66*N66</f>
        <v>-2.4914999999999994</v>
      </c>
      <c r="S66" s="205"/>
      <c r="T66" s="205"/>
      <c r="U66" s="205"/>
      <c r="V66" s="3" t="s">
        <v>137</v>
      </c>
    </row>
    <row r="68" ht="22.5" customHeight="1">
      <c r="B68" s="3" t="s">
        <v>138</v>
      </c>
    </row>
    <row r="69" spans="3:11" ht="22.5" customHeight="1">
      <c r="C69" s="2" t="s">
        <v>139</v>
      </c>
      <c r="D69" s="2"/>
      <c r="E69" s="2"/>
      <c r="F69" s="2"/>
      <c r="G69" s="2"/>
      <c r="H69" s="2"/>
      <c r="I69" s="2"/>
      <c r="J69" s="142" t="s">
        <v>40</v>
      </c>
      <c r="K69" s="2"/>
    </row>
    <row r="70" spans="3:38" ht="22.5" customHeight="1">
      <c r="C70" s="2" t="s">
        <v>140</v>
      </c>
      <c r="D70" s="64"/>
      <c r="E70" s="65"/>
      <c r="F70" s="65"/>
      <c r="G70" s="65"/>
      <c r="H70" s="65"/>
      <c r="I70" s="65"/>
      <c r="J70" s="55"/>
      <c r="K70" s="55"/>
      <c r="N70" s="143" t="s">
        <v>141</v>
      </c>
      <c r="O70" s="66"/>
      <c r="Q70" s="203">
        <v>24</v>
      </c>
      <c r="R70" s="163"/>
      <c r="S70" s="163"/>
      <c r="T70" s="65" t="s">
        <v>142</v>
      </c>
      <c r="U70" s="67"/>
      <c r="X70" s="74" t="s">
        <v>143</v>
      </c>
      <c r="Y70" s="74"/>
      <c r="Z70" s="74"/>
      <c r="AA70" s="74"/>
      <c r="AB70" s="74"/>
      <c r="AC70" s="74"/>
      <c r="AD70" s="74"/>
      <c r="AE70" s="74"/>
      <c r="AF70" s="73"/>
      <c r="AG70" s="68"/>
      <c r="AI70" s="144" t="s">
        <v>144</v>
      </c>
      <c r="AJ70" s="74"/>
      <c r="AK70" s="204">
        <v>7</v>
      </c>
      <c r="AL70" s="204"/>
    </row>
    <row r="71" spans="3:33" ht="22.5" customHeight="1">
      <c r="C71" s="3" t="s">
        <v>145</v>
      </c>
      <c r="N71" s="143" t="s">
        <v>146</v>
      </c>
      <c r="Q71" s="143" t="s">
        <v>147</v>
      </c>
      <c r="R71" s="15"/>
      <c r="S71" s="15"/>
      <c r="T71" s="20">
        <f>IF(J69="合成",3.5,IF(J69="非合成",3,"ERROR"))</f>
        <v>3</v>
      </c>
      <c r="U71" s="20"/>
      <c r="V71" s="69" t="s">
        <v>99</v>
      </c>
      <c r="W71" s="63">
        <f>Q70</f>
        <v>24</v>
      </c>
      <c r="X71" s="63"/>
      <c r="Y71" s="56" t="s">
        <v>116</v>
      </c>
      <c r="Z71" s="20">
        <f>T71</f>
        <v>3</v>
      </c>
      <c r="AA71" s="20"/>
      <c r="AB71" s="3" t="s">
        <v>99</v>
      </c>
      <c r="AC71" s="61">
        <f>W71/Z71</f>
        <v>8</v>
      </c>
      <c r="AD71" s="61"/>
      <c r="AE71" s="61"/>
      <c r="AF71" s="65" t="s">
        <v>142</v>
      </c>
      <c r="AG71" s="67"/>
    </row>
    <row r="72" spans="3:26" ht="22.5" customHeight="1">
      <c r="C72" s="74" t="s">
        <v>148</v>
      </c>
      <c r="D72" s="74"/>
      <c r="E72" s="74"/>
      <c r="F72" s="74"/>
      <c r="G72" s="74" t="s">
        <v>149</v>
      </c>
      <c r="H72" s="74"/>
      <c r="I72" s="163">
        <v>295</v>
      </c>
      <c r="J72" s="163"/>
      <c r="K72" s="74" t="s">
        <v>104</v>
      </c>
      <c r="N72" s="143" t="s">
        <v>150</v>
      </c>
      <c r="O72" s="74"/>
      <c r="Q72" s="70">
        <v>140</v>
      </c>
      <c r="R72" s="15"/>
      <c r="S72" s="15"/>
      <c r="T72" s="71" t="s">
        <v>123</v>
      </c>
      <c r="U72" s="70">
        <v>120</v>
      </c>
      <c r="V72" s="15"/>
      <c r="W72" s="3" t="s">
        <v>104</v>
      </c>
      <c r="X72" s="65" t="s">
        <v>142</v>
      </c>
      <c r="Z72" s="67"/>
    </row>
    <row r="73" spans="3:24" s="7" customFormat="1" ht="22.5" customHeight="1">
      <c r="C73" s="145"/>
      <c r="D73" s="145"/>
      <c r="E73" s="145"/>
      <c r="F73" s="145"/>
      <c r="G73" s="145"/>
      <c r="H73" s="145"/>
      <c r="I73" s="146"/>
      <c r="J73" s="146"/>
      <c r="K73" s="145"/>
      <c r="L73" s="147"/>
      <c r="M73" s="145"/>
      <c r="O73" s="70"/>
      <c r="P73" s="70"/>
      <c r="Q73" s="70"/>
      <c r="R73" s="82" t="s">
        <v>151</v>
      </c>
      <c r="S73" s="70"/>
      <c r="T73" s="70"/>
      <c r="U73" s="70"/>
      <c r="W73" s="83"/>
      <c r="X73" s="84"/>
    </row>
    <row r="74" ht="22.5" customHeight="1">
      <c r="C74" s="56" t="s">
        <v>152</v>
      </c>
    </row>
    <row r="75" spans="24:33" s="74" customFormat="1" ht="16.5" customHeight="1">
      <c r="X75" s="74" t="s">
        <v>112</v>
      </c>
      <c r="AB75" s="74" t="s">
        <v>112</v>
      </c>
      <c r="AG75" s="74" t="s">
        <v>112</v>
      </c>
    </row>
    <row r="76" spans="4:25" s="2" customFormat="1" ht="21.75" customHeight="1">
      <c r="D76" s="2" t="s">
        <v>153</v>
      </c>
      <c r="M76" s="74" t="s">
        <v>154</v>
      </c>
      <c r="N76" s="74"/>
      <c r="O76" s="70">
        <f>D18*100</f>
        <v>30</v>
      </c>
      <c r="P76" s="15"/>
      <c r="Q76" s="15"/>
      <c r="R76" s="74" t="s">
        <v>155</v>
      </c>
      <c r="S76" s="11"/>
      <c r="W76" s="11"/>
      <c r="X76" s="11"/>
      <c r="Y76" s="11"/>
    </row>
    <row r="77" spans="4:25" s="2" customFormat="1" ht="21.75" customHeight="1">
      <c r="D77" s="2" t="s">
        <v>156</v>
      </c>
      <c r="M77" s="72" t="s">
        <v>157</v>
      </c>
      <c r="N77" s="68"/>
      <c r="O77" s="70">
        <f>O76-O79</f>
        <v>26</v>
      </c>
      <c r="P77" s="15"/>
      <c r="Q77" s="15"/>
      <c r="R77" s="74" t="s">
        <v>155</v>
      </c>
      <c r="S77" s="11"/>
      <c r="W77" s="11"/>
      <c r="X77" s="11"/>
      <c r="Y77" s="11"/>
    </row>
    <row r="78" spans="4:25" s="2" customFormat="1" ht="21.75" customHeight="1">
      <c r="D78" s="8" t="s">
        <v>158</v>
      </c>
      <c r="E78" s="18"/>
      <c r="F78" s="148"/>
      <c r="G78" s="18"/>
      <c r="H78" s="18"/>
      <c r="M78" s="73" t="s">
        <v>159</v>
      </c>
      <c r="N78" s="68"/>
      <c r="O78" s="203">
        <v>4</v>
      </c>
      <c r="P78" s="163"/>
      <c r="Q78" s="163"/>
      <c r="R78" s="74" t="s">
        <v>155</v>
      </c>
      <c r="S78" s="11"/>
      <c r="W78" s="11"/>
      <c r="X78" s="11"/>
      <c r="Y78" s="11"/>
    </row>
    <row r="79" spans="4:25" s="2" customFormat="1" ht="21.75" customHeight="1">
      <c r="D79" s="8" t="s">
        <v>160</v>
      </c>
      <c r="G79" s="149"/>
      <c r="H79" s="149"/>
      <c r="M79" s="73" t="s">
        <v>161</v>
      </c>
      <c r="N79" s="68"/>
      <c r="O79" s="203">
        <v>4</v>
      </c>
      <c r="P79" s="163"/>
      <c r="Q79" s="163"/>
      <c r="R79" s="74" t="s">
        <v>155</v>
      </c>
      <c r="S79" s="11"/>
      <c r="W79" s="11"/>
      <c r="X79" s="11"/>
      <c r="Y79" s="11"/>
    </row>
    <row r="80" spans="4:18" s="2" customFormat="1" ht="21.75" customHeight="1">
      <c r="D80" s="2" t="s">
        <v>162</v>
      </c>
      <c r="M80" s="18" t="s">
        <v>163</v>
      </c>
      <c r="N80" s="18"/>
      <c r="O80" s="70">
        <v>100</v>
      </c>
      <c r="P80" s="15"/>
      <c r="Q80" s="15"/>
      <c r="R80" s="74" t="s">
        <v>155</v>
      </c>
    </row>
    <row r="81" spans="4:40" s="2" customFormat="1" ht="21.75" customHeight="1">
      <c r="D81" s="74" t="s">
        <v>164</v>
      </c>
      <c r="E81" s="74"/>
      <c r="F81" s="74"/>
      <c r="G81" s="74"/>
      <c r="H81" s="74"/>
      <c r="J81" s="74" t="s">
        <v>19</v>
      </c>
      <c r="K81" s="74"/>
      <c r="L81" s="73">
        <v>19</v>
      </c>
      <c r="M81" s="68"/>
      <c r="N81" s="144"/>
      <c r="O81" s="74"/>
      <c r="P81" s="74" t="s">
        <v>20</v>
      </c>
      <c r="Q81" s="74"/>
      <c r="S81" s="203">
        <v>125</v>
      </c>
      <c r="T81" s="163"/>
      <c r="U81" s="163"/>
      <c r="V81" s="74" t="s">
        <v>100</v>
      </c>
      <c r="Y81" s="74" t="s">
        <v>165</v>
      </c>
      <c r="Z81" s="74"/>
      <c r="AA81" s="74"/>
      <c r="AB81" s="74"/>
      <c r="AC81" s="74"/>
      <c r="AD81" s="74"/>
      <c r="AE81" s="74"/>
      <c r="AH81" s="74" t="s">
        <v>166</v>
      </c>
      <c r="AI81" s="74"/>
      <c r="AJ81" s="75">
        <f>IF(L81=13,1.267*1000/S81,IF(L81=16,1.986*1000/S81,IF(L81=19,2.865*1000/S81,IF(L81=22,3.871*1000/S81,IF(L81=25,5.067*1000/S81,IF(L81=29,6.424*1000/S81,7.942*1000/S81))))))</f>
        <v>22.92</v>
      </c>
      <c r="AK81" s="153"/>
      <c r="AL81" s="153"/>
      <c r="AM81" s="153"/>
      <c r="AN81" s="74" t="s">
        <v>167</v>
      </c>
    </row>
    <row r="82" spans="4:40" s="2" customFormat="1" ht="21.75" customHeight="1">
      <c r="D82" s="74" t="s">
        <v>168</v>
      </c>
      <c r="E82" s="74"/>
      <c r="F82" s="74"/>
      <c r="G82" s="74"/>
      <c r="H82" s="74"/>
      <c r="I82" s="74"/>
      <c r="J82" s="74" t="s">
        <v>19</v>
      </c>
      <c r="K82" s="74"/>
      <c r="L82" s="73">
        <v>19</v>
      </c>
      <c r="M82" s="68"/>
      <c r="N82" s="144"/>
      <c r="O82" s="74"/>
      <c r="P82" s="74" t="s">
        <v>20</v>
      </c>
      <c r="Q82" s="74"/>
      <c r="S82" s="203">
        <v>250</v>
      </c>
      <c r="T82" s="163"/>
      <c r="U82" s="163"/>
      <c r="V82" s="74" t="s">
        <v>100</v>
      </c>
      <c r="X82" s="74"/>
      <c r="Y82" s="74" t="s">
        <v>169</v>
      </c>
      <c r="Z82" s="74"/>
      <c r="AA82" s="74"/>
      <c r="AB82" s="74"/>
      <c r="AC82" s="74"/>
      <c r="AD82" s="74"/>
      <c r="AE82" s="74"/>
      <c r="AH82" s="74" t="s">
        <v>170</v>
      </c>
      <c r="AI82" s="74"/>
      <c r="AJ82" s="75">
        <f>IF(L82=13,1.267*1000/S82,IF(L82=16,1.986*1000/S82,IF(L82=19,2.865*1000/S82,IF(L82=22,3.871*1000/S82,IF(L82=25,5.067*1000/S82,IF(L82=29,6.424*1000/S82,7.942*1000/S82))))))</f>
        <v>11.46</v>
      </c>
      <c r="AK82" s="153"/>
      <c r="AL82" s="153"/>
      <c r="AM82" s="153"/>
      <c r="AN82" s="74" t="s">
        <v>167</v>
      </c>
    </row>
    <row r="83" spans="3:13" s="74" customFormat="1" ht="16.5" customHeight="1">
      <c r="C83" s="74" t="s">
        <v>171</v>
      </c>
      <c r="K83" s="154"/>
      <c r="L83" s="154"/>
      <c r="M83" s="154"/>
    </row>
    <row r="84" spans="4:13" s="74" customFormat="1" ht="16.5" customHeight="1">
      <c r="D84" s="74" t="s">
        <v>172</v>
      </c>
      <c r="K84" s="154"/>
      <c r="L84" s="154"/>
      <c r="M84" s="154"/>
    </row>
    <row r="85" spans="5:13" s="74" customFormat="1" ht="16.5" customHeight="1">
      <c r="E85" s="74" t="str">
        <f>"= -"&amp;$AK$70&amp;"×("&amp;ROUND(AJ81,2)&amp;" + "&amp;ROUND(AJ82,2)&amp;")/100 + √[ {"&amp;$AK$70&amp;"×("&amp;ROUND(AJ81,2)&amp;" + "&amp;ROUND(AJ82,2)&amp;")/100}^2 + 2×"&amp;$AK$70&amp;"×("&amp;O77&amp;"×"&amp;ROUND(AJ81,2)&amp;" + "&amp;O78&amp;"×"&amp;ROUND(AJ82,2)&amp;")/100 ]"</f>
        <v>= -7×(22.92 + 11.46)/100 + √[ {7×(22.92 + 11.46)/100}^2 + 2×7×(26×22.92 + 4×11.46)/100 ]</v>
      </c>
      <c r="K85" s="154"/>
      <c r="L85" s="154"/>
      <c r="M85" s="154"/>
    </row>
    <row r="86" spans="5:13" s="74" customFormat="1" ht="16.5" customHeight="1">
      <c r="E86" s="74" t="s">
        <v>99</v>
      </c>
      <c r="F86" s="61">
        <f>-$AK$70*(AJ81+AJ82)/100+SQRT(($AK$70*(AJ81+AJ82)/100)^2+2*$AK$70*(O77*AJ81+O78*AJ82)/100)</f>
        <v>7.372874605519461</v>
      </c>
      <c r="G86" s="55"/>
      <c r="H86" s="55"/>
      <c r="I86" s="74" t="s">
        <v>155</v>
      </c>
      <c r="K86" s="154"/>
      <c r="L86" s="154"/>
      <c r="M86" s="154"/>
    </row>
    <row r="87" spans="3:13" s="74" customFormat="1" ht="16.5" customHeight="1">
      <c r="C87" s="74" t="s">
        <v>173</v>
      </c>
      <c r="K87" s="154"/>
      <c r="L87" s="154"/>
      <c r="M87" s="154"/>
    </row>
    <row r="88" spans="4:13" s="74" customFormat="1" ht="16.5" customHeight="1">
      <c r="D88" s="74" t="s">
        <v>174</v>
      </c>
      <c r="K88" s="154"/>
      <c r="L88" s="154"/>
      <c r="M88" s="154"/>
    </row>
    <row r="89" spans="5:13" s="74" customFormat="1" ht="16.5" customHeight="1">
      <c r="E89" s="74" t="str">
        <f>"= ( 100 × "&amp;ROUND(F86,2)&amp;" / 2 ) × ( "&amp;O77&amp;" - "&amp;ROUND(F86,2)&amp;" / 3 ) + "&amp;$AK$70&amp;" × "&amp;ROUND(AJ82,2)&amp;" ×( "&amp;ROUND(F86,2)&amp;" - "&amp;O78&amp;" ) / "&amp;ROUND(F86,2)&amp;" ×( "&amp;O77&amp;" - "&amp;O78&amp;" )"</f>
        <v>= ( 100 × 7.37 / 2 ) × ( 26 - 7.37 / 3 ) + 7 × 11.46 ×( 7.37 - 4 ) / 7.37 ×( 26 - 4 )</v>
      </c>
      <c r="K89" s="154"/>
      <c r="L89" s="154"/>
      <c r="M89" s="154"/>
    </row>
    <row r="90" spans="5:13" s="74" customFormat="1" ht="16.5" customHeight="1">
      <c r="E90" s="74" t="s">
        <v>99</v>
      </c>
      <c r="F90" s="155">
        <f>(100*ROUND(F86,2)/2)*(O77-ROUND(F86,2)/3)+$AK$70*AJ82*(ROUND(F86,2)-O78)/ROUND(F86,2)*(O77-O78)</f>
        <v>9482.707587064675</v>
      </c>
      <c r="G90" s="155"/>
      <c r="H90" s="155"/>
      <c r="I90" s="155"/>
      <c r="J90" s="74" t="s">
        <v>175</v>
      </c>
      <c r="K90" s="154"/>
      <c r="L90" s="154"/>
      <c r="M90" s="154"/>
    </row>
    <row r="91" spans="3:13" s="74" customFormat="1" ht="16.5" customHeight="1">
      <c r="C91" s="74" t="s">
        <v>176</v>
      </c>
      <c r="K91" s="154"/>
      <c r="L91" s="154"/>
      <c r="M91" s="154"/>
    </row>
    <row r="92" spans="4:13" s="74" customFormat="1" ht="16.5" customHeight="1">
      <c r="D92" s="74" t="s">
        <v>177</v>
      </c>
      <c r="K92" s="154"/>
      <c r="L92" s="154"/>
      <c r="M92" s="154"/>
    </row>
    <row r="93" spans="4:13" s="74" customFormat="1" ht="16.5" customHeight="1">
      <c r="D93" s="137" t="str">
        <f>"= (1/"&amp;$AK$70&amp;")×( "&amp;ROUND(F86,2)&amp;" / ( "&amp;O77&amp;"- "&amp;ROUND(F86,2)&amp;" ))×"&amp;ROUND(F90,1)</f>
        <v>= (1/7)×( 7.37 / ( 26- 7.37 ))×9482.7</v>
      </c>
      <c r="K93" s="154"/>
      <c r="L93" s="154"/>
      <c r="M93" s="154"/>
    </row>
    <row r="94" spans="4:13" s="74" customFormat="1" ht="16.5" customHeight="1">
      <c r="D94" s="74" t="s">
        <v>99</v>
      </c>
      <c r="E94" s="155">
        <f>1/$AK$70*(ROUND(F86,2)/(O77-ROUND(F86,2)))*ROUND(F90,1)</f>
        <v>535.905981136416</v>
      </c>
      <c r="F94" s="155"/>
      <c r="G94" s="155"/>
      <c r="H94" s="155"/>
      <c r="I94" s="74" t="s">
        <v>175</v>
      </c>
      <c r="K94" s="154"/>
      <c r="L94" s="154"/>
      <c r="M94" s="154"/>
    </row>
    <row r="95" spans="11:13" s="74" customFormat="1" ht="16.5" customHeight="1">
      <c r="K95" s="154"/>
      <c r="L95" s="154"/>
      <c r="M95" s="154"/>
    </row>
    <row r="96" spans="3:23" s="74" customFormat="1" ht="16.5" customHeight="1">
      <c r="C96" s="74" t="s">
        <v>178</v>
      </c>
      <c r="K96" s="76" t="s">
        <v>179</v>
      </c>
      <c r="L96" s="154"/>
      <c r="M96" s="154"/>
      <c r="W96" s="156"/>
    </row>
    <row r="97" spans="3:17" s="74" customFormat="1" ht="16.5" customHeight="1">
      <c r="C97" s="74" t="s">
        <v>180</v>
      </c>
      <c r="K97" s="74" t="s">
        <v>181</v>
      </c>
      <c r="L97" s="154"/>
      <c r="M97" s="154"/>
      <c r="Q97" s="74" t="s">
        <v>182</v>
      </c>
    </row>
    <row r="98" spans="11:13" s="74" customFormat="1" ht="16.5" customHeight="1">
      <c r="K98" s="154"/>
      <c r="L98" s="154"/>
      <c r="M98" s="154"/>
    </row>
    <row r="99" spans="1:42" s="74" customFormat="1" ht="16.5" customHeight="1">
      <c r="A99" s="3"/>
      <c r="B99" s="3"/>
      <c r="C99" s="168" t="s">
        <v>183</v>
      </c>
      <c r="D99" s="168"/>
      <c r="E99" s="168"/>
      <c r="F99" s="168"/>
      <c r="G99" s="168"/>
      <c r="H99" s="168"/>
      <c r="I99" s="168"/>
      <c r="J99" s="168"/>
      <c r="K99" s="168"/>
      <c r="L99" s="176" t="s">
        <v>184</v>
      </c>
      <c r="M99" s="177"/>
      <c r="N99" s="177"/>
      <c r="O99" s="177"/>
      <c r="P99" s="178"/>
      <c r="Q99" s="168" t="s">
        <v>185</v>
      </c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 t="s">
        <v>186</v>
      </c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72" t="s">
        <v>187</v>
      </c>
      <c r="AN99" s="173"/>
      <c r="AO99" s="173"/>
      <c r="AP99" s="174"/>
    </row>
    <row r="100" spans="1:42" s="74" customFormat="1" ht="16.5" customHeight="1">
      <c r="A100" s="3"/>
      <c r="B100" s="3"/>
      <c r="C100" s="168"/>
      <c r="D100" s="168"/>
      <c r="E100" s="168"/>
      <c r="F100" s="168"/>
      <c r="G100" s="168"/>
      <c r="H100" s="168"/>
      <c r="I100" s="168"/>
      <c r="J100" s="168"/>
      <c r="K100" s="168"/>
      <c r="L100" s="179" t="s">
        <v>188</v>
      </c>
      <c r="M100" s="180"/>
      <c r="N100" s="180"/>
      <c r="O100" s="180"/>
      <c r="P100" s="181"/>
      <c r="Q100" s="168" t="s">
        <v>189</v>
      </c>
      <c r="R100" s="168"/>
      <c r="S100" s="168"/>
      <c r="T100" s="168"/>
      <c r="U100" s="168" t="s">
        <v>187</v>
      </c>
      <c r="V100" s="168"/>
      <c r="W100" s="168"/>
      <c r="X100" s="168"/>
      <c r="Y100" s="168" t="s">
        <v>190</v>
      </c>
      <c r="Z100" s="168"/>
      <c r="AA100" s="168"/>
      <c r="AB100" s="168" t="s">
        <v>189</v>
      </c>
      <c r="AC100" s="168"/>
      <c r="AD100" s="168"/>
      <c r="AE100" s="168"/>
      <c r="AF100" s="168" t="s">
        <v>187</v>
      </c>
      <c r="AG100" s="168"/>
      <c r="AH100" s="168"/>
      <c r="AI100" s="168"/>
      <c r="AJ100" s="168" t="s">
        <v>190</v>
      </c>
      <c r="AK100" s="168"/>
      <c r="AL100" s="168"/>
      <c r="AM100" s="151" t="s">
        <v>191</v>
      </c>
      <c r="AN100" s="152"/>
      <c r="AO100" s="152"/>
      <c r="AP100" s="134"/>
    </row>
    <row r="101" spans="1:42" s="74" customFormat="1" ht="22.5" customHeight="1">
      <c r="A101" s="3"/>
      <c r="B101" s="3"/>
      <c r="C101" s="167" t="s">
        <v>192</v>
      </c>
      <c r="D101" s="167"/>
      <c r="E101" s="167"/>
      <c r="F101" s="167"/>
      <c r="G101" s="167"/>
      <c r="H101" s="167"/>
      <c r="I101" s="167"/>
      <c r="J101" s="167"/>
      <c r="K101" s="167"/>
      <c r="L101" s="182">
        <f>AC43</f>
        <v>-10.386</v>
      </c>
      <c r="M101" s="183"/>
      <c r="N101" s="183"/>
      <c r="O101" s="183"/>
      <c r="P101" s="184"/>
      <c r="Q101" s="168" t="s">
        <v>122</v>
      </c>
      <c r="R101" s="168"/>
      <c r="S101" s="168"/>
      <c r="T101" s="168"/>
      <c r="U101" s="168" t="s">
        <v>122</v>
      </c>
      <c r="V101" s="168"/>
      <c r="W101" s="168"/>
      <c r="X101" s="168"/>
      <c r="Y101" s="168" t="s">
        <v>122</v>
      </c>
      <c r="Z101" s="168"/>
      <c r="AA101" s="168"/>
      <c r="AB101" s="168" t="s">
        <v>122</v>
      </c>
      <c r="AC101" s="168"/>
      <c r="AD101" s="168"/>
      <c r="AE101" s="168"/>
      <c r="AF101" s="168" t="s">
        <v>122</v>
      </c>
      <c r="AG101" s="168"/>
      <c r="AH101" s="168"/>
      <c r="AI101" s="168"/>
      <c r="AJ101" s="168" t="s">
        <v>122</v>
      </c>
      <c r="AK101" s="168"/>
      <c r="AL101" s="168"/>
      <c r="AM101" s="168" t="s">
        <v>122</v>
      </c>
      <c r="AN101" s="168"/>
      <c r="AO101" s="168"/>
      <c r="AP101" s="168"/>
    </row>
    <row r="102" spans="1:42" s="74" customFormat="1" ht="22.5" customHeight="1">
      <c r="A102" s="3"/>
      <c r="B102" s="3"/>
      <c r="C102" s="167" t="s">
        <v>193</v>
      </c>
      <c r="D102" s="167"/>
      <c r="E102" s="167"/>
      <c r="F102" s="167"/>
      <c r="G102" s="167"/>
      <c r="H102" s="167"/>
      <c r="I102" s="167"/>
      <c r="J102" s="167"/>
      <c r="K102" s="167"/>
      <c r="L102" s="169">
        <f>AG53</f>
        <v>-82.94930875576038</v>
      </c>
      <c r="M102" s="170"/>
      <c r="N102" s="170"/>
      <c r="O102" s="170"/>
      <c r="P102" s="171"/>
      <c r="Q102" s="168" t="s">
        <v>122</v>
      </c>
      <c r="R102" s="168"/>
      <c r="S102" s="168"/>
      <c r="T102" s="168"/>
      <c r="U102" s="168" t="s">
        <v>122</v>
      </c>
      <c r="V102" s="168"/>
      <c r="W102" s="168"/>
      <c r="X102" s="168"/>
      <c r="Y102" s="168" t="s">
        <v>122</v>
      </c>
      <c r="Z102" s="168"/>
      <c r="AA102" s="168"/>
      <c r="AB102" s="168" t="s">
        <v>122</v>
      </c>
      <c r="AC102" s="168"/>
      <c r="AD102" s="168"/>
      <c r="AE102" s="168"/>
      <c r="AF102" s="168" t="s">
        <v>122</v>
      </c>
      <c r="AG102" s="168"/>
      <c r="AH102" s="168"/>
      <c r="AI102" s="168"/>
      <c r="AJ102" s="168" t="s">
        <v>122</v>
      </c>
      <c r="AK102" s="168"/>
      <c r="AL102" s="168"/>
      <c r="AM102" s="168" t="s">
        <v>122</v>
      </c>
      <c r="AN102" s="168"/>
      <c r="AO102" s="168"/>
      <c r="AP102" s="168"/>
    </row>
    <row r="103" spans="3:42" ht="22.5" customHeight="1">
      <c r="C103" s="167" t="s">
        <v>194</v>
      </c>
      <c r="D103" s="167"/>
      <c r="E103" s="167"/>
      <c r="F103" s="167"/>
      <c r="G103" s="167"/>
      <c r="H103" s="167"/>
      <c r="I103" s="167"/>
      <c r="J103" s="167"/>
      <c r="K103" s="167"/>
      <c r="L103" s="169">
        <f>N61</f>
        <v>-28.709999999999997</v>
      </c>
      <c r="M103" s="170"/>
      <c r="N103" s="170"/>
      <c r="O103" s="170"/>
      <c r="P103" s="171"/>
      <c r="Q103" s="168" t="s">
        <v>122</v>
      </c>
      <c r="R103" s="168"/>
      <c r="S103" s="168"/>
      <c r="T103" s="168"/>
      <c r="U103" s="168" t="s">
        <v>122</v>
      </c>
      <c r="V103" s="168"/>
      <c r="W103" s="168"/>
      <c r="X103" s="168"/>
      <c r="Y103" s="168" t="s">
        <v>122</v>
      </c>
      <c r="Z103" s="168"/>
      <c r="AA103" s="168"/>
      <c r="AB103" s="168" t="s">
        <v>122</v>
      </c>
      <c r="AC103" s="168"/>
      <c r="AD103" s="168"/>
      <c r="AE103" s="168"/>
      <c r="AF103" s="168" t="s">
        <v>122</v>
      </c>
      <c r="AG103" s="168"/>
      <c r="AH103" s="168"/>
      <c r="AI103" s="168"/>
      <c r="AJ103" s="168" t="s">
        <v>122</v>
      </c>
      <c r="AK103" s="168"/>
      <c r="AL103" s="168"/>
      <c r="AM103" s="168" t="s">
        <v>122</v>
      </c>
      <c r="AN103" s="168"/>
      <c r="AO103" s="168"/>
      <c r="AP103" s="168"/>
    </row>
    <row r="104" spans="3:42" ht="22.5" customHeight="1">
      <c r="C104" s="167" t="s">
        <v>195</v>
      </c>
      <c r="D104" s="167"/>
      <c r="E104" s="167"/>
      <c r="F104" s="167"/>
      <c r="G104" s="167"/>
      <c r="H104" s="167"/>
      <c r="I104" s="167"/>
      <c r="J104" s="167"/>
      <c r="K104" s="167"/>
      <c r="L104" s="169">
        <f>R66</f>
        <v>-2.4914999999999994</v>
      </c>
      <c r="M104" s="170"/>
      <c r="N104" s="170"/>
      <c r="O104" s="170"/>
      <c r="P104" s="171"/>
      <c r="Q104" s="168" t="s">
        <v>122</v>
      </c>
      <c r="R104" s="168"/>
      <c r="S104" s="168"/>
      <c r="T104" s="168"/>
      <c r="U104" s="168" t="s">
        <v>122</v>
      </c>
      <c r="V104" s="168"/>
      <c r="W104" s="168"/>
      <c r="X104" s="168"/>
      <c r="Y104" s="168" t="s">
        <v>122</v>
      </c>
      <c r="Z104" s="168"/>
      <c r="AA104" s="168"/>
      <c r="AB104" s="168" t="s">
        <v>122</v>
      </c>
      <c r="AC104" s="168"/>
      <c r="AD104" s="168"/>
      <c r="AE104" s="168"/>
      <c r="AF104" s="168" t="s">
        <v>122</v>
      </c>
      <c r="AG104" s="168"/>
      <c r="AH104" s="168"/>
      <c r="AI104" s="168"/>
      <c r="AJ104" s="168" t="s">
        <v>122</v>
      </c>
      <c r="AK104" s="168"/>
      <c r="AL104" s="168"/>
      <c r="AM104" s="168" t="s">
        <v>122</v>
      </c>
      <c r="AN104" s="168"/>
      <c r="AO104" s="168"/>
      <c r="AP104" s="168"/>
    </row>
    <row r="105" spans="3:42" ht="22.5" customHeight="1">
      <c r="C105" s="167" t="s">
        <v>196</v>
      </c>
      <c r="D105" s="167"/>
      <c r="E105" s="167"/>
      <c r="F105" s="167"/>
      <c r="G105" s="167"/>
      <c r="H105" s="167"/>
      <c r="I105" s="167"/>
      <c r="J105" s="167"/>
      <c r="K105" s="167"/>
      <c r="L105" s="169">
        <f>L101+L102</f>
        <v>-93.33530875576038</v>
      </c>
      <c r="M105" s="170"/>
      <c r="N105" s="170"/>
      <c r="O105" s="170"/>
      <c r="P105" s="171"/>
      <c r="Q105" s="150">
        <f>ABS(L105)/F90*1000</f>
        <v>9.842685530351977</v>
      </c>
      <c r="R105" s="150"/>
      <c r="S105" s="150"/>
      <c r="T105" s="150"/>
      <c r="U105" s="150">
        <f>$AC$71</f>
        <v>8</v>
      </c>
      <c r="V105" s="150"/>
      <c r="W105" s="150"/>
      <c r="X105" s="150"/>
      <c r="Y105" s="168" t="str">
        <f>IF(Q105&lt;=U105,"O.K.","N.G.")</f>
        <v>N.G.</v>
      </c>
      <c r="Z105" s="168"/>
      <c r="AA105" s="168"/>
      <c r="AB105" s="150">
        <f>ABS(L105)/E94*1000</f>
        <v>174.16358846721226</v>
      </c>
      <c r="AC105" s="150"/>
      <c r="AD105" s="150"/>
      <c r="AE105" s="150"/>
      <c r="AF105" s="175">
        <f>$U$72</f>
        <v>120</v>
      </c>
      <c r="AG105" s="175"/>
      <c r="AH105" s="175"/>
      <c r="AI105" s="175"/>
      <c r="AJ105" s="168" t="str">
        <f>IF(AB105&lt;=AF105,"O.K.","N.G.")</f>
        <v>N.G.</v>
      </c>
      <c r="AK105" s="168"/>
      <c r="AL105" s="168"/>
      <c r="AM105" s="150">
        <v>1</v>
      </c>
      <c r="AN105" s="150"/>
      <c r="AO105" s="150"/>
      <c r="AP105" s="150"/>
    </row>
    <row r="106" spans="3:42" ht="22.5" customHeight="1">
      <c r="C106" s="167" t="s">
        <v>197</v>
      </c>
      <c r="D106" s="167"/>
      <c r="E106" s="167"/>
      <c r="F106" s="167"/>
      <c r="G106" s="167"/>
      <c r="H106" s="167"/>
      <c r="I106" s="167"/>
      <c r="J106" s="167"/>
      <c r="K106" s="167"/>
      <c r="L106" s="169">
        <f>L101+L104</f>
        <v>-12.877499999999998</v>
      </c>
      <c r="M106" s="170"/>
      <c r="N106" s="170"/>
      <c r="O106" s="170"/>
      <c r="P106" s="171"/>
      <c r="Q106" s="150">
        <f>ABS(L106)/F90*1000</f>
        <v>1.3579982174675664</v>
      </c>
      <c r="R106" s="150"/>
      <c r="S106" s="150"/>
      <c r="T106" s="150"/>
      <c r="U106" s="150">
        <f>U105*AM106</f>
        <v>9.6</v>
      </c>
      <c r="V106" s="150"/>
      <c r="W106" s="150"/>
      <c r="X106" s="150"/>
      <c r="Y106" s="168" t="str">
        <f>IF(Q106&lt;=U106,"O.K.","N.G.")</f>
        <v>O.K.</v>
      </c>
      <c r="Z106" s="168"/>
      <c r="AA106" s="168"/>
      <c r="AB106" s="150">
        <f>ABS(L106)/E94*1000</f>
        <v>24.02940152429835</v>
      </c>
      <c r="AC106" s="150"/>
      <c r="AD106" s="150"/>
      <c r="AE106" s="150"/>
      <c r="AF106" s="175">
        <f>AF105*AM106</f>
        <v>144</v>
      </c>
      <c r="AG106" s="175"/>
      <c r="AH106" s="175"/>
      <c r="AI106" s="175"/>
      <c r="AJ106" s="168" t="str">
        <f>IF(AB106&lt;=AF106,"O.K.","N.G.")</f>
        <v>O.K.</v>
      </c>
      <c r="AK106" s="168"/>
      <c r="AL106" s="168"/>
      <c r="AM106" s="150">
        <v>1.2</v>
      </c>
      <c r="AN106" s="150"/>
      <c r="AO106" s="150"/>
      <c r="AP106" s="150"/>
    </row>
    <row r="107" spans="3:42" ht="22.5" customHeight="1">
      <c r="C107" s="167" t="s">
        <v>198</v>
      </c>
      <c r="D107" s="167"/>
      <c r="E107" s="167"/>
      <c r="F107" s="167"/>
      <c r="G107" s="167"/>
      <c r="H107" s="167"/>
      <c r="I107" s="167"/>
      <c r="J107" s="167"/>
      <c r="K107" s="167"/>
      <c r="L107" s="169">
        <f>L101+L102+L104/2</f>
        <v>-94.58105875576038</v>
      </c>
      <c r="M107" s="170"/>
      <c r="N107" s="170"/>
      <c r="O107" s="170"/>
      <c r="P107" s="171"/>
      <c r="Q107" s="150">
        <f>ABS(L107)/F90*1000</f>
        <v>9.974056237353352</v>
      </c>
      <c r="R107" s="150"/>
      <c r="S107" s="150"/>
      <c r="T107" s="150"/>
      <c r="U107" s="150">
        <f>U105*AM107</f>
        <v>10</v>
      </c>
      <c r="V107" s="150"/>
      <c r="W107" s="150"/>
      <c r="X107" s="150"/>
      <c r="Y107" s="168" t="str">
        <f>IF(Q107&lt;=U107,"O.K.","N.G.")</f>
        <v>O.K.</v>
      </c>
      <c r="Z107" s="168"/>
      <c r="AA107" s="168"/>
      <c r="AB107" s="150">
        <f>ABS(L107)/E94*1000</f>
        <v>176.48815666359314</v>
      </c>
      <c r="AC107" s="150"/>
      <c r="AD107" s="150"/>
      <c r="AE107" s="150"/>
      <c r="AF107" s="175">
        <f>AF105*AM107</f>
        <v>150</v>
      </c>
      <c r="AG107" s="175"/>
      <c r="AH107" s="175"/>
      <c r="AI107" s="175"/>
      <c r="AJ107" s="168" t="str">
        <f>IF(AB107&lt;=AF107,"O.K.","N.G.")</f>
        <v>N.G.</v>
      </c>
      <c r="AK107" s="168"/>
      <c r="AL107" s="168"/>
      <c r="AM107" s="150">
        <v>1.25</v>
      </c>
      <c r="AN107" s="150"/>
      <c r="AO107" s="150"/>
      <c r="AP107" s="150"/>
    </row>
    <row r="108" spans="3:42" ht="22.5" customHeight="1">
      <c r="C108" s="167" t="s">
        <v>199</v>
      </c>
      <c r="D108" s="167"/>
      <c r="E108" s="167"/>
      <c r="F108" s="167"/>
      <c r="G108" s="167"/>
      <c r="H108" s="167"/>
      <c r="I108" s="167"/>
      <c r="J108" s="167"/>
      <c r="K108" s="167"/>
      <c r="L108" s="169">
        <f>L101+L102+L103</f>
        <v>-122.04530875576037</v>
      </c>
      <c r="M108" s="170"/>
      <c r="N108" s="170"/>
      <c r="O108" s="170"/>
      <c r="P108" s="171"/>
      <c r="Q108" s="150">
        <f>ABS(L108)/F90*1000</f>
        <v>12.870301824158526</v>
      </c>
      <c r="R108" s="150"/>
      <c r="S108" s="150"/>
      <c r="T108" s="150"/>
      <c r="U108" s="150">
        <f>U105*AM108</f>
        <v>12</v>
      </c>
      <c r="V108" s="150"/>
      <c r="W108" s="150"/>
      <c r="X108" s="150"/>
      <c r="Y108" s="168" t="str">
        <f>IF(Q108&lt;=U108,"O.K.","N.G.")</f>
        <v>N.G.</v>
      </c>
      <c r="Z108" s="168"/>
      <c r="AA108" s="168"/>
      <c r="AB108" s="150">
        <f>ABS(L108)/E94*1000</f>
        <v>227.73641842353962</v>
      </c>
      <c r="AC108" s="150"/>
      <c r="AD108" s="150"/>
      <c r="AE108" s="150"/>
      <c r="AF108" s="175">
        <f>AF105*AM108</f>
        <v>180</v>
      </c>
      <c r="AG108" s="175"/>
      <c r="AH108" s="175"/>
      <c r="AI108" s="175"/>
      <c r="AJ108" s="168" t="str">
        <f>IF(AB108&lt;=AF108,"O.K.","N.G.")</f>
        <v>N.G.</v>
      </c>
      <c r="AK108" s="168"/>
      <c r="AL108" s="168"/>
      <c r="AM108" s="150">
        <v>1.5</v>
      </c>
      <c r="AN108" s="150"/>
      <c r="AO108" s="150"/>
      <c r="AP108" s="150"/>
    </row>
    <row r="110" ht="22.5" customHeight="1">
      <c r="C110" s="56" t="s">
        <v>200</v>
      </c>
    </row>
    <row r="111" spans="24:33" s="74" customFormat="1" ht="16.5" customHeight="1">
      <c r="X111" s="74" t="s">
        <v>112</v>
      </c>
      <c r="AB111" s="74" t="s">
        <v>112</v>
      </c>
      <c r="AG111" s="74" t="s">
        <v>112</v>
      </c>
    </row>
    <row r="112" spans="4:25" s="10" customFormat="1" ht="21.75" customHeight="1">
      <c r="D112" s="10" t="s">
        <v>153</v>
      </c>
      <c r="M112" s="145" t="s">
        <v>154</v>
      </c>
      <c r="N112" s="145"/>
      <c r="O112" s="203">
        <v>30</v>
      </c>
      <c r="P112" s="203"/>
      <c r="Q112" s="203"/>
      <c r="R112" s="145" t="s">
        <v>155</v>
      </c>
      <c r="S112" s="85"/>
      <c r="W112" s="85"/>
      <c r="X112" s="85"/>
      <c r="Y112" s="85"/>
    </row>
    <row r="113" spans="4:25" s="2" customFormat="1" ht="21.75" customHeight="1">
      <c r="D113" s="2" t="s">
        <v>156</v>
      </c>
      <c r="M113" s="72" t="s">
        <v>157</v>
      </c>
      <c r="N113" s="68"/>
      <c r="O113" s="70">
        <f>O112-O115</f>
        <v>24.25</v>
      </c>
      <c r="P113" s="15"/>
      <c r="Q113" s="15"/>
      <c r="R113" s="74" t="s">
        <v>155</v>
      </c>
      <c r="S113" s="11"/>
      <c r="W113" s="11"/>
      <c r="X113" s="11"/>
      <c r="Y113" s="11"/>
    </row>
    <row r="114" spans="4:25" s="2" customFormat="1" ht="21.75" customHeight="1">
      <c r="D114" s="8" t="s">
        <v>158</v>
      </c>
      <c r="E114" s="18"/>
      <c r="F114" s="148"/>
      <c r="G114" s="18"/>
      <c r="H114" s="18"/>
      <c r="M114" s="73" t="s">
        <v>159</v>
      </c>
      <c r="N114" s="68"/>
      <c r="O114" s="70">
        <f>O78+(L81+L117)/10/2</f>
        <v>5.75</v>
      </c>
      <c r="P114" s="15"/>
      <c r="Q114" s="15"/>
      <c r="R114" s="74" t="s">
        <v>155</v>
      </c>
      <c r="S114" s="11"/>
      <c r="W114" s="11"/>
      <c r="X114" s="11"/>
      <c r="Y114" s="11"/>
    </row>
    <row r="115" spans="4:25" s="2" customFormat="1" ht="21.75" customHeight="1">
      <c r="D115" s="8" t="s">
        <v>160</v>
      </c>
      <c r="G115" s="149"/>
      <c r="H115" s="149"/>
      <c r="M115" s="73" t="s">
        <v>161</v>
      </c>
      <c r="N115" s="68"/>
      <c r="O115" s="70">
        <f>O79+(L82+L118)/10/2</f>
        <v>5.75</v>
      </c>
      <c r="P115" s="15"/>
      <c r="Q115" s="15"/>
      <c r="R115" s="74" t="s">
        <v>155</v>
      </c>
      <c r="S115" s="11"/>
      <c r="W115" s="11"/>
      <c r="X115" s="11"/>
      <c r="Y115" s="11"/>
    </row>
    <row r="116" spans="4:18" s="2" customFormat="1" ht="21.75" customHeight="1">
      <c r="D116" s="2" t="s">
        <v>162</v>
      </c>
      <c r="M116" s="18" t="s">
        <v>163</v>
      </c>
      <c r="N116" s="18"/>
      <c r="O116" s="70">
        <v>100</v>
      </c>
      <c r="P116" s="15"/>
      <c r="Q116" s="15"/>
      <c r="R116" s="74" t="s">
        <v>155</v>
      </c>
    </row>
    <row r="117" spans="4:41" s="2" customFormat="1" ht="21.75" customHeight="1">
      <c r="D117" s="74" t="s">
        <v>164</v>
      </c>
      <c r="E117" s="74"/>
      <c r="F117" s="74"/>
      <c r="G117" s="74"/>
      <c r="H117" s="74"/>
      <c r="J117" s="74" t="s">
        <v>19</v>
      </c>
      <c r="K117" s="74"/>
      <c r="L117" s="73">
        <v>16</v>
      </c>
      <c r="M117" s="68"/>
      <c r="N117" s="144"/>
      <c r="P117" s="74" t="s">
        <v>20</v>
      </c>
      <c r="R117" s="74"/>
      <c r="T117" s="203">
        <v>125</v>
      </c>
      <c r="U117" s="163"/>
      <c r="V117" s="163"/>
      <c r="W117" s="74" t="s">
        <v>100</v>
      </c>
      <c r="Y117" s="74" t="s">
        <v>165</v>
      </c>
      <c r="Z117" s="74"/>
      <c r="AA117" s="74"/>
      <c r="AB117" s="74"/>
      <c r="AC117" s="74"/>
      <c r="AD117" s="74"/>
      <c r="AE117" s="74"/>
      <c r="AH117" s="74" t="s">
        <v>166</v>
      </c>
      <c r="AI117" s="74"/>
      <c r="AJ117" s="74"/>
      <c r="AK117" s="75">
        <f>IF(L117=13,1.267*1000/T117,IF(L117=16,1.986*1000/T117,IF(L117=19,2.865*1000/T117,IF(L117=22,3.871*1000/T117,IF(L117=25,5.067*1000/T117,IF(L117=29,6.424*1000/T117,7.942*1000/T117))))))</f>
        <v>15.888</v>
      </c>
      <c r="AL117" s="153"/>
      <c r="AM117" s="153"/>
      <c r="AN117" s="153"/>
      <c r="AO117" s="74" t="s">
        <v>167</v>
      </c>
    </row>
    <row r="118" spans="4:41" s="2" customFormat="1" ht="21.75" customHeight="1">
      <c r="D118" s="74" t="s">
        <v>168</v>
      </c>
      <c r="E118" s="74"/>
      <c r="F118" s="74"/>
      <c r="G118" s="74"/>
      <c r="H118" s="74"/>
      <c r="I118" s="74"/>
      <c r="J118" s="74" t="s">
        <v>19</v>
      </c>
      <c r="K118" s="74"/>
      <c r="L118" s="73">
        <v>16</v>
      </c>
      <c r="M118" s="68"/>
      <c r="N118" s="144"/>
      <c r="P118" s="74" t="s">
        <v>20</v>
      </c>
      <c r="R118" s="74"/>
      <c r="T118" s="203">
        <v>250</v>
      </c>
      <c r="U118" s="163"/>
      <c r="V118" s="163"/>
      <c r="W118" s="74" t="s">
        <v>100</v>
      </c>
      <c r="X118" s="74"/>
      <c r="Y118" s="74" t="s">
        <v>169</v>
      </c>
      <c r="Z118" s="74"/>
      <c r="AA118" s="74"/>
      <c r="AB118" s="74"/>
      <c r="AC118" s="74"/>
      <c r="AD118" s="74"/>
      <c r="AE118" s="74"/>
      <c r="AH118" s="74" t="s">
        <v>170</v>
      </c>
      <c r="AI118" s="74"/>
      <c r="AJ118" s="74"/>
      <c r="AK118" s="75">
        <f>IF(L118=13,1.267*1000/T118,IF(L118=16,1.986*1000/T118,IF(L118=19,2.865*1000/T118,IF(L118=22,3.871*1000/T118,IF(L118=25,5.067*1000/T118,IF(L118=29,6.424*1000/T118,7.942*1000/T118))))))</f>
        <v>7.944</v>
      </c>
      <c r="AL118" s="153"/>
      <c r="AM118" s="153"/>
      <c r="AN118" s="153"/>
      <c r="AO118" s="74" t="s">
        <v>167</v>
      </c>
    </row>
    <row r="119" spans="3:13" s="74" customFormat="1" ht="16.5" customHeight="1">
      <c r="C119" s="74" t="s">
        <v>171</v>
      </c>
      <c r="K119" s="154"/>
      <c r="L119" s="154"/>
      <c r="M119" s="154"/>
    </row>
    <row r="120" spans="4:13" s="74" customFormat="1" ht="16.5" customHeight="1">
      <c r="D120" s="74" t="s">
        <v>172</v>
      </c>
      <c r="K120" s="154"/>
      <c r="L120" s="154"/>
      <c r="M120" s="154"/>
    </row>
    <row r="121" spans="5:13" s="74" customFormat="1" ht="16.5" customHeight="1">
      <c r="E121" s="74" t="str">
        <f>"= -"&amp;$AK$70&amp;"×("&amp;ROUND(AK117,2)&amp;" + "&amp;ROUND(AK118,2)&amp;")/100 + √[ {"&amp;$AK$70&amp;"×("&amp;ROUND(AK117,2)&amp;" + "&amp;ROUND(AK118,2)&amp;")/100}^2 + 2×"&amp;$AK$70&amp;"×("&amp;O113&amp;"×"&amp;ROUND(AK117,2)&amp;" + "&amp;O114&amp;"×"&amp;ROUND(AK118,2)&amp;")/100 ]"</f>
        <v>= -7×(15.89 + 7.94)/100 + √[ {7×(15.89 + 7.94)/100}^2 + 2×7×(24.25×15.89 + 5.75×7.94)/100 ]</v>
      </c>
      <c r="K121" s="154"/>
      <c r="L121" s="154"/>
      <c r="M121" s="154"/>
    </row>
    <row r="122" spans="5:13" s="74" customFormat="1" ht="16.5" customHeight="1">
      <c r="E122" s="74" t="s">
        <v>99</v>
      </c>
      <c r="F122" s="61">
        <f>-$AK$70*(AK117+AK118)/100+SQRT(($AK$70*(AK117+AK118)/100)^2+2*$AK$70*(O113*AK117+O114*AK118)/100)</f>
        <v>6.276425172151687</v>
      </c>
      <c r="G122" s="55"/>
      <c r="H122" s="55"/>
      <c r="I122" s="74" t="s">
        <v>155</v>
      </c>
      <c r="K122" s="154"/>
      <c r="L122" s="154"/>
      <c r="M122" s="154"/>
    </row>
    <row r="123" spans="3:13" s="74" customFormat="1" ht="16.5" customHeight="1">
      <c r="C123" s="74" t="s">
        <v>173</v>
      </c>
      <c r="K123" s="154"/>
      <c r="L123" s="154"/>
      <c r="M123" s="154"/>
    </row>
    <row r="124" spans="4:13" s="74" customFormat="1" ht="16.5" customHeight="1">
      <c r="D124" s="74" t="s">
        <v>174</v>
      </c>
      <c r="K124" s="154"/>
      <c r="L124" s="154"/>
      <c r="M124" s="154"/>
    </row>
    <row r="125" spans="5:13" s="74" customFormat="1" ht="16.5" customHeight="1">
      <c r="E125" s="74" t="str">
        <f>"= ( 100 × "&amp;ROUND(F122,2)&amp;" / 2 ) × ( "&amp;O113&amp;" - "&amp;ROUND(F122,2)&amp;" / 3 ) + "&amp;$AK$70&amp;"×"&amp;ROUND(AK117,2)&amp;"×( "&amp;ROUND(F122,2)&amp;" - "&amp;O114&amp;" ) / "&amp;ROUND(F122,2)&amp;" ×( "&amp;O113&amp;" - "&amp;O114&amp;" )"</f>
        <v>= ( 100 × 6.28 / 2 ) × ( 24.25 - 6.28 / 3 ) + 7×15.89×( 6.28 - 5.75 ) / 6.28 ×( 24.25 - 5.75 )</v>
      </c>
      <c r="K125" s="154"/>
      <c r="L125" s="154"/>
      <c r="M125" s="154"/>
    </row>
    <row r="126" spans="5:13" s="74" customFormat="1" ht="16.5" customHeight="1">
      <c r="E126" s="74" t="s">
        <v>99</v>
      </c>
      <c r="F126" s="155">
        <f>(100*ROUND(F122,2)/2)*(O113-ROUND(F122,2)/3)+$AK$70*AK118*(ROUND(F122,2)-O114)/ROUND(F122,2)*(O113-O114)</f>
        <v>7044.014422505308</v>
      </c>
      <c r="G126" s="155"/>
      <c r="H126" s="155"/>
      <c r="I126" s="155"/>
      <c r="J126" s="74" t="s">
        <v>175</v>
      </c>
      <c r="K126" s="154"/>
      <c r="L126" s="154"/>
      <c r="M126" s="154"/>
    </row>
    <row r="127" spans="3:13" s="74" customFormat="1" ht="16.5" customHeight="1">
      <c r="C127" s="74" t="s">
        <v>176</v>
      </c>
      <c r="K127" s="154"/>
      <c r="L127" s="154"/>
      <c r="M127" s="154"/>
    </row>
    <row r="128" spans="4:13" s="74" customFormat="1" ht="16.5" customHeight="1">
      <c r="D128" s="74" t="s">
        <v>177</v>
      </c>
      <c r="K128" s="154"/>
      <c r="L128" s="154"/>
      <c r="M128" s="154"/>
    </row>
    <row r="129" spans="4:13" s="74" customFormat="1" ht="16.5" customHeight="1">
      <c r="D129" s="137" t="str">
        <f>"= (1/"&amp;$AK$70&amp;")×( "&amp;ROUND(F122,2)&amp;" / ( "&amp;O113&amp;"- "&amp;ROUND(F122,2)&amp;" ))×"&amp;ROUND(F126,1)</f>
        <v>= (1/7)×( 6.28 / ( 24.25- 6.28 ))×7044</v>
      </c>
      <c r="K129" s="154"/>
      <c r="L129" s="154"/>
      <c r="M129" s="154"/>
    </row>
    <row r="130" spans="4:13" s="74" customFormat="1" ht="16.5" customHeight="1">
      <c r="D130" s="74" t="s">
        <v>99</v>
      </c>
      <c r="E130" s="155">
        <f>1/$AK$70*(ROUND(F122,2)/(O113-ROUND(F122,2)))*ROUND(F126,1)</f>
        <v>351.6680181254472</v>
      </c>
      <c r="F130" s="155"/>
      <c r="G130" s="155"/>
      <c r="H130" s="155"/>
      <c r="I130" s="74" t="s">
        <v>175</v>
      </c>
      <c r="K130" s="154"/>
      <c r="L130" s="154"/>
      <c r="M130" s="154"/>
    </row>
    <row r="131" spans="11:13" s="74" customFormat="1" ht="16.5" customHeight="1">
      <c r="K131" s="154"/>
      <c r="L131" s="154"/>
      <c r="M131" s="154"/>
    </row>
    <row r="132" spans="3:23" s="74" customFormat="1" ht="16.5" customHeight="1">
      <c r="C132" s="74" t="s">
        <v>178</v>
      </c>
      <c r="K132" s="76" t="s">
        <v>179</v>
      </c>
      <c r="L132" s="154"/>
      <c r="M132" s="154"/>
      <c r="W132" s="156"/>
    </row>
    <row r="133" spans="3:17" s="74" customFormat="1" ht="16.5" customHeight="1">
      <c r="C133" s="74" t="s">
        <v>180</v>
      </c>
      <c r="K133" s="74" t="s">
        <v>181</v>
      </c>
      <c r="L133" s="154"/>
      <c r="M133" s="154"/>
      <c r="Q133" s="74" t="s">
        <v>182</v>
      </c>
    </row>
    <row r="134" spans="11:13" s="74" customFormat="1" ht="16.5" customHeight="1">
      <c r="K134" s="154"/>
      <c r="L134" s="154"/>
      <c r="M134" s="154"/>
    </row>
    <row r="135" spans="1:42" s="74" customFormat="1" ht="16.5" customHeight="1">
      <c r="A135" s="3"/>
      <c r="B135" s="3"/>
      <c r="C135" s="168" t="s">
        <v>183</v>
      </c>
      <c r="D135" s="168"/>
      <c r="E135" s="168"/>
      <c r="F135" s="168"/>
      <c r="G135" s="168"/>
      <c r="H135" s="168"/>
      <c r="I135" s="168"/>
      <c r="J135" s="168"/>
      <c r="K135" s="168"/>
      <c r="L135" s="176" t="s">
        <v>184</v>
      </c>
      <c r="M135" s="177"/>
      <c r="N135" s="177"/>
      <c r="O135" s="177"/>
      <c r="P135" s="178"/>
      <c r="Q135" s="168" t="s">
        <v>185</v>
      </c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 t="s">
        <v>186</v>
      </c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72" t="s">
        <v>187</v>
      </c>
      <c r="AN135" s="173"/>
      <c r="AO135" s="173"/>
      <c r="AP135" s="174"/>
    </row>
    <row r="136" spans="1:42" s="74" customFormat="1" ht="16.5" customHeight="1">
      <c r="A136" s="3"/>
      <c r="B136" s="3"/>
      <c r="C136" s="168"/>
      <c r="D136" s="168"/>
      <c r="E136" s="168"/>
      <c r="F136" s="168"/>
      <c r="G136" s="168"/>
      <c r="H136" s="168"/>
      <c r="I136" s="168"/>
      <c r="J136" s="168"/>
      <c r="K136" s="168"/>
      <c r="L136" s="179" t="s">
        <v>188</v>
      </c>
      <c r="M136" s="180"/>
      <c r="N136" s="180"/>
      <c r="O136" s="180"/>
      <c r="P136" s="181"/>
      <c r="Q136" s="168" t="s">
        <v>189</v>
      </c>
      <c r="R136" s="168"/>
      <c r="S136" s="168"/>
      <c r="T136" s="168"/>
      <c r="U136" s="168" t="s">
        <v>187</v>
      </c>
      <c r="V136" s="168"/>
      <c r="W136" s="168"/>
      <c r="X136" s="168"/>
      <c r="Y136" s="168" t="s">
        <v>190</v>
      </c>
      <c r="Z136" s="168"/>
      <c r="AA136" s="168"/>
      <c r="AB136" s="168" t="s">
        <v>189</v>
      </c>
      <c r="AC136" s="168"/>
      <c r="AD136" s="168"/>
      <c r="AE136" s="168"/>
      <c r="AF136" s="168" t="s">
        <v>187</v>
      </c>
      <c r="AG136" s="168"/>
      <c r="AH136" s="168"/>
      <c r="AI136" s="168"/>
      <c r="AJ136" s="168" t="s">
        <v>190</v>
      </c>
      <c r="AK136" s="168"/>
      <c r="AL136" s="168"/>
      <c r="AM136" s="151" t="s">
        <v>191</v>
      </c>
      <c r="AN136" s="152"/>
      <c r="AO136" s="152"/>
      <c r="AP136" s="134"/>
    </row>
    <row r="137" spans="1:42" s="74" customFormat="1" ht="22.5" customHeight="1">
      <c r="A137" s="3"/>
      <c r="B137" s="3"/>
      <c r="C137" s="167" t="s">
        <v>192</v>
      </c>
      <c r="D137" s="167"/>
      <c r="E137" s="167"/>
      <c r="F137" s="167"/>
      <c r="G137" s="167"/>
      <c r="H137" s="167"/>
      <c r="I137" s="167"/>
      <c r="J137" s="167"/>
      <c r="K137" s="167"/>
      <c r="L137" s="182">
        <v>0</v>
      </c>
      <c r="M137" s="183"/>
      <c r="N137" s="183"/>
      <c r="O137" s="183"/>
      <c r="P137" s="184"/>
      <c r="Q137" s="168" t="s">
        <v>122</v>
      </c>
      <c r="R137" s="168"/>
      <c r="S137" s="168"/>
      <c r="T137" s="168"/>
      <c r="U137" s="168" t="s">
        <v>122</v>
      </c>
      <c r="V137" s="168"/>
      <c r="W137" s="168"/>
      <c r="X137" s="168"/>
      <c r="Y137" s="168" t="s">
        <v>122</v>
      </c>
      <c r="Z137" s="168"/>
      <c r="AA137" s="168"/>
      <c r="AB137" s="168" t="s">
        <v>122</v>
      </c>
      <c r="AC137" s="168"/>
      <c r="AD137" s="168"/>
      <c r="AE137" s="168"/>
      <c r="AF137" s="168" t="s">
        <v>122</v>
      </c>
      <c r="AG137" s="168"/>
      <c r="AH137" s="168"/>
      <c r="AI137" s="168"/>
      <c r="AJ137" s="168" t="s">
        <v>122</v>
      </c>
      <c r="AK137" s="168"/>
      <c r="AL137" s="168"/>
      <c r="AM137" s="168" t="s">
        <v>122</v>
      </c>
      <c r="AN137" s="168"/>
      <c r="AO137" s="168"/>
      <c r="AP137" s="168"/>
    </row>
    <row r="138" spans="1:42" s="74" customFormat="1" ht="22.5" customHeight="1">
      <c r="A138" s="3"/>
      <c r="B138" s="3"/>
      <c r="C138" s="167" t="s">
        <v>193</v>
      </c>
      <c r="D138" s="167"/>
      <c r="E138" s="167"/>
      <c r="F138" s="167"/>
      <c r="G138" s="167"/>
      <c r="H138" s="167"/>
      <c r="I138" s="167"/>
      <c r="J138" s="167"/>
      <c r="K138" s="167"/>
      <c r="L138" s="169">
        <f>AG56</f>
        <v>32.75</v>
      </c>
      <c r="M138" s="170"/>
      <c r="N138" s="170"/>
      <c r="O138" s="170"/>
      <c r="P138" s="171"/>
      <c r="Q138" s="150">
        <f>ABS(L138)/F126*1000</f>
        <v>4.649337442490922</v>
      </c>
      <c r="R138" s="150"/>
      <c r="S138" s="150"/>
      <c r="T138" s="150"/>
      <c r="U138" s="150">
        <f>$AC$71</f>
        <v>8</v>
      </c>
      <c r="V138" s="150"/>
      <c r="W138" s="150"/>
      <c r="X138" s="150"/>
      <c r="Y138" s="168" t="str">
        <f>IF(Q138&lt;=U138,"O.K.","N.G.")</f>
        <v>O.K.</v>
      </c>
      <c r="Z138" s="168"/>
      <c r="AA138" s="168"/>
      <c r="AB138" s="150">
        <f>ABS(L138)/E130*1000</f>
        <v>93.12760419492398</v>
      </c>
      <c r="AC138" s="150"/>
      <c r="AD138" s="150"/>
      <c r="AE138" s="150"/>
      <c r="AF138" s="150">
        <f>$U$72</f>
        <v>120</v>
      </c>
      <c r="AG138" s="150"/>
      <c r="AH138" s="150"/>
      <c r="AI138" s="150"/>
      <c r="AJ138" s="168" t="str">
        <f>IF(AB138&lt;=AF138,"O.K.","N.G.")</f>
        <v>O.K.</v>
      </c>
      <c r="AK138" s="168"/>
      <c r="AL138" s="168"/>
      <c r="AM138" s="150">
        <v>1</v>
      </c>
      <c r="AN138" s="150"/>
      <c r="AO138" s="150"/>
      <c r="AP138" s="150"/>
    </row>
    <row r="139" spans="3:42" ht="22.5" customHeight="1">
      <c r="C139" s="167" t="s">
        <v>194</v>
      </c>
      <c r="D139" s="167"/>
      <c r="E139" s="167"/>
      <c r="F139" s="167"/>
      <c r="G139" s="167"/>
      <c r="H139" s="167"/>
      <c r="I139" s="167"/>
      <c r="J139" s="167"/>
      <c r="K139" s="167"/>
      <c r="L139" s="169">
        <v>0</v>
      </c>
      <c r="M139" s="170"/>
      <c r="N139" s="170"/>
      <c r="O139" s="170"/>
      <c r="P139" s="171"/>
      <c r="Q139" s="168" t="s">
        <v>122</v>
      </c>
      <c r="R139" s="168"/>
      <c r="S139" s="168"/>
      <c r="T139" s="168"/>
      <c r="U139" s="168" t="s">
        <v>122</v>
      </c>
      <c r="V139" s="168"/>
      <c r="W139" s="168"/>
      <c r="X139" s="168"/>
      <c r="Y139" s="168" t="s">
        <v>122</v>
      </c>
      <c r="Z139" s="168"/>
      <c r="AA139" s="168"/>
      <c r="AB139" s="168" t="s">
        <v>122</v>
      </c>
      <c r="AC139" s="168"/>
      <c r="AD139" s="168"/>
      <c r="AE139" s="168"/>
      <c r="AF139" s="168" t="s">
        <v>122</v>
      </c>
      <c r="AG139" s="168"/>
      <c r="AH139" s="168"/>
      <c r="AI139" s="168"/>
      <c r="AJ139" s="168" t="s">
        <v>122</v>
      </c>
      <c r="AK139" s="168"/>
      <c r="AL139" s="168"/>
      <c r="AM139" s="168" t="s">
        <v>122</v>
      </c>
      <c r="AN139" s="168"/>
      <c r="AO139" s="168"/>
      <c r="AP139" s="168"/>
    </row>
    <row r="140" spans="3:42" ht="22.5" customHeight="1">
      <c r="C140" s="167" t="s">
        <v>195</v>
      </c>
      <c r="D140" s="167"/>
      <c r="E140" s="167"/>
      <c r="F140" s="167"/>
      <c r="G140" s="167"/>
      <c r="H140" s="167"/>
      <c r="I140" s="167"/>
      <c r="J140" s="167"/>
      <c r="K140" s="167"/>
      <c r="L140" s="169">
        <v>0</v>
      </c>
      <c r="M140" s="170"/>
      <c r="N140" s="170"/>
      <c r="O140" s="170"/>
      <c r="P140" s="171"/>
      <c r="Q140" s="168" t="s">
        <v>122</v>
      </c>
      <c r="R140" s="168"/>
      <c r="S140" s="168"/>
      <c r="T140" s="168"/>
      <c r="U140" s="168" t="s">
        <v>122</v>
      </c>
      <c r="V140" s="168"/>
      <c r="W140" s="168"/>
      <c r="X140" s="168"/>
      <c r="Y140" s="168" t="s">
        <v>122</v>
      </c>
      <c r="Z140" s="168"/>
      <c r="AA140" s="168"/>
      <c r="AB140" s="168" t="s">
        <v>122</v>
      </c>
      <c r="AC140" s="168"/>
      <c r="AD140" s="168"/>
      <c r="AE140" s="168"/>
      <c r="AF140" s="168" t="s">
        <v>122</v>
      </c>
      <c r="AG140" s="168"/>
      <c r="AH140" s="168"/>
      <c r="AI140" s="168"/>
      <c r="AJ140" s="168" t="s">
        <v>122</v>
      </c>
      <c r="AK140" s="168"/>
      <c r="AL140" s="168"/>
      <c r="AM140" s="168" t="s">
        <v>122</v>
      </c>
      <c r="AN140" s="168"/>
      <c r="AO140" s="168"/>
      <c r="AP140" s="168"/>
    </row>
  </sheetData>
  <mergeCells count="182">
    <mergeCell ref="O112:Q112"/>
    <mergeCell ref="T117:V117"/>
    <mergeCell ref="T118:V118"/>
    <mergeCell ref="O78:Q78"/>
    <mergeCell ref="O79:Q79"/>
    <mergeCell ref="S81:U81"/>
    <mergeCell ref="S82:U82"/>
    <mergeCell ref="Q99:AA99"/>
    <mergeCell ref="Q100:T100"/>
    <mergeCell ref="U100:X100"/>
    <mergeCell ref="M59:O59"/>
    <mergeCell ref="I64:K64"/>
    <mergeCell ref="Q70:S70"/>
    <mergeCell ref="AK70:AL70"/>
    <mergeCell ref="R66:U66"/>
    <mergeCell ref="K20:M20"/>
    <mergeCell ref="K21:M21"/>
    <mergeCell ref="K22:M22"/>
    <mergeCell ref="AC14:AE14"/>
    <mergeCell ref="AC15:AE15"/>
    <mergeCell ref="U16:V16"/>
    <mergeCell ref="X17:Z17"/>
    <mergeCell ref="D18:F18"/>
    <mergeCell ref="D19:F19"/>
    <mergeCell ref="K14:M14"/>
    <mergeCell ref="K15:M15"/>
    <mergeCell ref="K16:M16"/>
    <mergeCell ref="K17:M17"/>
    <mergeCell ref="K18:M18"/>
    <mergeCell ref="K19:M19"/>
    <mergeCell ref="D14:F14"/>
    <mergeCell ref="D15:F15"/>
    <mergeCell ref="D16:F16"/>
    <mergeCell ref="D17:F17"/>
    <mergeCell ref="L135:P135"/>
    <mergeCell ref="L136:P136"/>
    <mergeCell ref="B39:F39"/>
    <mergeCell ref="B40:F40"/>
    <mergeCell ref="B43:F43"/>
    <mergeCell ref="B41:F41"/>
    <mergeCell ref="B42:F42"/>
    <mergeCell ref="C99:K100"/>
    <mergeCell ref="I72:J72"/>
    <mergeCell ref="B32:F32"/>
    <mergeCell ref="B33:F33"/>
    <mergeCell ref="B34:F34"/>
    <mergeCell ref="B35:F35"/>
    <mergeCell ref="B36:F36"/>
    <mergeCell ref="B37:F37"/>
    <mergeCell ref="B38:F38"/>
    <mergeCell ref="AA27:AC27"/>
    <mergeCell ref="G32:X32"/>
    <mergeCell ref="Y32:AB32"/>
    <mergeCell ref="AC32:AH32"/>
    <mergeCell ref="AB99:AL99"/>
    <mergeCell ref="AB100:AE100"/>
    <mergeCell ref="AF100:AI100"/>
    <mergeCell ref="AJ100:AL100"/>
    <mergeCell ref="Y100:AA100"/>
    <mergeCell ref="L99:P99"/>
    <mergeCell ref="L100:P100"/>
    <mergeCell ref="L101:P101"/>
    <mergeCell ref="AJ102:AL102"/>
    <mergeCell ref="L102:P102"/>
    <mergeCell ref="L103:P103"/>
    <mergeCell ref="L104:P104"/>
    <mergeCell ref="AJ101:AL101"/>
    <mergeCell ref="Q101:T101"/>
    <mergeCell ref="U101:X101"/>
    <mergeCell ref="Y101:AA101"/>
    <mergeCell ref="AB101:AE101"/>
    <mergeCell ref="AF101:AI101"/>
    <mergeCell ref="AB102:AE102"/>
    <mergeCell ref="L106:P106"/>
    <mergeCell ref="L107:P107"/>
    <mergeCell ref="L108:P108"/>
    <mergeCell ref="L105:P105"/>
    <mergeCell ref="AF102:AI102"/>
    <mergeCell ref="AJ103:AL103"/>
    <mergeCell ref="Q103:T103"/>
    <mergeCell ref="U103:X103"/>
    <mergeCell ref="Y103:AA103"/>
    <mergeCell ref="AB103:AE103"/>
    <mergeCell ref="AF103:AI103"/>
    <mergeCell ref="Q102:T102"/>
    <mergeCell ref="U102:X102"/>
    <mergeCell ref="Y102:AA102"/>
    <mergeCell ref="U104:X104"/>
    <mergeCell ref="Y104:AA104"/>
    <mergeCell ref="AB104:AE104"/>
    <mergeCell ref="AF104:AI104"/>
    <mergeCell ref="AJ107:AL107"/>
    <mergeCell ref="Q107:T107"/>
    <mergeCell ref="U105:X105"/>
    <mergeCell ref="Y105:AA105"/>
    <mergeCell ref="AB106:AE106"/>
    <mergeCell ref="AF106:AI106"/>
    <mergeCell ref="AJ106:AL106"/>
    <mergeCell ref="Q106:T106"/>
    <mergeCell ref="U106:X106"/>
    <mergeCell ref="Y106:AA106"/>
    <mergeCell ref="AJ108:AL108"/>
    <mergeCell ref="Q108:T108"/>
    <mergeCell ref="U108:X108"/>
    <mergeCell ref="Y108:AA108"/>
    <mergeCell ref="U107:X107"/>
    <mergeCell ref="Y107:AA107"/>
    <mergeCell ref="AB108:AE108"/>
    <mergeCell ref="AF108:AI108"/>
    <mergeCell ref="AB107:AE107"/>
    <mergeCell ref="AF107:AI107"/>
    <mergeCell ref="C106:K106"/>
    <mergeCell ref="C107:K107"/>
    <mergeCell ref="C108:K108"/>
    <mergeCell ref="C101:K101"/>
    <mergeCell ref="C102:K102"/>
    <mergeCell ref="C103:K103"/>
    <mergeCell ref="C104:K104"/>
    <mergeCell ref="AM102:AP102"/>
    <mergeCell ref="AM103:AP103"/>
    <mergeCell ref="AM104:AP104"/>
    <mergeCell ref="C105:K105"/>
    <mergeCell ref="AB105:AE105"/>
    <mergeCell ref="AF105:AI105"/>
    <mergeCell ref="AJ105:AL105"/>
    <mergeCell ref="Q105:T105"/>
    <mergeCell ref="AJ104:AL104"/>
    <mergeCell ref="Q104:T104"/>
    <mergeCell ref="C135:K136"/>
    <mergeCell ref="Q135:AA135"/>
    <mergeCell ref="AB135:AL135"/>
    <mergeCell ref="AM135:AP135"/>
    <mergeCell ref="Q136:T136"/>
    <mergeCell ref="U136:X136"/>
    <mergeCell ref="Y136:AA136"/>
    <mergeCell ref="AB136:AE136"/>
    <mergeCell ref="Y137:AA137"/>
    <mergeCell ref="AB137:AE137"/>
    <mergeCell ref="AF137:AI137"/>
    <mergeCell ref="AM99:AP99"/>
    <mergeCell ref="AM100:AP100"/>
    <mergeCell ref="AM105:AP105"/>
    <mergeCell ref="AM106:AP106"/>
    <mergeCell ref="AM107:AP107"/>
    <mergeCell ref="AM108:AP108"/>
    <mergeCell ref="AM101:AP101"/>
    <mergeCell ref="AM138:AP138"/>
    <mergeCell ref="AF136:AI136"/>
    <mergeCell ref="AJ136:AL136"/>
    <mergeCell ref="AM136:AP136"/>
    <mergeCell ref="AJ137:AL137"/>
    <mergeCell ref="Y139:AA139"/>
    <mergeCell ref="L139:P139"/>
    <mergeCell ref="AM137:AP137"/>
    <mergeCell ref="C138:K138"/>
    <mergeCell ref="Q138:T138"/>
    <mergeCell ref="U138:X138"/>
    <mergeCell ref="Y138:AA138"/>
    <mergeCell ref="AB138:AE138"/>
    <mergeCell ref="AF138:AI138"/>
    <mergeCell ref="AJ138:AL138"/>
    <mergeCell ref="AB139:AE139"/>
    <mergeCell ref="AF139:AI139"/>
    <mergeCell ref="AJ139:AL139"/>
    <mergeCell ref="AM139:AP139"/>
    <mergeCell ref="AM140:AP140"/>
    <mergeCell ref="Y140:AA140"/>
    <mergeCell ref="AB140:AE140"/>
    <mergeCell ref="AF140:AI140"/>
    <mergeCell ref="AJ140:AL140"/>
    <mergeCell ref="C140:K140"/>
    <mergeCell ref="Q140:T140"/>
    <mergeCell ref="U140:X140"/>
    <mergeCell ref="L140:P140"/>
    <mergeCell ref="C139:K139"/>
    <mergeCell ref="Q139:T139"/>
    <mergeCell ref="U139:X139"/>
    <mergeCell ref="C137:K137"/>
    <mergeCell ref="Q137:T137"/>
    <mergeCell ref="U137:X137"/>
    <mergeCell ref="L137:P137"/>
    <mergeCell ref="L138:P138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101"/>
  <sheetViews>
    <sheetView workbookViewId="0" topLeftCell="A85">
      <selection activeCell="A85" sqref="A1:IV16384"/>
    </sheetView>
  </sheetViews>
  <sheetFormatPr defaultColWidth="8.88671875" defaultRowHeight="22.5" customHeight="1"/>
  <cols>
    <col min="1" max="16384" width="1.77734375" style="3" customWidth="1"/>
  </cols>
  <sheetData>
    <row r="1" spans="1:6" ht="22.5" customHeight="1">
      <c r="A1" s="90" t="s">
        <v>205</v>
      </c>
      <c r="B1" s="1"/>
      <c r="C1" s="2"/>
      <c r="D1" s="2"/>
      <c r="E1" s="2"/>
      <c r="F1" s="2"/>
    </row>
    <row r="2" spans="1:8" s="7" customFormat="1" ht="22.5" customHeight="1">
      <c r="A2" s="158" t="s">
        <v>206</v>
      </c>
      <c r="D2" s="10"/>
      <c r="E2" s="10"/>
      <c r="F2" s="10"/>
      <c r="H2" s="137" t="s">
        <v>81</v>
      </c>
    </row>
    <row r="3" spans="1:26" s="7" customFormat="1" ht="22.5" customHeight="1">
      <c r="A3" s="10"/>
      <c r="B3" s="10" t="s">
        <v>93</v>
      </c>
      <c r="C3" s="10"/>
      <c r="D3" s="10"/>
      <c r="E3" s="10"/>
      <c r="F3" s="10"/>
      <c r="H3" s="10"/>
      <c r="J3" s="10"/>
      <c r="K3" s="9" t="str">
        <f>IF(AF4&lt;3,"( 單純版 )","( 連続版 )")</f>
        <v>( 連続版 )</v>
      </c>
      <c r="L3" s="10"/>
      <c r="M3" s="10"/>
      <c r="N3" s="10"/>
      <c r="O3" s="10"/>
      <c r="Q3" s="98"/>
      <c r="R3" s="98"/>
      <c r="S3" s="70"/>
      <c r="U3" s="85"/>
      <c r="W3" s="98"/>
      <c r="Y3" s="99"/>
      <c r="Z3" s="123" t="s">
        <v>207</v>
      </c>
    </row>
    <row r="4" spans="1:33" s="7" customFormat="1" ht="22.5" customHeight="1">
      <c r="A4" s="10"/>
      <c r="C4" s="11" t="s">
        <v>95</v>
      </c>
      <c r="D4" s="10"/>
      <c r="E4" s="10"/>
      <c r="F4" s="10"/>
      <c r="G4" s="10"/>
      <c r="H4" s="10"/>
      <c r="M4" s="10" t="s">
        <v>96</v>
      </c>
      <c r="N4" s="10"/>
      <c r="O4" s="224">
        <v>1.6</v>
      </c>
      <c r="P4" s="164"/>
      <c r="Q4" s="164"/>
      <c r="R4" s="164"/>
      <c r="S4" s="10" t="s">
        <v>1</v>
      </c>
      <c r="T4" s="99"/>
      <c r="U4" s="85"/>
      <c r="W4" s="85" t="s">
        <v>208</v>
      </c>
      <c r="X4" s="85"/>
      <c r="Y4" s="85"/>
      <c r="Z4" s="85"/>
      <c r="AA4" s="85"/>
      <c r="AB4" s="85"/>
      <c r="AC4" s="85"/>
      <c r="AD4" s="85" t="s">
        <v>209</v>
      </c>
      <c r="AE4" s="85"/>
      <c r="AF4" s="225">
        <v>4</v>
      </c>
      <c r="AG4" s="163"/>
    </row>
    <row r="5" spans="1:37" s="7" customFormat="1" ht="22.5" customHeight="1">
      <c r="A5" s="10"/>
      <c r="C5" s="2" t="s">
        <v>88</v>
      </c>
      <c r="F5" s="10"/>
      <c r="G5" s="10"/>
      <c r="H5" s="10"/>
      <c r="I5" s="10"/>
      <c r="J5" s="10"/>
      <c r="P5" s="158" t="s">
        <v>89</v>
      </c>
      <c r="S5" s="10"/>
      <c r="T5" s="10"/>
      <c r="U5" s="10"/>
      <c r="W5" s="10" t="s">
        <v>90</v>
      </c>
      <c r="X5" s="85"/>
      <c r="Y5" s="85"/>
      <c r="Z5" s="85"/>
      <c r="AA5" s="85"/>
      <c r="AJ5" s="10"/>
      <c r="AK5" s="10"/>
    </row>
    <row r="6" spans="1:47" s="7" customFormat="1" ht="22.5" customHeight="1">
      <c r="A6" s="10"/>
      <c r="C6" s="9" t="str">
        <f>IF(AF4&lt;3,"do = (40·L + 110) =","do = (30·L + 110) =")</f>
        <v>do = (30·L + 110) =</v>
      </c>
      <c r="D6" s="10"/>
      <c r="E6" s="10"/>
      <c r="F6" s="10"/>
      <c r="G6" s="10"/>
      <c r="L6" s="10" t="str">
        <f>IF(AF4&lt;3,"{(40×"&amp;O4&amp;") + 110} = "&amp;ROUND((40*O4+110),0)&amp;" mm &gt; 160 mm","{(30×"&amp;O4&amp;") + 110} = "&amp;ROUND((30*O4+110),0)&amp;" mm &gt; 160 mm")</f>
        <v>{(30×1.6) + 110} = 158 mm &gt; 160 mm</v>
      </c>
      <c r="W6" s="10"/>
      <c r="X6" s="85"/>
      <c r="AG6" s="10"/>
      <c r="AH6" s="10"/>
      <c r="AI6" s="10"/>
      <c r="AJ6" s="10"/>
      <c r="AK6" s="10"/>
      <c r="AL6" s="10"/>
      <c r="AM6" s="10"/>
      <c r="AN6" s="10"/>
      <c r="AP6" s="10"/>
      <c r="AQ6" s="10"/>
      <c r="AR6" s="10"/>
      <c r="AS6" s="10"/>
      <c r="AT6" s="10"/>
      <c r="AU6" s="10"/>
    </row>
    <row r="7" spans="1:37" s="7" customFormat="1" ht="22.5" customHeight="1">
      <c r="A7" s="10"/>
      <c r="C7" s="10" t="s">
        <v>97</v>
      </c>
      <c r="D7" s="10"/>
      <c r="E7" s="10"/>
      <c r="F7" s="10"/>
      <c r="J7" s="101">
        <f>AB8</f>
        <v>1.25</v>
      </c>
      <c r="K7" s="77"/>
      <c r="L7" s="77"/>
      <c r="M7" s="102" t="s">
        <v>98</v>
      </c>
      <c r="N7" s="101">
        <f>AL11</f>
        <v>1</v>
      </c>
      <c r="O7" s="77"/>
      <c r="P7" s="77"/>
      <c r="Q7" s="102" t="s">
        <v>98</v>
      </c>
      <c r="R7" s="103">
        <f>IF(AF4&lt;3,ROUND((40*O4+110),0),ROUND((30*O4+110),0))</f>
        <v>158</v>
      </c>
      <c r="S7" s="78"/>
      <c r="T7" s="78"/>
      <c r="U7" s="102" t="s">
        <v>99</v>
      </c>
      <c r="V7" s="103">
        <f>ROUND(J7*N7*R7,-1)</f>
        <v>200</v>
      </c>
      <c r="W7" s="78"/>
      <c r="X7" s="103"/>
      <c r="Y7" s="10" t="s">
        <v>100</v>
      </c>
      <c r="AA7" s="102" t="s">
        <v>101</v>
      </c>
      <c r="AC7" s="206">
        <f>L13*100</f>
        <v>25</v>
      </c>
      <c r="AD7" s="206"/>
      <c r="AE7" s="206"/>
      <c r="AF7" s="85" t="s">
        <v>102</v>
      </c>
      <c r="AG7" s="10"/>
      <c r="AJ7" s="10" t="str">
        <f>IF(V7&lt;=AC7*10,"O.K.","N.G.")</f>
        <v>O.K.</v>
      </c>
      <c r="AK7" s="10"/>
    </row>
    <row r="8" spans="1:58" s="7" customFormat="1" ht="22.5" customHeight="1">
      <c r="A8" s="10"/>
      <c r="C8" s="10" t="s">
        <v>13</v>
      </c>
      <c r="D8" s="10"/>
      <c r="G8" s="2" t="s">
        <v>14</v>
      </c>
      <c r="Y8" s="10" t="s">
        <v>103</v>
      </c>
      <c r="AB8" s="103">
        <f>IF(P5="500未満",1.1,IF(P5="500以上1000未満",1.15,IF(P5="1000以上2000未満",1.2,IF(P5="2000以上",1.25,"入力確認要望"))))</f>
        <v>1.25</v>
      </c>
      <c r="AC8" s="78"/>
      <c r="AD8" s="10" t="s">
        <v>104</v>
      </c>
      <c r="AN8" s="10"/>
      <c r="AP8" s="10"/>
      <c r="AQ8" s="10"/>
      <c r="AR8" s="10"/>
      <c r="AS8" s="10"/>
      <c r="AT8" s="10"/>
      <c r="AU8" s="10"/>
      <c r="AV8" s="10"/>
      <c r="AW8" s="10"/>
      <c r="AY8" s="10"/>
      <c r="BB8" s="10"/>
      <c r="BC8" s="10"/>
      <c r="BD8" s="10"/>
      <c r="BE8" s="10"/>
      <c r="BF8" s="85"/>
    </row>
    <row r="9" spans="1:58" s="7" customFormat="1" ht="22.5" customHeight="1">
      <c r="A9" s="10"/>
      <c r="C9" s="104"/>
      <c r="D9" s="10"/>
      <c r="E9" s="10"/>
      <c r="G9" s="2" t="s">
        <v>105</v>
      </c>
      <c r="AN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BA9" s="10"/>
      <c r="BB9" s="10"/>
      <c r="BC9" s="10"/>
      <c r="BD9" s="10"/>
      <c r="BE9" s="10"/>
      <c r="BF9" s="85"/>
    </row>
    <row r="10" spans="1:58" s="7" customFormat="1" ht="22.5" customHeight="1">
      <c r="A10" s="10"/>
      <c r="C10" s="104"/>
      <c r="D10" s="10"/>
      <c r="E10" s="10"/>
      <c r="G10" s="7" t="s">
        <v>210</v>
      </c>
      <c r="AU10" s="10"/>
      <c r="AV10" s="10"/>
      <c r="AW10" s="10"/>
      <c r="AX10" s="10"/>
      <c r="AY10" s="10"/>
      <c r="BA10" s="10"/>
      <c r="BB10" s="10"/>
      <c r="BC10" s="10"/>
      <c r="BD10" s="10"/>
      <c r="BE10" s="10"/>
      <c r="BF10" s="85"/>
    </row>
    <row r="11" spans="1:58" s="7" customFormat="1" ht="22.5" customHeight="1">
      <c r="A11" s="10"/>
      <c r="C11" s="104"/>
      <c r="D11" s="10"/>
      <c r="E11" s="10"/>
      <c r="H11" s="7" t="s">
        <v>99</v>
      </c>
      <c r="I11" s="105">
        <v>0.9</v>
      </c>
      <c r="J11" s="105"/>
      <c r="K11" s="7" t="s">
        <v>98</v>
      </c>
      <c r="L11" s="7" t="s">
        <v>211</v>
      </c>
      <c r="N11" s="79">
        <f>L68</f>
        <v>22.40914285714286</v>
      </c>
      <c r="O11" s="79"/>
      <c r="P11" s="79"/>
      <c r="Q11" s="79"/>
      <c r="R11" s="80" t="s">
        <v>116</v>
      </c>
      <c r="S11" s="79">
        <f>L67</f>
        <v>22.40914285714286</v>
      </c>
      <c r="T11" s="79"/>
      <c r="U11" s="79"/>
      <c r="V11" s="79"/>
      <c r="W11" s="7" t="s">
        <v>104</v>
      </c>
      <c r="X11" s="7" t="s">
        <v>99</v>
      </c>
      <c r="Y11" s="77">
        <f>0.9*SQRT(N11/S11)</f>
        <v>0.9</v>
      </c>
      <c r="Z11" s="77"/>
      <c r="AA11" s="77"/>
      <c r="AB11" s="223" t="str">
        <f>IF(Y11&gt;=1,"≥","＜")</f>
        <v>＜</v>
      </c>
      <c r="AC11" s="223"/>
      <c r="AD11" s="77">
        <v>1</v>
      </c>
      <c r="AE11" s="77"/>
      <c r="AF11" s="77"/>
      <c r="AH11" s="102" t="s">
        <v>101</v>
      </c>
      <c r="AJ11" s="7" t="s">
        <v>212</v>
      </c>
      <c r="AL11" s="77">
        <f>IF(Y11&gt;=1,Y11,1)</f>
        <v>1</v>
      </c>
      <c r="AM11" s="77"/>
      <c r="AN11" s="77"/>
      <c r="AR11" s="10"/>
      <c r="AS11" s="10"/>
      <c r="AT11" s="10"/>
      <c r="AU11" s="10"/>
      <c r="AV11" s="10"/>
      <c r="AW11" s="10"/>
      <c r="AX11" s="10"/>
      <c r="AY11" s="10"/>
      <c r="BA11" s="10"/>
      <c r="BB11" s="10"/>
      <c r="BC11" s="10"/>
      <c r="BD11" s="10"/>
      <c r="BE11" s="10"/>
      <c r="BF11" s="85"/>
    </row>
    <row r="12" spans="1:33" s="7" customFormat="1" ht="22.5" customHeight="1">
      <c r="A12" s="10"/>
      <c r="B12" s="11" t="s">
        <v>107</v>
      </c>
      <c r="C12" s="11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92"/>
      <c r="Z12" s="92"/>
      <c r="AA12" s="92"/>
      <c r="AB12" s="92"/>
      <c r="AC12" s="92"/>
      <c r="AD12" s="92"/>
      <c r="AE12" s="92"/>
      <c r="AF12" s="92"/>
      <c r="AG12" s="92"/>
    </row>
    <row r="13" spans="1:33" s="7" customFormat="1" ht="22.5" customHeight="1">
      <c r="A13" s="10"/>
      <c r="B13" s="11"/>
      <c r="C13" s="11" t="s">
        <v>213</v>
      </c>
      <c r="D13" s="85"/>
      <c r="E13" s="85"/>
      <c r="F13" s="85"/>
      <c r="L13" s="226">
        <v>0.25</v>
      </c>
      <c r="M13" s="164"/>
      <c r="N13" s="164"/>
      <c r="O13" s="10" t="s">
        <v>1</v>
      </c>
      <c r="Q13" s="102" t="s">
        <v>98</v>
      </c>
      <c r="S13" s="227">
        <v>24.5</v>
      </c>
      <c r="T13" s="202"/>
      <c r="U13" s="202"/>
      <c r="V13" s="10" t="s">
        <v>80</v>
      </c>
      <c r="W13" s="85"/>
      <c r="X13" s="85"/>
      <c r="Y13" s="92"/>
      <c r="AB13" s="7" t="s">
        <v>99</v>
      </c>
      <c r="AC13" s="79">
        <f>L13*S13</f>
        <v>6.125</v>
      </c>
      <c r="AD13" s="79"/>
      <c r="AE13" s="79"/>
      <c r="AF13" s="79"/>
      <c r="AG13" s="7" t="s">
        <v>133</v>
      </c>
    </row>
    <row r="14" spans="1:35" s="7" customFormat="1" ht="22.5" customHeight="1">
      <c r="A14" s="10"/>
      <c r="B14" s="11"/>
      <c r="C14" s="131" t="s">
        <v>214</v>
      </c>
      <c r="D14" s="108"/>
      <c r="E14" s="108"/>
      <c r="F14" s="108"/>
      <c r="G14" s="107"/>
      <c r="H14" s="107"/>
      <c r="I14" s="107"/>
      <c r="J14" s="107"/>
      <c r="K14" s="107"/>
      <c r="L14" s="228">
        <v>0.08</v>
      </c>
      <c r="M14" s="229"/>
      <c r="N14" s="229"/>
      <c r="O14" s="108" t="s">
        <v>1</v>
      </c>
      <c r="P14" s="107"/>
      <c r="Q14" s="109" t="s">
        <v>98</v>
      </c>
      <c r="R14" s="107"/>
      <c r="S14" s="230">
        <v>22.5</v>
      </c>
      <c r="T14" s="231"/>
      <c r="U14" s="231"/>
      <c r="V14" s="108" t="s">
        <v>80</v>
      </c>
      <c r="W14" s="108"/>
      <c r="X14" s="108"/>
      <c r="Y14" s="107"/>
      <c r="Z14" s="107"/>
      <c r="AA14" s="107"/>
      <c r="AB14" s="107" t="s">
        <v>99</v>
      </c>
      <c r="AC14" s="110">
        <f>L14*S14</f>
        <v>1.8</v>
      </c>
      <c r="AD14" s="110"/>
      <c r="AE14" s="110"/>
      <c r="AF14" s="110"/>
      <c r="AG14" s="107" t="s">
        <v>133</v>
      </c>
      <c r="AH14" s="107"/>
      <c r="AI14" s="107"/>
    </row>
    <row r="15" spans="1:33" s="7" customFormat="1" ht="22.5" customHeight="1">
      <c r="A15" s="10"/>
      <c r="B15" s="11"/>
      <c r="C15" s="11" t="s">
        <v>215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W15" s="85"/>
      <c r="X15" s="85"/>
      <c r="Y15" s="92"/>
      <c r="Z15" s="92" t="s">
        <v>216</v>
      </c>
      <c r="AB15" s="92"/>
      <c r="AC15" s="79">
        <f>SUM(AC13:AC14)</f>
        <v>7.925</v>
      </c>
      <c r="AD15" s="79"/>
      <c r="AE15" s="79"/>
      <c r="AF15" s="79"/>
      <c r="AG15" s="7" t="s">
        <v>133</v>
      </c>
    </row>
    <row r="16" spans="1:33" s="7" customFormat="1" ht="22.5" customHeight="1">
      <c r="A16" s="10"/>
      <c r="B16" s="11"/>
      <c r="C16" s="11" t="s">
        <v>217</v>
      </c>
      <c r="D16" s="85"/>
      <c r="E16" s="85"/>
      <c r="F16" s="78" t="s">
        <v>21</v>
      </c>
      <c r="G16" s="78"/>
      <c r="H16" s="70"/>
      <c r="I16" s="111" t="s">
        <v>116</v>
      </c>
      <c r="J16" s="111">
        <f>IF(AF4&lt;3,8,14)</f>
        <v>14</v>
      </c>
      <c r="K16" s="70"/>
      <c r="L16" s="85" t="s">
        <v>99</v>
      </c>
      <c r="M16" s="79">
        <f>AC15</f>
        <v>7.925</v>
      </c>
      <c r="N16" s="79"/>
      <c r="O16" s="79"/>
      <c r="P16" s="79"/>
      <c r="Q16" s="102" t="s">
        <v>98</v>
      </c>
      <c r="R16" s="112">
        <f>O4</f>
        <v>1.6</v>
      </c>
      <c r="S16" s="79"/>
      <c r="T16" s="79"/>
      <c r="U16" s="78"/>
      <c r="V16" s="113" t="s">
        <v>116</v>
      </c>
      <c r="W16" s="111">
        <f>J16</f>
        <v>14</v>
      </c>
      <c r="X16" s="70"/>
      <c r="Y16" s="92" t="s">
        <v>99</v>
      </c>
      <c r="Z16" s="106">
        <f>M16*R16^2/W16</f>
        <v>1.4491428571428575</v>
      </c>
      <c r="AA16" s="106"/>
      <c r="AB16" s="106"/>
      <c r="AC16" s="106"/>
      <c r="AD16" s="7" t="s">
        <v>18</v>
      </c>
      <c r="AG16" s="92"/>
    </row>
    <row r="17" spans="1:33" s="7" customFormat="1" ht="22.5" customHeight="1">
      <c r="A17" s="10"/>
      <c r="B17" s="10"/>
      <c r="C17" s="10"/>
      <c r="D17" s="10"/>
      <c r="H17" s="79"/>
      <c r="I17" s="79"/>
      <c r="J17" s="79"/>
      <c r="K17" s="79"/>
      <c r="L17" s="80"/>
      <c r="M17" s="79"/>
      <c r="N17" s="79"/>
      <c r="O17" s="79"/>
      <c r="P17" s="79"/>
      <c r="Q17" s="85"/>
      <c r="R17" s="79"/>
      <c r="S17" s="79"/>
      <c r="T17" s="79"/>
      <c r="U17" s="79"/>
      <c r="V17" s="85"/>
      <c r="W17" s="79"/>
      <c r="X17" s="79"/>
      <c r="Y17" s="79"/>
      <c r="Z17" s="79"/>
      <c r="AA17" s="85"/>
      <c r="AG17" s="85"/>
    </row>
    <row r="18" spans="1:24" s="7" customFormat="1" ht="22.5" customHeight="1">
      <c r="A18" s="10"/>
      <c r="B18" s="11" t="s">
        <v>119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85"/>
      <c r="X18" s="85"/>
    </row>
    <row r="19" spans="1:33" ht="22.5" customHeight="1">
      <c r="A19" s="2"/>
      <c r="B19" s="11"/>
      <c r="C19" s="2" t="s">
        <v>218</v>
      </c>
      <c r="F19" s="2"/>
      <c r="G19" s="2"/>
      <c r="H19" s="200" t="s">
        <v>84</v>
      </c>
      <c r="I19" s="164"/>
      <c r="J19" s="2" t="s">
        <v>85</v>
      </c>
      <c r="K19" s="2"/>
      <c r="L19" s="2"/>
      <c r="M19" s="2"/>
      <c r="N19" s="2"/>
      <c r="O19" s="2"/>
      <c r="P19" s="2"/>
      <c r="Q19" s="2"/>
      <c r="R19" s="2"/>
      <c r="S19" s="2"/>
      <c r="T19" s="2" t="s">
        <v>86</v>
      </c>
      <c r="W19" s="2"/>
      <c r="X19" s="2"/>
      <c r="Y19" s="2"/>
      <c r="Z19" s="2"/>
      <c r="AB19" s="201">
        <v>100</v>
      </c>
      <c r="AC19" s="201"/>
      <c r="AD19" s="201"/>
      <c r="AE19" s="2" t="s">
        <v>87</v>
      </c>
      <c r="AG19" s="8"/>
    </row>
    <row r="20" spans="1:33" ht="22.5" customHeight="1">
      <c r="A20" s="2"/>
      <c r="B20" s="11"/>
      <c r="C20" s="2">
        <f>IF(H2="(一般部)","","T荷重(衝撃を含む)による設計曲げモーメントとして8.2.4に規定する値の２倍を用いるものとする。")</f>
      </c>
      <c r="F20" s="2"/>
      <c r="G20" s="2"/>
      <c r="H20" s="18"/>
      <c r="I20" s="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W20" s="2"/>
      <c r="X20" s="2"/>
      <c r="Y20" s="2"/>
      <c r="Z20" s="2"/>
      <c r="AB20" s="96"/>
      <c r="AC20" s="96"/>
      <c r="AD20" s="96"/>
      <c r="AE20" s="2"/>
      <c r="AG20" s="8"/>
    </row>
    <row r="21" spans="1:24" ht="22.5" customHeight="1">
      <c r="A21" s="2"/>
      <c r="B21" s="58" t="s">
        <v>120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1"/>
      <c r="X21" s="11"/>
    </row>
    <row r="22" spans="1:24" ht="22.5" customHeight="1">
      <c r="A22" s="2"/>
      <c r="B22" s="58"/>
      <c r="C22" s="2" t="s">
        <v>219</v>
      </c>
      <c r="D22" s="2"/>
      <c r="E22" s="2"/>
      <c r="F22" s="2"/>
      <c r="G22" s="2"/>
      <c r="H22" s="2"/>
      <c r="I22" s="2"/>
      <c r="J22" s="2"/>
      <c r="K22" s="2"/>
      <c r="L22" s="2"/>
      <c r="M22" s="2"/>
      <c r="O22" s="2" t="str">
        <f>IF(O4&lt;=2.5,"(L ≤ 2.5 m )","( 2.5 &lt; L ≤ 4.0 m )")</f>
        <v>(L ≤ 2.5 m )</v>
      </c>
      <c r="P22" s="2"/>
      <c r="Q22" s="2"/>
      <c r="R22" s="2"/>
      <c r="S22" s="2"/>
      <c r="T22" s="2"/>
      <c r="U22" s="2"/>
      <c r="V22" s="2"/>
      <c r="W22" s="11"/>
      <c r="X22" s="11"/>
    </row>
    <row r="23" spans="1:24" ht="22.5" customHeight="1">
      <c r="A23" s="2"/>
      <c r="B23" s="58"/>
      <c r="C23" s="2" t="s">
        <v>220</v>
      </c>
      <c r="D23" s="2"/>
      <c r="E23" s="2"/>
      <c r="F23" s="2" t="str">
        <f>IF(O4&lt;=2.5,"1.0","1.0 + ( L - 2.5 ) / 12 = "&amp;ROUND(1+(O4-2.5)/12,2))</f>
        <v>1.0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S23" s="2"/>
      <c r="T23" s="2"/>
      <c r="U23" s="2"/>
      <c r="V23" s="2"/>
      <c r="W23" s="11"/>
      <c r="X23" s="11"/>
    </row>
    <row r="24" spans="1:24" ht="22.5" customHeight="1">
      <c r="A24" s="2"/>
      <c r="C24" s="2" t="str">
        <f>IF(AND(H19="B",AF4&lt;3),IF(H2="(一般部)","Ml = ( 0.12 L ＋ 0.07 ) P × λ","Ml = ( 0.12 L ＋ 0.07 ) P × λ × 2"),IF(AND(H19="A",AF4&gt;=3),IF(H2="(一般部)","Ml = ( 0.12 L ＋ 0.07 ) P × λ × 0.80 × 0.80","Ml = ( 0.12 L ＋ 0.07 ) P × λ × 0.80 × 0.80 × 2"),IF(H2="(一般部)","Ml = ( 0.12 L ＋ 0.07 ) P × λ × 0.80","Ml = ( 0.12 L ＋ 0.07 ) P × λ × 0.80 × 2")))</f>
        <v>Ml = ( 0.12 L ＋ 0.07 ) P × λ × 0.80</v>
      </c>
      <c r="D24" s="5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2"/>
      <c r="S24" s="2"/>
      <c r="T24" s="2"/>
      <c r="U24" s="16"/>
      <c r="V24" s="11"/>
      <c r="W24" s="17" t="s">
        <v>221</v>
      </c>
      <c r="X24" s="2"/>
    </row>
    <row r="25" spans="4:39" ht="22.5" customHeight="1">
      <c r="D25" s="19" t="s">
        <v>99</v>
      </c>
      <c r="E25" s="3" t="s">
        <v>123</v>
      </c>
      <c r="F25" s="61">
        <v>0.12</v>
      </c>
      <c r="G25" s="61"/>
      <c r="H25" s="61"/>
      <c r="I25" s="2" t="s">
        <v>98</v>
      </c>
      <c r="J25" s="5">
        <f>O4</f>
        <v>1.6</v>
      </c>
      <c r="K25" s="6"/>
      <c r="L25" s="6"/>
      <c r="M25" s="3" t="s">
        <v>124</v>
      </c>
      <c r="N25" s="61">
        <v>0.07</v>
      </c>
      <c r="O25" s="61"/>
      <c r="P25" s="61"/>
      <c r="Q25" s="3" t="s">
        <v>104</v>
      </c>
      <c r="R25" s="2" t="s">
        <v>98</v>
      </c>
      <c r="S25" s="60">
        <f>AB19</f>
        <v>100</v>
      </c>
      <c r="T25" s="6"/>
      <c r="U25" s="6"/>
      <c r="V25" s="2" t="s">
        <v>98</v>
      </c>
      <c r="W25" s="124">
        <f>IF(O4&lt;=2.5,1,ROUND(1+(O4-2.5)/12,2))</f>
        <v>1</v>
      </c>
      <c r="X25" s="61"/>
      <c r="Y25" s="61"/>
      <c r="Z25" s="3" t="str">
        <f>IF(AND(H19="B",AF4&lt;3),IF(H2="(一般部)","","× 2"),IF(AND(H19="A",AF4&gt;=3),IF(H2="(一般部)","× 0.80 × 0.80","× 0.80 × 0.80 × 2"),IF(H2="(一般部)","× 0.80","× 0.80 × 2")))</f>
        <v>× 0.80</v>
      </c>
      <c r="AC25" s="61"/>
      <c r="AH25" s="3" t="s">
        <v>99</v>
      </c>
      <c r="AI25" s="55">
        <f>IF(AND(H19="B",AF4&lt;3),IF(H2="(一般部)",(F25*J25+N25)*S25*W25,(F25*J25+N25)*S25*W25*2),IF(AND(H19="A",AF4&gt;=3),IF(H2="(一般部)",(F25*J25+N25)*S25*W25*0.8*0.8,(F25*J25+N25)*S25*W25*0.8*0.8*2),IF(H2="(一般部)",(F25*J25+N25)*S25*W25*0.8,(F25*J25+N25)*S25*W25*0.8*2)))</f>
        <v>20.960000000000004</v>
      </c>
      <c r="AJ25" s="55"/>
      <c r="AK25" s="55"/>
      <c r="AL25" s="55"/>
      <c r="AM25" s="3" t="s">
        <v>18</v>
      </c>
    </row>
    <row r="26" spans="2:8" ht="22.5" customHeight="1">
      <c r="B26" s="58" t="s">
        <v>222</v>
      </c>
      <c r="H26" s="2"/>
    </row>
    <row r="27" spans="2:14" s="7" customFormat="1" ht="22.5" customHeight="1">
      <c r="B27" s="10"/>
      <c r="C27" s="10" t="str">
        <f>IF(AF4&lt;3,IF(H2="(一般部)","Ml = ( 0.10 L ＋ 0.04 ) P","Ml = ( 0.10 L ＋ 0.04 ) P × 2"),IF(H2="(一般部)","Ml = ( 0.10 L ＋ 0.04 ) P × 0.8","Ml = ( 0.10 L ＋ 0.04 ) P × 0.8 × 2"))</f>
        <v>Ml = ( 0.10 L ＋ 0.04 ) P × 0.8</v>
      </c>
      <c r="D27" s="125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4:39" s="7" customFormat="1" ht="22.5" customHeight="1">
      <c r="D28" s="102" t="s">
        <v>99</v>
      </c>
      <c r="E28" s="7" t="s">
        <v>123</v>
      </c>
      <c r="F28" s="77">
        <v>0.1</v>
      </c>
      <c r="G28" s="77"/>
      <c r="H28" s="77"/>
      <c r="I28" s="10" t="s">
        <v>98</v>
      </c>
      <c r="J28" s="126">
        <f>O4</f>
        <v>1.6</v>
      </c>
      <c r="K28" s="78"/>
      <c r="L28" s="78"/>
      <c r="M28" s="7" t="s">
        <v>124</v>
      </c>
      <c r="N28" s="77">
        <v>0.04</v>
      </c>
      <c r="O28" s="77"/>
      <c r="P28" s="77"/>
      <c r="Q28" s="7" t="s">
        <v>104</v>
      </c>
      <c r="R28" s="10" t="s">
        <v>98</v>
      </c>
      <c r="S28" s="127">
        <f>AB19</f>
        <v>100</v>
      </c>
      <c r="T28" s="77"/>
      <c r="U28" s="77"/>
      <c r="V28" s="7" t="str">
        <f>IF(AND(H19="B",AF4&lt;3),IF(H2="(一般部)","","× 2"),IF(AND(H19="A",AF4&gt;=3),IF(H2="(一般部)","× 0.80 × 0.80","× 0.80 × 0.80 × 2"),IF(H2="(一般部)","× 0.80","× 0.80 × 2")))</f>
        <v>× 0.80</v>
      </c>
      <c r="AH28" s="7" t="s">
        <v>99</v>
      </c>
      <c r="AI28" s="79">
        <f>IF(AND(H19="B",AF4&lt;3),IF(H2="(一般部)",(F28*J28+N28)*S28,(F28*J28+N28)*S28*2),IF(AND(H19="A",AF4&gt;=3),IF(H2="(一般部)",(F28*J28+N28)*S28*0.8*0.8,(F28*J28+N28)*S28*0.8*0.8*2),IF(H2="(一般部)",(F28*J28+N28)*S28*0.8,(F28*J28+N28)*S28*0.8*2)))</f>
        <v>16.000000000000004</v>
      </c>
      <c r="AJ28" s="79"/>
      <c r="AK28" s="79"/>
      <c r="AL28" s="79"/>
      <c r="AM28" s="7" t="s">
        <v>18</v>
      </c>
    </row>
    <row r="29" s="7" customFormat="1" ht="22.5" customHeight="1"/>
    <row r="30" s="7" customFormat="1" ht="22.5" customHeight="1">
      <c r="B30" s="3" t="s">
        <v>223</v>
      </c>
    </row>
    <row r="31" spans="1:28" s="7" customFormat="1" ht="22.5" customHeight="1">
      <c r="A31" s="10"/>
      <c r="B31" s="10"/>
      <c r="C31" s="10" t="s">
        <v>139</v>
      </c>
      <c r="D31" s="10"/>
      <c r="E31" s="10"/>
      <c r="F31" s="10"/>
      <c r="G31" s="10"/>
      <c r="H31" s="10"/>
      <c r="I31" s="10"/>
      <c r="J31" s="158" t="s">
        <v>40</v>
      </c>
      <c r="K31" s="10"/>
      <c r="L31" s="126"/>
      <c r="M31" s="78"/>
      <c r="N31" s="10"/>
      <c r="Y31" s="10"/>
      <c r="Z31" s="10"/>
      <c r="AA31" s="10"/>
      <c r="AB31" s="10"/>
    </row>
    <row r="32" spans="3:38" s="7" customFormat="1" ht="22.5" customHeight="1">
      <c r="C32" s="10" t="s">
        <v>140</v>
      </c>
      <c r="D32" s="9"/>
      <c r="E32" s="10"/>
      <c r="F32" s="10"/>
      <c r="G32" s="10"/>
      <c r="H32" s="10"/>
      <c r="I32" s="10"/>
      <c r="J32" s="79"/>
      <c r="K32" s="79"/>
      <c r="N32" s="147" t="s">
        <v>141</v>
      </c>
      <c r="O32" s="103"/>
      <c r="Q32" s="203">
        <v>24</v>
      </c>
      <c r="R32" s="163"/>
      <c r="S32" s="163"/>
      <c r="T32" s="10" t="s">
        <v>142</v>
      </c>
      <c r="U32" s="85"/>
      <c r="W32" s="145" t="s">
        <v>143</v>
      </c>
      <c r="Y32" s="145"/>
      <c r="Z32" s="145"/>
      <c r="AA32" s="145"/>
      <c r="AB32" s="145"/>
      <c r="AC32" s="145"/>
      <c r="AD32" s="145"/>
      <c r="AE32" s="145"/>
      <c r="AF32" s="73"/>
      <c r="AG32" s="73"/>
      <c r="AI32" s="159" t="s">
        <v>224</v>
      </c>
      <c r="AJ32" s="145"/>
      <c r="AK32" s="204">
        <v>7</v>
      </c>
      <c r="AL32" s="204"/>
    </row>
    <row r="33" spans="3:33" s="7" customFormat="1" ht="22.5" customHeight="1">
      <c r="C33" s="7" t="s">
        <v>225</v>
      </c>
      <c r="N33" s="147" t="s">
        <v>226</v>
      </c>
      <c r="Q33" s="147" t="s">
        <v>227</v>
      </c>
      <c r="R33" s="70"/>
      <c r="S33" s="70"/>
      <c r="T33" s="128">
        <f>IF(J31="合成",3.5,IF(J31="非合成",3,"ERROR"))</f>
        <v>3</v>
      </c>
      <c r="U33" s="128"/>
      <c r="V33" s="129" t="s">
        <v>228</v>
      </c>
      <c r="W33" s="127">
        <f>Q32</f>
        <v>24</v>
      </c>
      <c r="X33" s="127"/>
      <c r="Y33" s="80" t="s">
        <v>229</v>
      </c>
      <c r="Z33" s="128">
        <f>T33</f>
        <v>3</v>
      </c>
      <c r="AA33" s="128"/>
      <c r="AB33" s="7" t="s">
        <v>228</v>
      </c>
      <c r="AC33" s="77">
        <f>W33/Z33</f>
        <v>8</v>
      </c>
      <c r="AD33" s="77"/>
      <c r="AE33" s="77"/>
      <c r="AF33" s="10" t="s">
        <v>230</v>
      </c>
      <c r="AG33" s="85"/>
    </row>
    <row r="34" spans="3:26" s="7" customFormat="1" ht="22.5" customHeight="1">
      <c r="C34" s="145" t="s">
        <v>231</v>
      </c>
      <c r="D34" s="145"/>
      <c r="E34" s="145"/>
      <c r="F34" s="145"/>
      <c r="G34" s="145" t="s">
        <v>232</v>
      </c>
      <c r="H34" s="145"/>
      <c r="I34" s="204">
        <v>295</v>
      </c>
      <c r="J34" s="204"/>
      <c r="K34" s="145" t="s">
        <v>233</v>
      </c>
      <c r="N34" s="147" t="s">
        <v>234</v>
      </c>
      <c r="O34" s="145"/>
      <c r="Q34" s="70">
        <v>140</v>
      </c>
      <c r="R34" s="70"/>
      <c r="S34" s="70"/>
      <c r="T34" s="130" t="s">
        <v>235</v>
      </c>
      <c r="U34" s="70">
        <v>120</v>
      </c>
      <c r="V34" s="70"/>
      <c r="W34" s="7" t="s">
        <v>233</v>
      </c>
      <c r="X34" s="10" t="s">
        <v>230</v>
      </c>
      <c r="Z34" s="85"/>
    </row>
    <row r="35" spans="3:24" s="7" customFormat="1" ht="22.5" customHeight="1">
      <c r="C35" s="145"/>
      <c r="D35" s="145"/>
      <c r="E35" s="145"/>
      <c r="F35" s="145"/>
      <c r="G35" s="145"/>
      <c r="H35" s="145"/>
      <c r="I35" s="146"/>
      <c r="J35" s="146"/>
      <c r="K35" s="145"/>
      <c r="L35" s="147"/>
      <c r="M35" s="145"/>
      <c r="O35" s="70"/>
      <c r="P35" s="70"/>
      <c r="Q35" s="70"/>
      <c r="R35" s="82" t="s">
        <v>236</v>
      </c>
      <c r="S35" s="70"/>
      <c r="T35" s="70"/>
      <c r="U35" s="70"/>
      <c r="W35" s="10"/>
      <c r="X35" s="85"/>
    </row>
    <row r="36" spans="3:24" ht="22.5" customHeight="1">
      <c r="C36" s="74"/>
      <c r="D36" s="74"/>
      <c r="E36" s="74"/>
      <c r="F36" s="74"/>
      <c r="G36" s="74"/>
      <c r="H36" s="74"/>
      <c r="I36" s="160"/>
      <c r="J36" s="160"/>
      <c r="K36" s="74"/>
      <c r="L36" s="143"/>
      <c r="M36" s="74"/>
      <c r="O36" s="70"/>
      <c r="P36" s="15"/>
      <c r="Q36" s="15"/>
      <c r="S36" s="70"/>
      <c r="T36" s="15"/>
      <c r="U36" s="15"/>
      <c r="W36" s="2"/>
      <c r="X36" s="11"/>
    </row>
    <row r="37" ht="22.5" customHeight="1">
      <c r="C37" s="56" t="s">
        <v>237</v>
      </c>
    </row>
    <row r="38" spans="24:33" s="74" customFormat="1" ht="16.5" customHeight="1">
      <c r="X38" s="74" t="s">
        <v>238</v>
      </c>
      <c r="AB38" s="74" t="s">
        <v>238</v>
      </c>
      <c r="AG38" s="74" t="s">
        <v>238</v>
      </c>
    </row>
    <row r="39" spans="4:25" s="2" customFormat="1" ht="21.75" customHeight="1">
      <c r="D39" s="2" t="s">
        <v>239</v>
      </c>
      <c r="M39" s="74" t="s">
        <v>240</v>
      </c>
      <c r="N39" s="74"/>
      <c r="O39" s="70">
        <f>L13*100</f>
        <v>25</v>
      </c>
      <c r="P39" s="15"/>
      <c r="Q39" s="15"/>
      <c r="R39" s="74" t="s">
        <v>241</v>
      </c>
      <c r="S39" s="11"/>
      <c r="W39" s="11"/>
      <c r="X39" s="11"/>
      <c r="Y39" s="11"/>
    </row>
    <row r="40" spans="4:25" s="2" customFormat="1" ht="21.75" customHeight="1">
      <c r="D40" s="2" t="s">
        <v>242</v>
      </c>
      <c r="M40" s="72" t="s">
        <v>243</v>
      </c>
      <c r="N40" s="68"/>
      <c r="O40" s="70">
        <f>O39-O42</f>
        <v>21</v>
      </c>
      <c r="P40" s="15"/>
      <c r="Q40" s="15"/>
      <c r="R40" s="74" t="s">
        <v>241</v>
      </c>
      <c r="S40" s="11"/>
      <c r="W40" s="11"/>
      <c r="X40" s="11"/>
      <c r="Y40" s="11"/>
    </row>
    <row r="41" spans="4:25" s="2" customFormat="1" ht="21.75" customHeight="1">
      <c r="D41" s="8" t="s">
        <v>244</v>
      </c>
      <c r="E41" s="18"/>
      <c r="F41" s="148"/>
      <c r="G41" s="18"/>
      <c r="H41" s="18"/>
      <c r="M41" s="73" t="s">
        <v>245</v>
      </c>
      <c r="N41" s="68"/>
      <c r="O41" s="203">
        <v>4</v>
      </c>
      <c r="P41" s="163"/>
      <c r="Q41" s="163"/>
      <c r="R41" s="74" t="s">
        <v>241</v>
      </c>
      <c r="S41" s="11"/>
      <c r="W41" s="11"/>
      <c r="X41" s="11"/>
      <c r="Y41" s="11"/>
    </row>
    <row r="42" spans="4:25" s="2" customFormat="1" ht="21.75" customHeight="1">
      <c r="D42" s="8" t="s">
        <v>246</v>
      </c>
      <c r="G42" s="149"/>
      <c r="H42" s="149"/>
      <c r="M42" s="73" t="s">
        <v>247</v>
      </c>
      <c r="N42" s="68"/>
      <c r="O42" s="203">
        <v>4</v>
      </c>
      <c r="P42" s="163"/>
      <c r="Q42" s="163"/>
      <c r="R42" s="74" t="s">
        <v>241</v>
      </c>
      <c r="S42" s="11"/>
      <c r="W42" s="11"/>
      <c r="X42" s="11"/>
      <c r="Y42" s="11"/>
    </row>
    <row r="43" spans="4:18" s="2" customFormat="1" ht="21.75" customHeight="1">
      <c r="D43" s="2" t="s">
        <v>248</v>
      </c>
      <c r="M43" s="18" t="s">
        <v>249</v>
      </c>
      <c r="N43" s="18"/>
      <c r="O43" s="70">
        <v>100</v>
      </c>
      <c r="P43" s="15"/>
      <c r="Q43" s="15"/>
      <c r="R43" s="74" t="s">
        <v>241</v>
      </c>
    </row>
    <row r="44" spans="4:40" s="2" customFormat="1" ht="21.75" customHeight="1">
      <c r="D44" s="74" t="s">
        <v>250</v>
      </c>
      <c r="E44" s="74"/>
      <c r="F44" s="74"/>
      <c r="G44" s="74"/>
      <c r="H44" s="74"/>
      <c r="J44" s="74" t="s">
        <v>19</v>
      </c>
      <c r="K44" s="74"/>
      <c r="L44" s="73">
        <v>19</v>
      </c>
      <c r="M44" s="68"/>
      <c r="N44" s="144"/>
      <c r="O44" s="74"/>
      <c r="P44" s="74" t="s">
        <v>20</v>
      </c>
      <c r="Q44" s="74"/>
      <c r="S44" s="203">
        <v>125</v>
      </c>
      <c r="T44" s="163"/>
      <c r="U44" s="163"/>
      <c r="V44" s="74" t="s">
        <v>251</v>
      </c>
      <c r="Y44" s="74" t="s">
        <v>252</v>
      </c>
      <c r="Z44" s="74"/>
      <c r="AA44" s="74"/>
      <c r="AB44" s="74"/>
      <c r="AC44" s="74"/>
      <c r="AD44" s="74"/>
      <c r="AE44" s="74"/>
      <c r="AH44" s="74" t="s">
        <v>253</v>
      </c>
      <c r="AI44" s="74"/>
      <c r="AJ44" s="75">
        <f>IF(L44=13,1.267*1000/S44,IF(L44=16,1.986*1000/S44,IF(L44=19,2.865*1000/S44,IF(L44=22,3.871*1000/S44,IF(L44=25,5.067*1000/S44,IF(L44=29,6.424*1000/S44,7.942*1000/S44))))))</f>
        <v>22.92</v>
      </c>
      <c r="AK44" s="153"/>
      <c r="AL44" s="153"/>
      <c r="AM44" s="153"/>
      <c r="AN44" s="74" t="s">
        <v>254</v>
      </c>
    </row>
    <row r="45" spans="4:40" s="2" customFormat="1" ht="21.75" customHeight="1">
      <c r="D45" s="74" t="s">
        <v>255</v>
      </c>
      <c r="E45" s="74"/>
      <c r="F45" s="74"/>
      <c r="G45" s="74"/>
      <c r="H45" s="74"/>
      <c r="I45" s="74"/>
      <c r="J45" s="74" t="s">
        <v>19</v>
      </c>
      <c r="K45" s="74"/>
      <c r="L45" s="73">
        <v>19</v>
      </c>
      <c r="M45" s="68"/>
      <c r="N45" s="144"/>
      <c r="O45" s="74"/>
      <c r="P45" s="74" t="s">
        <v>20</v>
      </c>
      <c r="Q45" s="74"/>
      <c r="S45" s="203">
        <v>250</v>
      </c>
      <c r="T45" s="163"/>
      <c r="U45" s="163"/>
      <c r="V45" s="74" t="s">
        <v>251</v>
      </c>
      <c r="X45" s="74"/>
      <c r="Y45" s="74" t="s">
        <v>256</v>
      </c>
      <c r="Z45" s="74"/>
      <c r="AA45" s="74"/>
      <c r="AB45" s="74"/>
      <c r="AC45" s="74"/>
      <c r="AD45" s="74"/>
      <c r="AE45" s="74"/>
      <c r="AH45" s="74" t="s">
        <v>257</v>
      </c>
      <c r="AI45" s="74"/>
      <c r="AJ45" s="75">
        <f>IF(L45=13,1.267*1000/S45,IF(L45=16,1.986*1000/S45,IF(L45=19,2.865*1000/S45,IF(L45=22,3.871*1000/S45,IF(L45=25,5.067*1000/S45,IF(L45=29,6.424*1000/S45,7.942*1000/S45))))))</f>
        <v>11.46</v>
      </c>
      <c r="AK45" s="153"/>
      <c r="AL45" s="153"/>
      <c r="AM45" s="153"/>
      <c r="AN45" s="74" t="s">
        <v>254</v>
      </c>
    </row>
    <row r="46" spans="3:13" s="74" customFormat="1" ht="15.75" customHeight="1">
      <c r="C46" s="74" t="s">
        <v>258</v>
      </c>
      <c r="K46" s="154"/>
      <c r="L46" s="154"/>
      <c r="M46" s="154"/>
    </row>
    <row r="47" spans="4:13" s="74" customFormat="1" ht="15.75" customHeight="1">
      <c r="D47" s="74" t="s">
        <v>259</v>
      </c>
      <c r="K47" s="154"/>
      <c r="L47" s="154"/>
      <c r="M47" s="154"/>
    </row>
    <row r="48" spans="5:13" s="74" customFormat="1" ht="15.75" customHeight="1">
      <c r="E48" s="74" t="str">
        <f>"= -"&amp;$AK$32&amp;"×("&amp;ROUND(AJ44,2)&amp;" + "&amp;ROUND(AJ45,2)&amp;")/100 + √[ {"&amp;$AK$32&amp;"×("&amp;ROUND(AJ44,2)&amp;" + "&amp;ROUND(AJ45,2)&amp;")/100}^2 + 2×"&amp;$AK$32&amp;"×("&amp;O40&amp;"×"&amp;ROUND(AJ44,2)&amp;" + "&amp;O41&amp;"×"&amp;ROUND(AJ45,2)&amp;")/100 ]"</f>
        <v>= -7×(22.92 + 11.46)/100 + √[ {7×(22.92 + 11.46)/100}^2 + 2×7×(21×22.92 + 4×11.46)/100 ]</v>
      </c>
      <c r="K48" s="154"/>
      <c r="L48" s="154"/>
      <c r="M48" s="154"/>
    </row>
    <row r="49" spans="5:13" s="74" customFormat="1" ht="15.75" customHeight="1">
      <c r="E49" s="74" t="s">
        <v>228</v>
      </c>
      <c r="F49" s="61">
        <f>-$AK$32*(AJ44+AJ45)/100+SQRT(($AK$32*(AJ44+AJ45)/100)^2+2*$AK$32*(O40*AJ44+O41*AJ45)/100)</f>
        <v>6.514953875867142</v>
      </c>
      <c r="G49" s="55"/>
      <c r="H49" s="55"/>
      <c r="I49" s="74" t="s">
        <v>241</v>
      </c>
      <c r="K49" s="154"/>
      <c r="L49" s="154"/>
      <c r="M49" s="154"/>
    </row>
    <row r="50" spans="3:13" s="74" customFormat="1" ht="15.75" customHeight="1">
      <c r="C50" s="74" t="s">
        <v>260</v>
      </c>
      <c r="K50" s="154"/>
      <c r="L50" s="154"/>
      <c r="M50" s="154"/>
    </row>
    <row r="51" spans="4:13" s="74" customFormat="1" ht="15.75" customHeight="1">
      <c r="D51" s="74" t="s">
        <v>261</v>
      </c>
      <c r="K51" s="154"/>
      <c r="L51" s="154"/>
      <c r="M51" s="154"/>
    </row>
    <row r="52" spans="5:13" s="74" customFormat="1" ht="15.75" customHeight="1">
      <c r="E52" s="74" t="str">
        <f>"= ( 100 × "&amp;ROUND(F49,2)&amp;" / 2 ) × ( "&amp;O40&amp;" - "&amp;ROUND(F49,2)&amp;" / 3 ) + "&amp;$AK$32&amp;" × "&amp;ROUND(AJ45,2)&amp;" ×( "&amp;ROUND(F49,2)&amp;" - "&amp;O41&amp;" ) / "&amp;ROUND(F49,2)&amp;" ×( "&amp;O40&amp;" - "&amp;O41&amp;" )"</f>
        <v>= ( 100 × 6.51 / 2 ) × ( 21 - 6.51 / 3 ) + 7 × 11.46 ×( 6.51 - 4 ) / 6.51 ×( 21 - 4 )</v>
      </c>
      <c r="K52" s="154"/>
      <c r="L52" s="154"/>
      <c r="M52" s="154"/>
    </row>
    <row r="53" spans="5:13" s="74" customFormat="1" ht="15.75" customHeight="1">
      <c r="E53" s="74" t="s">
        <v>228</v>
      </c>
      <c r="F53" s="155">
        <f>(100*ROUND(F49,2)/2)*(O40-ROUND(F49,2)/3)+$AK$32*AJ45*(ROUND(F49,2)-O41)/ROUND(F49,2)*(O40-O41)</f>
        <v>6654.969516129031</v>
      </c>
      <c r="G53" s="155"/>
      <c r="H53" s="155"/>
      <c r="I53" s="155"/>
      <c r="J53" s="74" t="s">
        <v>262</v>
      </c>
      <c r="K53" s="154"/>
      <c r="L53" s="154"/>
      <c r="M53" s="154"/>
    </row>
    <row r="54" spans="3:13" s="74" customFormat="1" ht="15.75" customHeight="1">
      <c r="C54" s="74" t="s">
        <v>263</v>
      </c>
      <c r="K54" s="154"/>
      <c r="L54" s="154"/>
      <c r="M54" s="154"/>
    </row>
    <row r="55" spans="4:13" s="74" customFormat="1" ht="15.75" customHeight="1">
      <c r="D55" s="74" t="s">
        <v>264</v>
      </c>
      <c r="K55" s="154"/>
      <c r="L55" s="154"/>
      <c r="M55" s="154"/>
    </row>
    <row r="56" spans="4:13" s="74" customFormat="1" ht="16.5" customHeight="1">
      <c r="D56" s="137" t="str">
        <f>"= (1/"&amp;$AK$32&amp;")×( "&amp;ROUND(F49,2)&amp;" / ( "&amp;O40&amp;"- "&amp;ROUND(F49,2)&amp;" ))×"&amp;ROUND(F53,1)</f>
        <v>= (1/7)×( 6.51 / ( 21- 6.51 ))×6655</v>
      </c>
      <c r="K56" s="154"/>
      <c r="L56" s="154"/>
      <c r="M56" s="154"/>
    </row>
    <row r="57" spans="4:13" s="74" customFormat="1" ht="16.5" customHeight="1">
      <c r="D57" s="74" t="s">
        <v>228</v>
      </c>
      <c r="E57" s="155">
        <f>1/$AK$32*(ROUND(F49,2)/(O40-ROUND(F49,2)))*ROUND(F53,1)</f>
        <v>427.1325051759834</v>
      </c>
      <c r="F57" s="155"/>
      <c r="G57" s="155"/>
      <c r="H57" s="155"/>
      <c r="I57" s="74" t="s">
        <v>262</v>
      </c>
      <c r="K57" s="154"/>
      <c r="L57" s="154"/>
      <c r="M57" s="154"/>
    </row>
    <row r="58" spans="11:13" s="74" customFormat="1" ht="16.5" customHeight="1">
      <c r="K58" s="154"/>
      <c r="L58" s="154"/>
      <c r="M58" s="154"/>
    </row>
    <row r="59" spans="3:23" s="74" customFormat="1" ht="16.5" customHeight="1">
      <c r="C59" s="74" t="s">
        <v>265</v>
      </c>
      <c r="K59" s="76" t="s">
        <v>266</v>
      </c>
      <c r="L59" s="154"/>
      <c r="M59" s="154"/>
      <c r="W59" s="156"/>
    </row>
    <row r="60" spans="3:17" s="74" customFormat="1" ht="16.5" customHeight="1">
      <c r="C60" s="74" t="s">
        <v>267</v>
      </c>
      <c r="K60" s="74" t="s">
        <v>268</v>
      </c>
      <c r="L60" s="154"/>
      <c r="M60" s="154"/>
      <c r="Q60" s="74" t="s">
        <v>269</v>
      </c>
    </row>
    <row r="61" spans="11:13" s="74" customFormat="1" ht="16.5" customHeight="1">
      <c r="K61" s="154"/>
      <c r="L61" s="154"/>
      <c r="M61" s="154"/>
    </row>
    <row r="62" spans="1:42" s="74" customFormat="1" ht="16.5" customHeight="1">
      <c r="A62" s="3"/>
      <c r="B62" s="3"/>
      <c r="C62" s="168" t="s">
        <v>270</v>
      </c>
      <c r="D62" s="168"/>
      <c r="E62" s="168"/>
      <c r="F62" s="168"/>
      <c r="G62" s="168"/>
      <c r="H62" s="168"/>
      <c r="I62" s="168"/>
      <c r="J62" s="168"/>
      <c r="K62" s="168"/>
      <c r="L62" s="176" t="s">
        <v>271</v>
      </c>
      <c r="M62" s="177"/>
      <c r="N62" s="177"/>
      <c r="O62" s="177"/>
      <c r="P62" s="178"/>
      <c r="Q62" s="168" t="s">
        <v>272</v>
      </c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 t="s">
        <v>273</v>
      </c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72" t="s">
        <v>274</v>
      </c>
      <c r="AN62" s="173"/>
      <c r="AO62" s="173"/>
      <c r="AP62" s="174"/>
    </row>
    <row r="63" spans="1:42" s="74" customFormat="1" ht="16.5" customHeight="1">
      <c r="A63" s="3"/>
      <c r="B63" s="3"/>
      <c r="C63" s="168"/>
      <c r="D63" s="168"/>
      <c r="E63" s="168"/>
      <c r="F63" s="168"/>
      <c r="G63" s="168"/>
      <c r="H63" s="168"/>
      <c r="I63" s="168"/>
      <c r="J63" s="168"/>
      <c r="K63" s="168"/>
      <c r="L63" s="179" t="s">
        <v>275</v>
      </c>
      <c r="M63" s="180"/>
      <c r="N63" s="180"/>
      <c r="O63" s="180"/>
      <c r="P63" s="181"/>
      <c r="Q63" s="168" t="s">
        <v>276</v>
      </c>
      <c r="R63" s="168"/>
      <c r="S63" s="168"/>
      <c r="T63" s="168"/>
      <c r="U63" s="168" t="s">
        <v>274</v>
      </c>
      <c r="V63" s="168"/>
      <c r="W63" s="168"/>
      <c r="X63" s="168"/>
      <c r="Y63" s="168" t="s">
        <v>277</v>
      </c>
      <c r="Z63" s="168"/>
      <c r="AA63" s="168"/>
      <c r="AB63" s="168" t="s">
        <v>276</v>
      </c>
      <c r="AC63" s="168"/>
      <c r="AD63" s="168"/>
      <c r="AE63" s="168"/>
      <c r="AF63" s="168" t="s">
        <v>274</v>
      </c>
      <c r="AG63" s="168"/>
      <c r="AH63" s="168"/>
      <c r="AI63" s="168"/>
      <c r="AJ63" s="168" t="s">
        <v>277</v>
      </c>
      <c r="AK63" s="168"/>
      <c r="AL63" s="168"/>
      <c r="AM63" s="151" t="s">
        <v>278</v>
      </c>
      <c r="AN63" s="152"/>
      <c r="AO63" s="152"/>
      <c r="AP63" s="134"/>
    </row>
    <row r="64" spans="1:42" s="74" customFormat="1" ht="22.5" customHeight="1">
      <c r="A64" s="3"/>
      <c r="B64" s="3"/>
      <c r="C64" s="167" t="s">
        <v>279</v>
      </c>
      <c r="D64" s="167"/>
      <c r="E64" s="167"/>
      <c r="F64" s="167"/>
      <c r="G64" s="167"/>
      <c r="H64" s="167"/>
      <c r="I64" s="167"/>
      <c r="J64" s="167"/>
      <c r="K64" s="167"/>
      <c r="L64" s="182">
        <f>Z16</f>
        <v>1.4491428571428575</v>
      </c>
      <c r="M64" s="183"/>
      <c r="N64" s="183"/>
      <c r="O64" s="183"/>
      <c r="P64" s="184"/>
      <c r="Q64" s="168" t="s">
        <v>280</v>
      </c>
      <c r="R64" s="168"/>
      <c r="S64" s="168"/>
      <c r="T64" s="168"/>
      <c r="U64" s="168" t="s">
        <v>280</v>
      </c>
      <c r="V64" s="168"/>
      <c r="W64" s="168"/>
      <c r="X64" s="168"/>
      <c r="Y64" s="168" t="s">
        <v>280</v>
      </c>
      <c r="Z64" s="168"/>
      <c r="AA64" s="168"/>
      <c r="AB64" s="168" t="s">
        <v>280</v>
      </c>
      <c r="AC64" s="168"/>
      <c r="AD64" s="168"/>
      <c r="AE64" s="168"/>
      <c r="AF64" s="168" t="s">
        <v>280</v>
      </c>
      <c r="AG64" s="168"/>
      <c r="AH64" s="168"/>
      <c r="AI64" s="168"/>
      <c r="AJ64" s="168" t="s">
        <v>280</v>
      </c>
      <c r="AK64" s="168"/>
      <c r="AL64" s="168"/>
      <c r="AM64" s="168" t="s">
        <v>280</v>
      </c>
      <c r="AN64" s="168"/>
      <c r="AO64" s="168"/>
      <c r="AP64" s="168"/>
    </row>
    <row r="65" spans="1:42" s="74" customFormat="1" ht="22.5" customHeight="1">
      <c r="A65" s="3"/>
      <c r="B65" s="3"/>
      <c r="C65" s="167" t="s">
        <v>281</v>
      </c>
      <c r="D65" s="167"/>
      <c r="E65" s="167"/>
      <c r="F65" s="167"/>
      <c r="G65" s="167"/>
      <c r="H65" s="167"/>
      <c r="I65" s="167"/>
      <c r="J65" s="167"/>
      <c r="K65" s="167"/>
      <c r="L65" s="169">
        <f>AI25</f>
        <v>20.960000000000004</v>
      </c>
      <c r="M65" s="170"/>
      <c r="N65" s="170"/>
      <c r="O65" s="170"/>
      <c r="P65" s="171"/>
      <c r="Q65" s="168" t="s">
        <v>280</v>
      </c>
      <c r="R65" s="168"/>
      <c r="S65" s="168"/>
      <c r="T65" s="168"/>
      <c r="U65" s="168" t="s">
        <v>280</v>
      </c>
      <c r="V65" s="168"/>
      <c r="W65" s="168"/>
      <c r="X65" s="168"/>
      <c r="Y65" s="168" t="s">
        <v>280</v>
      </c>
      <c r="Z65" s="168"/>
      <c r="AA65" s="168"/>
      <c r="AB65" s="168" t="s">
        <v>280</v>
      </c>
      <c r="AC65" s="168"/>
      <c r="AD65" s="168"/>
      <c r="AE65" s="168"/>
      <c r="AF65" s="168" t="s">
        <v>280</v>
      </c>
      <c r="AG65" s="168"/>
      <c r="AH65" s="168"/>
      <c r="AI65" s="168"/>
      <c r="AJ65" s="168" t="s">
        <v>280</v>
      </c>
      <c r="AK65" s="168"/>
      <c r="AL65" s="168"/>
      <c r="AM65" s="168" t="s">
        <v>280</v>
      </c>
      <c r="AN65" s="168"/>
      <c r="AO65" s="168"/>
      <c r="AP65" s="168"/>
    </row>
    <row r="66" spans="1:42" s="145" customFormat="1" ht="22.5" customHeight="1">
      <c r="A66" s="7"/>
      <c r="B66" s="7"/>
      <c r="C66" s="215" t="s">
        <v>282</v>
      </c>
      <c r="D66" s="215"/>
      <c r="E66" s="215"/>
      <c r="F66" s="215"/>
      <c r="G66" s="215"/>
      <c r="H66" s="215"/>
      <c r="I66" s="215"/>
      <c r="J66" s="215"/>
      <c r="K66" s="215"/>
      <c r="L66" s="220">
        <v>0</v>
      </c>
      <c r="M66" s="221"/>
      <c r="N66" s="221"/>
      <c r="O66" s="221"/>
      <c r="P66" s="222"/>
      <c r="Q66" s="210" t="s">
        <v>280</v>
      </c>
      <c r="R66" s="210"/>
      <c r="S66" s="210"/>
      <c r="T66" s="210"/>
      <c r="U66" s="210" t="s">
        <v>280</v>
      </c>
      <c r="V66" s="210"/>
      <c r="W66" s="210"/>
      <c r="X66" s="210"/>
      <c r="Y66" s="210" t="s">
        <v>280</v>
      </c>
      <c r="Z66" s="210"/>
      <c r="AA66" s="210"/>
      <c r="AB66" s="210" t="s">
        <v>280</v>
      </c>
      <c r="AC66" s="210"/>
      <c r="AD66" s="210"/>
      <c r="AE66" s="210"/>
      <c r="AF66" s="210" t="s">
        <v>280</v>
      </c>
      <c r="AG66" s="210"/>
      <c r="AH66" s="210"/>
      <c r="AI66" s="210"/>
      <c r="AJ66" s="210" t="s">
        <v>280</v>
      </c>
      <c r="AK66" s="210"/>
      <c r="AL66" s="210"/>
      <c r="AM66" s="210" t="s">
        <v>280</v>
      </c>
      <c r="AN66" s="210"/>
      <c r="AO66" s="210"/>
      <c r="AP66" s="210"/>
    </row>
    <row r="67" spans="3:42" s="7" customFormat="1" ht="22.5" customHeight="1">
      <c r="C67" s="211" t="s">
        <v>283</v>
      </c>
      <c r="D67" s="211"/>
      <c r="E67" s="211"/>
      <c r="F67" s="211"/>
      <c r="G67" s="211"/>
      <c r="H67" s="211"/>
      <c r="I67" s="211"/>
      <c r="J67" s="211"/>
      <c r="K67" s="211"/>
      <c r="L67" s="216">
        <f>L64+L65</f>
        <v>22.40914285714286</v>
      </c>
      <c r="M67" s="216"/>
      <c r="N67" s="216"/>
      <c r="O67" s="216"/>
      <c r="P67" s="216"/>
      <c r="Q67" s="208">
        <f>ABS(L67)/F53*1000</f>
        <v>3.3672795649674887</v>
      </c>
      <c r="R67" s="208"/>
      <c r="S67" s="208"/>
      <c r="T67" s="208"/>
      <c r="U67" s="208">
        <f>$AC$33</f>
        <v>8</v>
      </c>
      <c r="V67" s="208"/>
      <c r="W67" s="208"/>
      <c r="X67" s="208"/>
      <c r="Y67" s="207" t="str">
        <f>IF(Q67&lt;=U67,"O.K.","N.G.")</f>
        <v>O.K.</v>
      </c>
      <c r="Z67" s="207"/>
      <c r="AA67" s="207"/>
      <c r="AB67" s="208">
        <f>ABS(L67)/E57*1000</f>
        <v>52.46414774242022</v>
      </c>
      <c r="AC67" s="208"/>
      <c r="AD67" s="208"/>
      <c r="AE67" s="208"/>
      <c r="AF67" s="209">
        <f>$U$34</f>
        <v>120</v>
      </c>
      <c r="AG67" s="209"/>
      <c r="AH67" s="209"/>
      <c r="AI67" s="209"/>
      <c r="AJ67" s="207" t="str">
        <f>IF(AB67&lt;=AF67,"O.K.","N.G.")</f>
        <v>O.K.</v>
      </c>
      <c r="AK67" s="207"/>
      <c r="AL67" s="207"/>
      <c r="AM67" s="208">
        <v>1</v>
      </c>
      <c r="AN67" s="208"/>
      <c r="AO67" s="208"/>
      <c r="AP67" s="208"/>
    </row>
    <row r="68" spans="3:42" s="7" customFormat="1" ht="22.5" customHeight="1">
      <c r="C68" s="211" t="s">
        <v>284</v>
      </c>
      <c r="D68" s="211"/>
      <c r="E68" s="211"/>
      <c r="F68" s="211"/>
      <c r="G68" s="211"/>
      <c r="H68" s="211"/>
      <c r="I68" s="211"/>
      <c r="J68" s="211"/>
      <c r="K68" s="211"/>
      <c r="L68" s="216">
        <f>L67+L66</f>
        <v>22.40914285714286</v>
      </c>
      <c r="M68" s="216"/>
      <c r="N68" s="216"/>
      <c r="O68" s="216"/>
      <c r="P68" s="216"/>
      <c r="Q68" s="208">
        <f>ABS(L68)/F53*1000</f>
        <v>3.3672795649674887</v>
      </c>
      <c r="R68" s="208"/>
      <c r="S68" s="208"/>
      <c r="T68" s="208"/>
      <c r="U68" s="208">
        <f>$AC$33</f>
        <v>8</v>
      </c>
      <c r="V68" s="208"/>
      <c r="W68" s="208"/>
      <c r="X68" s="208"/>
      <c r="Y68" s="207" t="str">
        <f>IF(Q68&lt;=U68,"O.K.","N.G.")</f>
        <v>O.K.</v>
      </c>
      <c r="Z68" s="207"/>
      <c r="AA68" s="207"/>
      <c r="AB68" s="208">
        <f>ABS(L68)/E57*1000</f>
        <v>52.46414774242022</v>
      </c>
      <c r="AC68" s="208"/>
      <c r="AD68" s="208"/>
      <c r="AE68" s="208"/>
      <c r="AF68" s="209">
        <f>$Q$34</f>
        <v>140</v>
      </c>
      <c r="AG68" s="209"/>
      <c r="AH68" s="209"/>
      <c r="AI68" s="209"/>
      <c r="AJ68" s="207" t="str">
        <f>IF(AB68&lt;=AF68,"O.K.","N.G.")</f>
        <v>O.K.</v>
      </c>
      <c r="AK68" s="207"/>
      <c r="AL68" s="207"/>
      <c r="AM68" s="208">
        <v>1</v>
      </c>
      <c r="AN68" s="208"/>
      <c r="AO68" s="208"/>
      <c r="AP68" s="208"/>
    </row>
    <row r="69" spans="49:74" ht="22.5" customHeight="1"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</row>
    <row r="70" ht="22.5" customHeight="1">
      <c r="C70" s="56" t="s">
        <v>285</v>
      </c>
    </row>
    <row r="71" spans="24:33" s="74" customFormat="1" ht="16.5" customHeight="1">
      <c r="X71" s="74" t="s">
        <v>238</v>
      </c>
      <c r="AB71" s="74" t="s">
        <v>238</v>
      </c>
      <c r="AG71" s="74" t="s">
        <v>238</v>
      </c>
    </row>
    <row r="72" spans="4:25" s="2" customFormat="1" ht="21.75" customHeight="1">
      <c r="D72" s="2" t="s">
        <v>239</v>
      </c>
      <c r="M72" s="74" t="s">
        <v>240</v>
      </c>
      <c r="N72" s="74"/>
      <c r="O72" s="70">
        <f>O39</f>
        <v>25</v>
      </c>
      <c r="P72" s="15"/>
      <c r="Q72" s="15"/>
      <c r="R72" s="74" t="s">
        <v>241</v>
      </c>
      <c r="S72" s="11"/>
      <c r="W72" s="11"/>
      <c r="X72" s="11"/>
      <c r="Y72" s="11"/>
    </row>
    <row r="73" spans="4:25" s="2" customFormat="1" ht="21.75" customHeight="1">
      <c r="D73" s="2" t="s">
        <v>242</v>
      </c>
      <c r="M73" s="72" t="s">
        <v>243</v>
      </c>
      <c r="N73" s="68"/>
      <c r="O73" s="70">
        <f>O72-O75</f>
        <v>19.25</v>
      </c>
      <c r="P73" s="15"/>
      <c r="Q73" s="15"/>
      <c r="R73" s="74" t="s">
        <v>241</v>
      </c>
      <c r="S73" s="11"/>
      <c r="W73" s="11"/>
      <c r="X73" s="11"/>
      <c r="Y73" s="11"/>
    </row>
    <row r="74" spans="4:25" s="2" customFormat="1" ht="21.75" customHeight="1">
      <c r="D74" s="8" t="s">
        <v>244</v>
      </c>
      <c r="E74" s="18"/>
      <c r="F74" s="148"/>
      <c r="G74" s="18"/>
      <c r="H74" s="18"/>
      <c r="M74" s="73" t="s">
        <v>245</v>
      </c>
      <c r="N74" s="68"/>
      <c r="O74" s="70">
        <f>O41+(L44+L77)/10/2</f>
        <v>5.75</v>
      </c>
      <c r="P74" s="15"/>
      <c r="Q74" s="15"/>
      <c r="R74" s="74" t="s">
        <v>241</v>
      </c>
      <c r="S74" s="11"/>
      <c r="W74" s="11"/>
      <c r="X74" s="11"/>
      <c r="Y74" s="11"/>
    </row>
    <row r="75" spans="4:25" s="2" customFormat="1" ht="21.75" customHeight="1">
      <c r="D75" s="8" t="s">
        <v>246</v>
      </c>
      <c r="G75" s="149"/>
      <c r="H75" s="149"/>
      <c r="M75" s="73" t="s">
        <v>247</v>
      </c>
      <c r="N75" s="68"/>
      <c r="O75" s="70">
        <f>O42+(L45+L78)/10/2</f>
        <v>5.75</v>
      </c>
      <c r="P75" s="15"/>
      <c r="Q75" s="15"/>
      <c r="R75" s="74" t="s">
        <v>241</v>
      </c>
      <c r="S75" s="11"/>
      <c r="W75" s="11"/>
      <c r="X75" s="11"/>
      <c r="Y75" s="11"/>
    </row>
    <row r="76" spans="4:18" s="2" customFormat="1" ht="21.75" customHeight="1">
      <c r="D76" s="2" t="s">
        <v>248</v>
      </c>
      <c r="M76" s="18" t="s">
        <v>249</v>
      </c>
      <c r="N76" s="18"/>
      <c r="O76" s="70">
        <v>100</v>
      </c>
      <c r="P76" s="15"/>
      <c r="Q76" s="15"/>
      <c r="R76" s="74" t="s">
        <v>241</v>
      </c>
    </row>
    <row r="77" spans="4:40" s="2" customFormat="1" ht="21.75" customHeight="1">
      <c r="D77" s="74" t="s">
        <v>250</v>
      </c>
      <c r="E77" s="74"/>
      <c r="F77" s="74"/>
      <c r="G77" s="74"/>
      <c r="H77" s="74"/>
      <c r="J77" s="74" t="s">
        <v>19</v>
      </c>
      <c r="K77" s="74"/>
      <c r="L77" s="73">
        <v>16</v>
      </c>
      <c r="M77" s="68"/>
      <c r="N77" s="144"/>
      <c r="P77" s="74" t="s">
        <v>20</v>
      </c>
      <c r="R77" s="74"/>
      <c r="S77" s="203">
        <v>125</v>
      </c>
      <c r="T77" s="163"/>
      <c r="U77" s="163"/>
      <c r="V77" s="74" t="s">
        <v>251</v>
      </c>
      <c r="Y77" s="74" t="s">
        <v>252</v>
      </c>
      <c r="Z77" s="74"/>
      <c r="AA77" s="74"/>
      <c r="AB77" s="74"/>
      <c r="AC77" s="74"/>
      <c r="AD77" s="74"/>
      <c r="AF77" s="74"/>
      <c r="AH77" s="74" t="s">
        <v>253</v>
      </c>
      <c r="AI77" s="74"/>
      <c r="AJ77" s="75">
        <f>IF(L77=13,1.267*1000/S77,IF(L77=16,1.986*1000/S77,IF(L77=19,2.865*1000/S77,IF(L77=22,3.871*1000/S77,IF(L77=25,5.067*1000/S77,IF(L77=29,6.424*1000/S77,7.942*1000/S77))))))</f>
        <v>15.888</v>
      </c>
      <c r="AK77" s="153"/>
      <c r="AL77" s="153"/>
      <c r="AM77" s="153"/>
      <c r="AN77" s="74" t="s">
        <v>254</v>
      </c>
    </row>
    <row r="78" spans="4:40" s="2" customFormat="1" ht="21.75" customHeight="1">
      <c r="D78" s="74" t="s">
        <v>255</v>
      </c>
      <c r="E78" s="74"/>
      <c r="F78" s="74"/>
      <c r="G78" s="74"/>
      <c r="H78" s="74"/>
      <c r="I78" s="74"/>
      <c r="J78" s="74" t="s">
        <v>19</v>
      </c>
      <c r="K78" s="74"/>
      <c r="L78" s="73">
        <v>16</v>
      </c>
      <c r="M78" s="68"/>
      <c r="N78" s="144"/>
      <c r="P78" s="74" t="s">
        <v>20</v>
      </c>
      <c r="R78" s="74"/>
      <c r="S78" s="203">
        <v>250</v>
      </c>
      <c r="T78" s="163"/>
      <c r="U78" s="163"/>
      <c r="V78" s="74" t="s">
        <v>251</v>
      </c>
      <c r="W78" s="74"/>
      <c r="Y78" s="74" t="s">
        <v>256</v>
      </c>
      <c r="Z78" s="74"/>
      <c r="AA78" s="74"/>
      <c r="AB78" s="74"/>
      <c r="AC78" s="74"/>
      <c r="AD78" s="74"/>
      <c r="AF78" s="74"/>
      <c r="AH78" s="74" t="s">
        <v>257</v>
      </c>
      <c r="AI78" s="74"/>
      <c r="AJ78" s="75">
        <f>IF(L78=13,1.267*1000/S78,IF(L78=16,1.986*1000/S78,IF(L78=19,2.865*1000/S78,IF(L78=22,3.871*1000/S78,IF(L78=25,5.067*1000/S78,IF(L78=29,6.424*1000/S78,7.942*1000/S78))))))</f>
        <v>7.944</v>
      </c>
      <c r="AK78" s="153"/>
      <c r="AL78" s="153"/>
      <c r="AM78" s="153"/>
      <c r="AN78" s="74" t="s">
        <v>254</v>
      </c>
    </row>
    <row r="79" spans="3:13" s="74" customFormat="1" ht="16.5" customHeight="1">
      <c r="C79" s="74" t="s">
        <v>258</v>
      </c>
      <c r="K79" s="154"/>
      <c r="L79" s="154"/>
      <c r="M79" s="154"/>
    </row>
    <row r="80" spans="4:13" s="74" customFormat="1" ht="16.5" customHeight="1">
      <c r="D80" s="74" t="s">
        <v>259</v>
      </c>
      <c r="K80" s="154"/>
      <c r="L80" s="154"/>
      <c r="M80" s="154"/>
    </row>
    <row r="81" spans="5:13" s="74" customFormat="1" ht="16.5" customHeight="1">
      <c r="E81" s="74" t="str">
        <f>"= -"&amp;$AK$32&amp;"×("&amp;ROUND(AJ77,2)&amp;" + "&amp;ROUND(AJ78,2)&amp;")/100 + √[ {"&amp;$AK$32&amp;"×("&amp;ROUND(AJ77,2)&amp;" + "&amp;ROUND(AJ78,2)&amp;")/100}^2 + 2×"&amp;$AK$32&amp;"×("&amp;O73&amp;"×"&amp;ROUND(AJ77,2)&amp;" + "&amp;O74&amp;"×"&amp;ROUND(AJ78,2)&amp;")/100 ]"</f>
        <v>= -7×(15.89 + 7.94)/100 + √[ {7×(15.89 + 7.94)/100}^2 + 2×7×(19.25×15.89 + 5.75×7.94)/100 ]</v>
      </c>
      <c r="K81" s="154"/>
      <c r="L81" s="154"/>
      <c r="M81" s="154"/>
    </row>
    <row r="82" spans="5:13" s="74" customFormat="1" ht="16.5" customHeight="1">
      <c r="E82" s="74" t="s">
        <v>228</v>
      </c>
      <c r="F82" s="61">
        <f>-$AK$32*(AJ77+AJ78)/100+SQRT(($AK$32*(AJ77+AJ78)/100)^2+2*$AK$32*(O73*AJ77+O74*AJ78)/100)</f>
        <v>5.542592455243985</v>
      </c>
      <c r="G82" s="55"/>
      <c r="H82" s="55"/>
      <c r="I82" s="74" t="s">
        <v>241</v>
      </c>
      <c r="K82" s="154"/>
      <c r="L82" s="154"/>
      <c r="M82" s="154"/>
    </row>
    <row r="83" spans="3:13" s="74" customFormat="1" ht="16.5" customHeight="1">
      <c r="C83" s="74" t="s">
        <v>260</v>
      </c>
      <c r="K83" s="154"/>
      <c r="L83" s="154"/>
      <c r="M83" s="154"/>
    </row>
    <row r="84" spans="4:13" s="74" customFormat="1" ht="16.5" customHeight="1">
      <c r="D84" s="74" t="s">
        <v>261</v>
      </c>
      <c r="K84" s="154"/>
      <c r="L84" s="154"/>
      <c r="M84" s="154"/>
    </row>
    <row r="85" spans="5:13" s="74" customFormat="1" ht="16.5" customHeight="1">
      <c r="E85" s="74" t="str">
        <f>"= ( 100 × "&amp;ROUND(F82,2)&amp;" / 2 ) × ( "&amp;O73&amp;" - "&amp;ROUND(F82,2)&amp;" / 3 ) + "&amp;$AK$32&amp;"×"&amp;ROUND(AJ77,2)&amp;"×( "&amp;ROUND(F82,2)&amp;" - "&amp;O74&amp;" ) / "&amp;ROUND(F82,2)&amp;" ×( "&amp;O73&amp;" - "&amp;O74&amp;" )"</f>
        <v>= ( 100 × 5.54 / 2 ) × ( 19.25 - 5.54 / 3 ) + 7×15.89×( 5.54 - 5.75 ) / 5.54 ×( 19.25 - 5.75 )</v>
      </c>
      <c r="K85" s="154"/>
      <c r="L85" s="154"/>
      <c r="M85" s="154"/>
    </row>
    <row r="86" spans="5:13" s="74" customFormat="1" ht="16.5" customHeight="1">
      <c r="E86" s="74" t="s">
        <v>228</v>
      </c>
      <c r="F86" s="155">
        <f>(100*ROUND(F82,2)/2)*(O73-ROUND(F82,2)/3)+$AK$32*AJ78*(ROUND(F82,2)-O74)/ROUND(F82,2)*(O73-O74)</f>
        <v>4792.26689290012</v>
      </c>
      <c r="G86" s="155"/>
      <c r="H86" s="155"/>
      <c r="I86" s="155"/>
      <c r="J86" s="74" t="s">
        <v>262</v>
      </c>
      <c r="K86" s="154"/>
      <c r="L86" s="154"/>
      <c r="M86" s="154"/>
    </row>
    <row r="87" spans="3:13" s="74" customFormat="1" ht="16.5" customHeight="1">
      <c r="C87" s="74" t="s">
        <v>263</v>
      </c>
      <c r="K87" s="154"/>
      <c r="L87" s="154"/>
      <c r="M87" s="154"/>
    </row>
    <row r="88" spans="4:13" s="74" customFormat="1" ht="16.5" customHeight="1">
      <c r="D88" s="74" t="s">
        <v>264</v>
      </c>
      <c r="K88" s="154"/>
      <c r="L88" s="154"/>
      <c r="M88" s="154"/>
    </row>
    <row r="89" spans="4:13" s="74" customFormat="1" ht="16.5" customHeight="1">
      <c r="D89" s="137" t="str">
        <f>"= (1/"&amp;$AK$32&amp;")×( "&amp;ROUND(F82,2)&amp;" / ( "&amp;O73&amp;"- "&amp;ROUND(F82,2)&amp;" ))×"&amp;ROUND(F86,1)</f>
        <v>= (1/7)×( 5.54 / ( 19.25- 5.54 ))×4792.3</v>
      </c>
      <c r="K89" s="154"/>
      <c r="L89" s="154"/>
      <c r="M89" s="154"/>
    </row>
    <row r="90" spans="4:13" s="74" customFormat="1" ht="16.5" customHeight="1">
      <c r="D90" s="74" t="s">
        <v>228</v>
      </c>
      <c r="E90" s="155">
        <f>1/$AK$32*(ROUND(F82,2)/(O73-ROUND(F82,2)))*ROUND(F86,1)</f>
        <v>276.64209648848595</v>
      </c>
      <c r="F90" s="155"/>
      <c r="G90" s="155"/>
      <c r="H90" s="155"/>
      <c r="I90" s="74" t="s">
        <v>262</v>
      </c>
      <c r="K90" s="154"/>
      <c r="L90" s="154"/>
      <c r="M90" s="154"/>
    </row>
    <row r="91" spans="11:13" s="74" customFormat="1" ht="16.5" customHeight="1">
      <c r="K91" s="154"/>
      <c r="L91" s="154"/>
      <c r="M91" s="154"/>
    </row>
    <row r="92" spans="3:23" s="74" customFormat="1" ht="16.5" customHeight="1">
      <c r="C92" s="74" t="s">
        <v>265</v>
      </c>
      <c r="K92" s="76" t="s">
        <v>266</v>
      </c>
      <c r="L92" s="154"/>
      <c r="M92" s="154"/>
      <c r="W92" s="156"/>
    </row>
    <row r="93" spans="3:17" s="74" customFormat="1" ht="16.5" customHeight="1">
      <c r="C93" s="74" t="s">
        <v>267</v>
      </c>
      <c r="K93" s="74" t="s">
        <v>268</v>
      </c>
      <c r="L93" s="154"/>
      <c r="M93" s="154"/>
      <c r="Q93" s="74" t="s">
        <v>269</v>
      </c>
    </row>
    <row r="94" spans="11:13" s="74" customFormat="1" ht="16.5" customHeight="1">
      <c r="K94" s="154"/>
      <c r="L94" s="154"/>
      <c r="M94" s="154"/>
    </row>
    <row r="95" spans="1:42" s="74" customFormat="1" ht="16.5" customHeight="1">
      <c r="A95" s="3"/>
      <c r="B95" s="3"/>
      <c r="C95" s="168" t="s">
        <v>270</v>
      </c>
      <c r="D95" s="168"/>
      <c r="E95" s="168"/>
      <c r="F95" s="168"/>
      <c r="G95" s="168"/>
      <c r="H95" s="168"/>
      <c r="I95" s="168"/>
      <c r="J95" s="168"/>
      <c r="K95" s="168"/>
      <c r="L95" s="176" t="s">
        <v>271</v>
      </c>
      <c r="M95" s="177"/>
      <c r="N95" s="177"/>
      <c r="O95" s="177"/>
      <c r="P95" s="178"/>
      <c r="Q95" s="168" t="s">
        <v>272</v>
      </c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 t="s">
        <v>273</v>
      </c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72" t="s">
        <v>274</v>
      </c>
      <c r="AN95" s="173"/>
      <c r="AO95" s="173"/>
      <c r="AP95" s="174"/>
    </row>
    <row r="96" spans="1:42" s="74" customFormat="1" ht="16.5" customHeight="1">
      <c r="A96" s="3"/>
      <c r="B96" s="3"/>
      <c r="C96" s="168"/>
      <c r="D96" s="168"/>
      <c r="E96" s="168"/>
      <c r="F96" s="168"/>
      <c r="G96" s="168"/>
      <c r="H96" s="168"/>
      <c r="I96" s="168"/>
      <c r="J96" s="168"/>
      <c r="K96" s="168"/>
      <c r="L96" s="179" t="s">
        <v>275</v>
      </c>
      <c r="M96" s="180"/>
      <c r="N96" s="180"/>
      <c r="O96" s="180"/>
      <c r="P96" s="181"/>
      <c r="Q96" s="168" t="s">
        <v>276</v>
      </c>
      <c r="R96" s="168"/>
      <c r="S96" s="168"/>
      <c r="T96" s="168"/>
      <c r="U96" s="168" t="s">
        <v>274</v>
      </c>
      <c r="V96" s="168"/>
      <c r="W96" s="168"/>
      <c r="X96" s="168"/>
      <c r="Y96" s="168" t="s">
        <v>277</v>
      </c>
      <c r="Z96" s="168"/>
      <c r="AA96" s="168"/>
      <c r="AB96" s="168" t="s">
        <v>276</v>
      </c>
      <c r="AC96" s="168"/>
      <c r="AD96" s="168"/>
      <c r="AE96" s="168"/>
      <c r="AF96" s="168" t="s">
        <v>274</v>
      </c>
      <c r="AG96" s="168"/>
      <c r="AH96" s="168"/>
      <c r="AI96" s="168"/>
      <c r="AJ96" s="168" t="s">
        <v>277</v>
      </c>
      <c r="AK96" s="168"/>
      <c r="AL96" s="168"/>
      <c r="AM96" s="151" t="s">
        <v>278</v>
      </c>
      <c r="AN96" s="152"/>
      <c r="AO96" s="152"/>
      <c r="AP96" s="134"/>
    </row>
    <row r="97" spans="1:42" s="145" customFormat="1" ht="22.5" customHeight="1">
      <c r="A97" s="7"/>
      <c r="B97" s="7"/>
      <c r="C97" s="211" t="s">
        <v>279</v>
      </c>
      <c r="D97" s="211"/>
      <c r="E97" s="211"/>
      <c r="F97" s="211"/>
      <c r="G97" s="211"/>
      <c r="H97" s="211"/>
      <c r="I97" s="211"/>
      <c r="J97" s="211"/>
      <c r="K97" s="211"/>
      <c r="L97" s="217">
        <v>0</v>
      </c>
      <c r="M97" s="218"/>
      <c r="N97" s="218"/>
      <c r="O97" s="218"/>
      <c r="P97" s="219"/>
      <c r="Q97" s="207" t="s">
        <v>280</v>
      </c>
      <c r="R97" s="207"/>
      <c r="S97" s="207"/>
      <c r="T97" s="207"/>
      <c r="U97" s="207" t="s">
        <v>280</v>
      </c>
      <c r="V97" s="207"/>
      <c r="W97" s="207"/>
      <c r="X97" s="207"/>
      <c r="Y97" s="207" t="s">
        <v>280</v>
      </c>
      <c r="Z97" s="207"/>
      <c r="AA97" s="207"/>
      <c r="AB97" s="207" t="s">
        <v>280</v>
      </c>
      <c r="AC97" s="207"/>
      <c r="AD97" s="207"/>
      <c r="AE97" s="207"/>
      <c r="AF97" s="207" t="s">
        <v>280</v>
      </c>
      <c r="AG97" s="207"/>
      <c r="AH97" s="207"/>
      <c r="AI97" s="207"/>
      <c r="AJ97" s="207" t="s">
        <v>280</v>
      </c>
      <c r="AK97" s="207"/>
      <c r="AL97" s="207"/>
      <c r="AM97" s="207" t="s">
        <v>280</v>
      </c>
      <c r="AN97" s="207"/>
      <c r="AO97" s="207"/>
      <c r="AP97" s="207"/>
    </row>
    <row r="98" spans="1:49" s="145" customFormat="1" ht="22.5" customHeight="1">
      <c r="A98" s="7"/>
      <c r="B98" s="7"/>
      <c r="C98" s="211" t="s">
        <v>281</v>
      </c>
      <c r="D98" s="211"/>
      <c r="E98" s="211"/>
      <c r="F98" s="211"/>
      <c r="G98" s="211"/>
      <c r="H98" s="211"/>
      <c r="I98" s="211"/>
      <c r="J98" s="211"/>
      <c r="K98" s="211"/>
      <c r="L98" s="212">
        <f>AI28</f>
        <v>16.000000000000004</v>
      </c>
      <c r="M98" s="213"/>
      <c r="N98" s="213"/>
      <c r="O98" s="213"/>
      <c r="P98" s="214"/>
      <c r="Q98" s="207" t="s">
        <v>280</v>
      </c>
      <c r="R98" s="207"/>
      <c r="S98" s="207"/>
      <c r="T98" s="207"/>
      <c r="U98" s="207" t="s">
        <v>280</v>
      </c>
      <c r="V98" s="207"/>
      <c r="W98" s="207"/>
      <c r="X98" s="207"/>
      <c r="Y98" s="207" t="s">
        <v>280</v>
      </c>
      <c r="Z98" s="207"/>
      <c r="AA98" s="207"/>
      <c r="AB98" s="207" t="s">
        <v>280</v>
      </c>
      <c r="AC98" s="207"/>
      <c r="AD98" s="207"/>
      <c r="AE98" s="207"/>
      <c r="AF98" s="207" t="s">
        <v>280</v>
      </c>
      <c r="AG98" s="207"/>
      <c r="AH98" s="207"/>
      <c r="AI98" s="207"/>
      <c r="AJ98" s="207" t="s">
        <v>280</v>
      </c>
      <c r="AK98" s="207"/>
      <c r="AL98" s="207"/>
      <c r="AM98" s="207" t="s">
        <v>280</v>
      </c>
      <c r="AN98" s="207"/>
      <c r="AO98" s="207"/>
      <c r="AP98" s="207"/>
      <c r="AR98" s="7"/>
      <c r="AS98" s="7"/>
      <c r="AT98" s="7"/>
      <c r="AU98" s="7"/>
      <c r="AV98" s="7"/>
      <c r="AW98" s="7"/>
    </row>
    <row r="99" spans="3:42" s="7" customFormat="1" ht="22.5" customHeight="1">
      <c r="C99" s="215" t="s">
        <v>282</v>
      </c>
      <c r="D99" s="215"/>
      <c r="E99" s="215"/>
      <c r="F99" s="215"/>
      <c r="G99" s="215"/>
      <c r="H99" s="215"/>
      <c r="I99" s="215"/>
      <c r="J99" s="215"/>
      <c r="K99" s="215"/>
      <c r="L99" s="220">
        <v>0</v>
      </c>
      <c r="M99" s="221"/>
      <c r="N99" s="221"/>
      <c r="O99" s="221"/>
      <c r="P99" s="222"/>
      <c r="Q99" s="207" t="s">
        <v>280</v>
      </c>
      <c r="R99" s="207"/>
      <c r="S99" s="207"/>
      <c r="T99" s="207"/>
      <c r="U99" s="207" t="s">
        <v>280</v>
      </c>
      <c r="V99" s="207"/>
      <c r="W99" s="207"/>
      <c r="X99" s="207"/>
      <c r="Y99" s="207" t="s">
        <v>280</v>
      </c>
      <c r="Z99" s="207"/>
      <c r="AA99" s="207"/>
      <c r="AB99" s="207" t="s">
        <v>280</v>
      </c>
      <c r="AC99" s="207"/>
      <c r="AD99" s="207"/>
      <c r="AE99" s="207"/>
      <c r="AF99" s="207" t="s">
        <v>280</v>
      </c>
      <c r="AG99" s="207"/>
      <c r="AH99" s="207"/>
      <c r="AI99" s="207"/>
      <c r="AJ99" s="207" t="s">
        <v>280</v>
      </c>
      <c r="AK99" s="207"/>
      <c r="AL99" s="207"/>
      <c r="AM99" s="207" t="s">
        <v>280</v>
      </c>
      <c r="AN99" s="207"/>
      <c r="AO99" s="207"/>
      <c r="AP99" s="207"/>
    </row>
    <row r="100" spans="3:42" s="7" customFormat="1" ht="22.5" customHeight="1">
      <c r="C100" s="211" t="s">
        <v>283</v>
      </c>
      <c r="D100" s="211"/>
      <c r="E100" s="211"/>
      <c r="F100" s="211"/>
      <c r="G100" s="211"/>
      <c r="H100" s="211"/>
      <c r="I100" s="211"/>
      <c r="J100" s="211"/>
      <c r="K100" s="211"/>
      <c r="L100" s="212">
        <f>L97+L98</f>
        <v>16.000000000000004</v>
      </c>
      <c r="M100" s="213"/>
      <c r="N100" s="213"/>
      <c r="O100" s="213"/>
      <c r="P100" s="214"/>
      <c r="Q100" s="208">
        <f>ABS(L100)/F86*1000</f>
        <v>3.3387122123153157</v>
      </c>
      <c r="R100" s="208"/>
      <c r="S100" s="208"/>
      <c r="T100" s="208"/>
      <c r="U100" s="208">
        <f>$AC$33</f>
        <v>8</v>
      </c>
      <c r="V100" s="208"/>
      <c r="W100" s="208"/>
      <c r="X100" s="208"/>
      <c r="Y100" s="207" t="str">
        <f>IF(Q100&lt;=U100,"O.K.","N.G.")</f>
        <v>O.K.</v>
      </c>
      <c r="Z100" s="207"/>
      <c r="AA100" s="207"/>
      <c r="AB100" s="208">
        <f>ABS(L100)/E90*1000</f>
        <v>57.83646163434109</v>
      </c>
      <c r="AC100" s="208"/>
      <c r="AD100" s="208"/>
      <c r="AE100" s="208"/>
      <c r="AF100" s="209">
        <f>$U$34</f>
        <v>120</v>
      </c>
      <c r="AG100" s="209"/>
      <c r="AH100" s="209"/>
      <c r="AI100" s="209"/>
      <c r="AJ100" s="207" t="str">
        <f>IF(AB100&lt;=AF100,"O.K.","N.G.")</f>
        <v>O.K.</v>
      </c>
      <c r="AK100" s="207"/>
      <c r="AL100" s="207"/>
      <c r="AM100" s="208">
        <v>1</v>
      </c>
      <c r="AN100" s="208"/>
      <c r="AO100" s="208"/>
      <c r="AP100" s="208"/>
    </row>
    <row r="101" spans="3:42" s="7" customFormat="1" ht="22.5" customHeight="1">
      <c r="C101" s="211" t="s">
        <v>284</v>
      </c>
      <c r="D101" s="211"/>
      <c r="E101" s="211"/>
      <c r="F101" s="211"/>
      <c r="G101" s="211"/>
      <c r="H101" s="211"/>
      <c r="I101" s="211"/>
      <c r="J101" s="211"/>
      <c r="K101" s="211"/>
      <c r="L101" s="212">
        <f>L100+L99</f>
        <v>16.000000000000004</v>
      </c>
      <c r="M101" s="213"/>
      <c r="N101" s="213"/>
      <c r="O101" s="213"/>
      <c r="P101" s="214"/>
      <c r="Q101" s="208">
        <f>ABS(L101)/F86*1000</f>
        <v>3.3387122123153157</v>
      </c>
      <c r="R101" s="208"/>
      <c r="S101" s="208"/>
      <c r="T101" s="208"/>
      <c r="U101" s="208">
        <f>$AC$33</f>
        <v>8</v>
      </c>
      <c r="V101" s="208"/>
      <c r="W101" s="208"/>
      <c r="X101" s="208"/>
      <c r="Y101" s="207" t="str">
        <f>IF(Q101&lt;=U101,"O.K.","N.G.")</f>
        <v>O.K.</v>
      </c>
      <c r="Z101" s="207"/>
      <c r="AA101" s="207"/>
      <c r="AB101" s="208">
        <f>ABS(L101)/E90*1000</f>
        <v>57.83646163434109</v>
      </c>
      <c r="AC101" s="208"/>
      <c r="AD101" s="208"/>
      <c r="AE101" s="208"/>
      <c r="AF101" s="209">
        <f>$Q$34</f>
        <v>140</v>
      </c>
      <c r="AG101" s="209"/>
      <c r="AH101" s="209"/>
      <c r="AI101" s="209"/>
      <c r="AJ101" s="207" t="str">
        <f>IF(AB101&lt;=AF101,"O.K.","N.G.")</f>
        <v>O.K.</v>
      </c>
      <c r="AK101" s="207"/>
      <c r="AL101" s="207"/>
      <c r="AM101" s="208">
        <v>1</v>
      </c>
      <c r="AN101" s="208"/>
      <c r="AO101" s="208"/>
      <c r="AP101" s="208"/>
    </row>
    <row r="102" s="7" customFormat="1" ht="22.5" customHeight="1"/>
  </sheetData>
  <mergeCells count="135">
    <mergeCell ref="S77:U77"/>
    <mergeCell ref="S78:U78"/>
    <mergeCell ref="O41:Q41"/>
    <mergeCell ref="O42:Q42"/>
    <mergeCell ref="S44:U44"/>
    <mergeCell ref="S45:U45"/>
    <mergeCell ref="U67:X67"/>
    <mergeCell ref="Q67:T67"/>
    <mergeCell ref="Q65:T65"/>
    <mergeCell ref="U65:X65"/>
    <mergeCell ref="L14:N14"/>
    <mergeCell ref="S14:U14"/>
    <mergeCell ref="H19:I19"/>
    <mergeCell ref="Q32:S32"/>
    <mergeCell ref="O4:R4"/>
    <mergeCell ref="AF4:AG4"/>
    <mergeCell ref="L13:N13"/>
    <mergeCell ref="S13:U13"/>
    <mergeCell ref="AM101:AP101"/>
    <mergeCell ref="AB11:AC11"/>
    <mergeCell ref="L66:P66"/>
    <mergeCell ref="C68:K68"/>
    <mergeCell ref="L68:P68"/>
    <mergeCell ref="Q68:T68"/>
    <mergeCell ref="U68:X68"/>
    <mergeCell ref="Y68:AA68"/>
    <mergeCell ref="AB68:AE68"/>
    <mergeCell ref="AF68:AI68"/>
    <mergeCell ref="AJ68:AL68"/>
    <mergeCell ref="AM68:AP68"/>
    <mergeCell ref="C101:K101"/>
    <mergeCell ref="L101:P101"/>
    <mergeCell ref="Q101:T101"/>
    <mergeCell ref="U101:X101"/>
    <mergeCell ref="Y101:AA101"/>
    <mergeCell ref="AB101:AE101"/>
    <mergeCell ref="AF101:AI101"/>
    <mergeCell ref="AJ101:AL101"/>
    <mergeCell ref="C66:K66"/>
    <mergeCell ref="Q66:T66"/>
    <mergeCell ref="U66:X66"/>
    <mergeCell ref="Y66:AA66"/>
    <mergeCell ref="AB66:AE66"/>
    <mergeCell ref="AF66:AI66"/>
    <mergeCell ref="AJ66:AL66"/>
    <mergeCell ref="L99:P99"/>
    <mergeCell ref="AJ99:AL99"/>
    <mergeCell ref="Q95:AA95"/>
    <mergeCell ref="AB95:AL95"/>
    <mergeCell ref="AB97:AE97"/>
    <mergeCell ref="AF97:AI97"/>
    <mergeCell ref="AJ97:AL97"/>
    <mergeCell ref="L100:P100"/>
    <mergeCell ref="L67:P67"/>
    <mergeCell ref="L95:P95"/>
    <mergeCell ref="L96:P96"/>
    <mergeCell ref="L97:P97"/>
    <mergeCell ref="AM100:AP100"/>
    <mergeCell ref="Y100:AA100"/>
    <mergeCell ref="AB100:AE100"/>
    <mergeCell ref="AF100:AI100"/>
    <mergeCell ref="AJ100:AL100"/>
    <mergeCell ref="C100:K100"/>
    <mergeCell ref="Q100:T100"/>
    <mergeCell ref="U100:X100"/>
    <mergeCell ref="AM98:AP98"/>
    <mergeCell ref="C99:K99"/>
    <mergeCell ref="Q99:T99"/>
    <mergeCell ref="U99:X99"/>
    <mergeCell ref="Y99:AA99"/>
    <mergeCell ref="AB99:AE99"/>
    <mergeCell ref="AF99:AI99"/>
    <mergeCell ref="AM99:AP99"/>
    <mergeCell ref="Y98:AA98"/>
    <mergeCell ref="AB98:AE98"/>
    <mergeCell ref="AF98:AI98"/>
    <mergeCell ref="AJ98:AL98"/>
    <mergeCell ref="AM95:AP95"/>
    <mergeCell ref="Q96:T96"/>
    <mergeCell ref="U96:X96"/>
    <mergeCell ref="AB96:AE96"/>
    <mergeCell ref="AF96:AI96"/>
    <mergeCell ref="Y96:AA96"/>
    <mergeCell ref="AJ96:AL96"/>
    <mergeCell ref="AM96:AP96"/>
    <mergeCell ref="C98:K98"/>
    <mergeCell ref="Q98:T98"/>
    <mergeCell ref="U98:X98"/>
    <mergeCell ref="L98:P98"/>
    <mergeCell ref="C97:K97"/>
    <mergeCell ref="Q97:T97"/>
    <mergeCell ref="U97:X97"/>
    <mergeCell ref="Y97:AA97"/>
    <mergeCell ref="AM97:AP97"/>
    <mergeCell ref="C95:K96"/>
    <mergeCell ref="AM62:AP62"/>
    <mergeCell ref="AM63:AP63"/>
    <mergeCell ref="AM67:AP67"/>
    <mergeCell ref="AM64:AP64"/>
    <mergeCell ref="AM65:AP65"/>
    <mergeCell ref="C67:K67"/>
    <mergeCell ref="C64:K64"/>
    <mergeCell ref="C65:K65"/>
    <mergeCell ref="Q64:T64"/>
    <mergeCell ref="U64:X64"/>
    <mergeCell ref="AM66:AP66"/>
    <mergeCell ref="L65:P65"/>
    <mergeCell ref="AF64:AI64"/>
    <mergeCell ref="Y65:AA65"/>
    <mergeCell ref="AB65:AE65"/>
    <mergeCell ref="AF65:AI65"/>
    <mergeCell ref="L64:P64"/>
    <mergeCell ref="Y64:AA64"/>
    <mergeCell ref="I34:J34"/>
    <mergeCell ref="AJ67:AL67"/>
    <mergeCell ref="AJ65:AL65"/>
    <mergeCell ref="Q63:T63"/>
    <mergeCell ref="U63:X63"/>
    <mergeCell ref="Y63:AA63"/>
    <mergeCell ref="Y67:AA67"/>
    <mergeCell ref="AB67:AE67"/>
    <mergeCell ref="AF67:AI67"/>
    <mergeCell ref="AJ64:AL64"/>
    <mergeCell ref="C62:K63"/>
    <mergeCell ref="L62:P62"/>
    <mergeCell ref="L63:P63"/>
    <mergeCell ref="AF63:AI63"/>
    <mergeCell ref="AB63:AE63"/>
    <mergeCell ref="Q62:AA62"/>
    <mergeCell ref="AB19:AD19"/>
    <mergeCell ref="AB64:AE64"/>
    <mergeCell ref="AC7:AE7"/>
    <mergeCell ref="AB62:AL62"/>
    <mergeCell ref="AJ63:AL63"/>
    <mergeCell ref="AK32:AL32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V101"/>
  <sheetViews>
    <sheetView workbookViewId="0" topLeftCell="A85">
      <selection activeCell="A85" sqref="A1:IV16384"/>
    </sheetView>
  </sheetViews>
  <sheetFormatPr defaultColWidth="8.88671875" defaultRowHeight="22.5" customHeight="1"/>
  <cols>
    <col min="1" max="16384" width="1.77734375" style="3" customWidth="1"/>
  </cols>
  <sheetData>
    <row r="1" spans="1:6" s="89" customFormat="1" ht="22.5" customHeight="1">
      <c r="A1" s="157"/>
      <c r="B1" s="91"/>
      <c r="C1" s="88"/>
      <c r="D1" s="88"/>
      <c r="E1" s="88"/>
      <c r="F1" s="88"/>
    </row>
    <row r="2" spans="1:8" s="7" customFormat="1" ht="22.5" customHeight="1">
      <c r="A2" s="161" t="s">
        <v>286</v>
      </c>
      <c r="D2" s="10"/>
      <c r="E2" s="10"/>
      <c r="F2" s="10"/>
      <c r="H2" s="137" t="s">
        <v>202</v>
      </c>
    </row>
    <row r="3" spans="1:26" s="7" customFormat="1" ht="22.5" customHeight="1">
      <c r="A3" s="10"/>
      <c r="B3" s="10" t="s">
        <v>93</v>
      </c>
      <c r="C3" s="10"/>
      <c r="D3" s="10"/>
      <c r="E3" s="10"/>
      <c r="F3" s="10"/>
      <c r="H3" s="10"/>
      <c r="J3" s="10"/>
      <c r="K3" s="9" t="str">
        <f>IF(AF4&lt;3,"( 單純版 )","( 連続版 )")</f>
        <v>( 連続版 )</v>
      </c>
      <c r="L3" s="10"/>
      <c r="M3" s="10"/>
      <c r="N3" s="10"/>
      <c r="O3" s="10"/>
      <c r="Q3" s="98"/>
      <c r="R3" s="98"/>
      <c r="S3" s="70"/>
      <c r="U3" s="85"/>
      <c r="W3" s="98"/>
      <c r="Y3" s="99"/>
      <c r="Z3" s="123" t="s">
        <v>207</v>
      </c>
    </row>
    <row r="4" spans="1:33" s="7" customFormat="1" ht="22.5" customHeight="1">
      <c r="A4" s="10"/>
      <c r="C4" s="11" t="s">
        <v>95</v>
      </c>
      <c r="D4" s="10"/>
      <c r="E4" s="10"/>
      <c r="F4" s="10"/>
      <c r="G4" s="10"/>
      <c r="H4" s="10"/>
      <c r="M4" s="10" t="s">
        <v>96</v>
      </c>
      <c r="N4" s="10"/>
      <c r="O4" s="224">
        <v>1.6</v>
      </c>
      <c r="P4" s="164"/>
      <c r="Q4" s="164"/>
      <c r="R4" s="164"/>
      <c r="S4" s="10" t="s">
        <v>1</v>
      </c>
      <c r="T4" s="99"/>
      <c r="U4" s="85"/>
      <c r="W4" s="85" t="s">
        <v>208</v>
      </c>
      <c r="X4" s="85"/>
      <c r="Y4" s="85"/>
      <c r="Z4" s="85"/>
      <c r="AA4" s="85"/>
      <c r="AB4" s="85"/>
      <c r="AC4" s="85"/>
      <c r="AD4" s="85" t="s">
        <v>209</v>
      </c>
      <c r="AE4" s="85"/>
      <c r="AF4" s="225">
        <v>4</v>
      </c>
      <c r="AG4" s="163"/>
    </row>
    <row r="5" spans="1:37" s="7" customFormat="1" ht="22.5" customHeight="1">
      <c r="A5" s="10"/>
      <c r="C5" s="2" t="s">
        <v>88</v>
      </c>
      <c r="F5" s="10"/>
      <c r="G5" s="10"/>
      <c r="H5" s="10"/>
      <c r="I5" s="10"/>
      <c r="J5" s="10"/>
      <c r="P5" s="158" t="s">
        <v>89</v>
      </c>
      <c r="S5" s="10"/>
      <c r="T5" s="10"/>
      <c r="U5" s="10"/>
      <c r="W5" s="10" t="s">
        <v>90</v>
      </c>
      <c r="X5" s="85"/>
      <c r="Y5" s="85"/>
      <c r="Z5" s="85"/>
      <c r="AA5" s="85"/>
      <c r="AJ5" s="10"/>
      <c r="AK5" s="10"/>
    </row>
    <row r="6" spans="1:47" s="7" customFormat="1" ht="22.5" customHeight="1">
      <c r="A6" s="10"/>
      <c r="C6" s="9" t="str">
        <f>IF(AF4&lt;3,"do = (40·L + 110) =","do = (30·L + 110) =")</f>
        <v>do = (30·L + 110) =</v>
      </c>
      <c r="D6" s="10"/>
      <c r="E6" s="10"/>
      <c r="F6" s="10"/>
      <c r="G6" s="10"/>
      <c r="L6" s="10" t="str">
        <f>IF(AF4&lt;3,"{(40×"&amp;O4&amp;") + 110} = "&amp;ROUND((40*O4+110),0)&amp;" mm &gt; 160 mm","{(30×"&amp;O4&amp;") + 110} = "&amp;ROUND((30*O4+110),0)&amp;" mm &gt; 160 mm")</f>
        <v>{(30×1.6) + 110} = 158 mm &gt; 160 mm</v>
      </c>
      <c r="W6" s="10"/>
      <c r="X6" s="85"/>
      <c r="AG6" s="10"/>
      <c r="AH6" s="10"/>
      <c r="AI6" s="10"/>
      <c r="AJ6" s="10"/>
      <c r="AK6" s="10"/>
      <c r="AL6" s="10"/>
      <c r="AM6" s="10"/>
      <c r="AN6" s="10"/>
      <c r="AP6" s="10"/>
      <c r="AQ6" s="10"/>
      <c r="AR6" s="10"/>
      <c r="AS6" s="10"/>
      <c r="AT6" s="10"/>
      <c r="AU6" s="10"/>
    </row>
    <row r="7" spans="1:37" s="7" customFormat="1" ht="22.5" customHeight="1">
      <c r="A7" s="10"/>
      <c r="C7" s="10" t="s">
        <v>97</v>
      </c>
      <c r="D7" s="10"/>
      <c r="E7" s="10"/>
      <c r="F7" s="10"/>
      <c r="J7" s="101">
        <f>AB8</f>
        <v>1.25</v>
      </c>
      <c r="K7" s="77"/>
      <c r="L7" s="77"/>
      <c r="M7" s="102" t="s">
        <v>98</v>
      </c>
      <c r="N7" s="101">
        <f>AL11</f>
        <v>1</v>
      </c>
      <c r="O7" s="77"/>
      <c r="P7" s="77"/>
      <c r="Q7" s="102" t="s">
        <v>98</v>
      </c>
      <c r="R7" s="103">
        <f>IF(AF4&lt;3,ROUND((40*O4+110),0),ROUND((30*O4+110),0))</f>
        <v>158</v>
      </c>
      <c r="S7" s="78"/>
      <c r="T7" s="78"/>
      <c r="U7" s="102" t="s">
        <v>99</v>
      </c>
      <c r="V7" s="103">
        <f>ROUND(J7*N7*R7,-1)</f>
        <v>200</v>
      </c>
      <c r="W7" s="78"/>
      <c r="X7" s="103"/>
      <c r="Y7" s="10" t="s">
        <v>100</v>
      </c>
      <c r="AA7" s="102" t="s">
        <v>101</v>
      </c>
      <c r="AC7" s="206">
        <f>L13*100</f>
        <v>30</v>
      </c>
      <c r="AD7" s="206"/>
      <c r="AE7" s="206"/>
      <c r="AF7" s="85" t="s">
        <v>102</v>
      </c>
      <c r="AG7" s="10"/>
      <c r="AJ7" s="10" t="str">
        <f>IF(V7&lt;=AC7*10,"O.K.","N.G.")</f>
        <v>O.K.</v>
      </c>
      <c r="AK7" s="10"/>
    </row>
    <row r="8" spans="1:58" s="7" customFormat="1" ht="22.5" customHeight="1">
      <c r="A8" s="10"/>
      <c r="C8" s="10" t="s">
        <v>13</v>
      </c>
      <c r="D8" s="10"/>
      <c r="G8" s="2" t="s">
        <v>14</v>
      </c>
      <c r="Y8" s="10" t="s">
        <v>103</v>
      </c>
      <c r="AB8" s="103">
        <f>IF(P5="500未満",1.1,IF(P5="500以上1000未満",1.15,IF(P5="1000以上2000未満",1.2,IF(P5="2000以上",1.25,"入力確認要望"))))</f>
        <v>1.25</v>
      </c>
      <c r="AC8" s="78"/>
      <c r="AD8" s="10" t="s">
        <v>104</v>
      </c>
      <c r="AN8" s="10"/>
      <c r="AP8" s="10"/>
      <c r="AQ8" s="10"/>
      <c r="AR8" s="10"/>
      <c r="AS8" s="10"/>
      <c r="AT8" s="10"/>
      <c r="AU8" s="10"/>
      <c r="AV8" s="10"/>
      <c r="AW8" s="10"/>
      <c r="AY8" s="10"/>
      <c r="BB8" s="10"/>
      <c r="BC8" s="10"/>
      <c r="BD8" s="10"/>
      <c r="BE8" s="10"/>
      <c r="BF8" s="85"/>
    </row>
    <row r="9" spans="1:58" s="7" customFormat="1" ht="22.5" customHeight="1">
      <c r="A9" s="10"/>
      <c r="C9" s="104"/>
      <c r="D9" s="10"/>
      <c r="E9" s="10"/>
      <c r="G9" s="2" t="s">
        <v>105</v>
      </c>
      <c r="AN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BA9" s="10"/>
      <c r="BB9" s="10"/>
      <c r="BC9" s="10"/>
      <c r="BD9" s="10"/>
      <c r="BE9" s="10"/>
      <c r="BF9" s="85"/>
    </row>
    <row r="10" spans="1:58" s="7" customFormat="1" ht="22.5" customHeight="1">
      <c r="A10" s="10"/>
      <c r="C10" s="104"/>
      <c r="D10" s="10"/>
      <c r="E10" s="10"/>
      <c r="G10" s="7" t="s">
        <v>210</v>
      </c>
      <c r="AU10" s="10"/>
      <c r="AV10" s="10"/>
      <c r="AW10" s="10"/>
      <c r="AX10" s="10"/>
      <c r="AY10" s="10"/>
      <c r="BA10" s="10"/>
      <c r="BB10" s="10"/>
      <c r="BC10" s="10"/>
      <c r="BD10" s="10"/>
      <c r="BE10" s="10"/>
      <c r="BF10" s="85"/>
    </row>
    <row r="11" spans="1:58" s="7" customFormat="1" ht="22.5" customHeight="1">
      <c r="A11" s="10"/>
      <c r="C11" s="104"/>
      <c r="D11" s="10"/>
      <c r="E11" s="10"/>
      <c r="H11" s="7" t="s">
        <v>99</v>
      </c>
      <c r="I11" s="105">
        <v>0.9</v>
      </c>
      <c r="J11" s="105"/>
      <c r="K11" s="7" t="s">
        <v>98</v>
      </c>
      <c r="L11" s="7" t="s">
        <v>211</v>
      </c>
      <c r="N11" s="79">
        <f>L68</f>
        <v>43.593142857142865</v>
      </c>
      <c r="O11" s="79"/>
      <c r="P11" s="79"/>
      <c r="Q11" s="79"/>
      <c r="R11" s="80" t="s">
        <v>116</v>
      </c>
      <c r="S11" s="79">
        <f>L67</f>
        <v>43.593142857142865</v>
      </c>
      <c r="T11" s="79"/>
      <c r="U11" s="79"/>
      <c r="V11" s="79"/>
      <c r="W11" s="7" t="s">
        <v>104</v>
      </c>
      <c r="X11" s="7" t="s">
        <v>99</v>
      </c>
      <c r="Y11" s="77">
        <f>0.9*SQRT(N11/S11)</f>
        <v>0.9</v>
      </c>
      <c r="Z11" s="77"/>
      <c r="AA11" s="77"/>
      <c r="AB11" s="223" t="str">
        <f>IF(Y11&gt;=1,"≥","＜")</f>
        <v>＜</v>
      </c>
      <c r="AC11" s="223"/>
      <c r="AD11" s="77">
        <v>1</v>
      </c>
      <c r="AE11" s="77"/>
      <c r="AF11" s="77"/>
      <c r="AH11" s="102" t="s">
        <v>101</v>
      </c>
      <c r="AJ11" s="7" t="s">
        <v>212</v>
      </c>
      <c r="AL11" s="77">
        <f>IF(Y11&gt;=1,Y11,1)</f>
        <v>1</v>
      </c>
      <c r="AM11" s="77"/>
      <c r="AN11" s="77"/>
      <c r="AR11" s="10"/>
      <c r="AS11" s="10"/>
      <c r="AT11" s="10"/>
      <c r="AU11" s="10"/>
      <c r="AV11" s="10"/>
      <c r="AW11" s="10"/>
      <c r="AX11" s="10"/>
      <c r="AY11" s="10"/>
      <c r="BA11" s="10"/>
      <c r="BB11" s="10"/>
      <c r="BC11" s="10"/>
      <c r="BD11" s="10"/>
      <c r="BE11" s="10"/>
      <c r="BF11" s="85"/>
    </row>
    <row r="12" spans="1:33" s="7" customFormat="1" ht="22.5" customHeight="1">
      <c r="A12" s="10"/>
      <c r="B12" s="11" t="s">
        <v>107</v>
      </c>
      <c r="C12" s="11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92"/>
      <c r="Z12" s="92"/>
      <c r="AA12" s="92"/>
      <c r="AB12" s="92"/>
      <c r="AC12" s="92"/>
      <c r="AD12" s="92"/>
      <c r="AE12" s="92"/>
      <c r="AF12" s="92"/>
      <c r="AG12" s="92"/>
    </row>
    <row r="13" spans="1:33" s="7" customFormat="1" ht="22.5" customHeight="1">
      <c r="A13" s="10"/>
      <c r="B13" s="11"/>
      <c r="C13" s="11" t="s">
        <v>213</v>
      </c>
      <c r="D13" s="85"/>
      <c r="E13" s="85"/>
      <c r="F13" s="85"/>
      <c r="L13" s="226">
        <v>0.3</v>
      </c>
      <c r="M13" s="164"/>
      <c r="N13" s="164"/>
      <c r="O13" s="10" t="s">
        <v>1</v>
      </c>
      <c r="Q13" s="102" t="s">
        <v>98</v>
      </c>
      <c r="S13" s="227">
        <v>24.5</v>
      </c>
      <c r="T13" s="202"/>
      <c r="U13" s="202"/>
      <c r="V13" s="10" t="s">
        <v>80</v>
      </c>
      <c r="W13" s="85"/>
      <c r="X13" s="85"/>
      <c r="Y13" s="92"/>
      <c r="AB13" s="7" t="s">
        <v>99</v>
      </c>
      <c r="AC13" s="79">
        <f>L13*S13</f>
        <v>7.35</v>
      </c>
      <c r="AD13" s="79"/>
      <c r="AE13" s="79"/>
      <c r="AF13" s="79"/>
      <c r="AG13" s="7" t="s">
        <v>133</v>
      </c>
    </row>
    <row r="14" spans="1:35" s="7" customFormat="1" ht="22.5" customHeight="1">
      <c r="A14" s="10"/>
      <c r="B14" s="11"/>
      <c r="C14" s="131" t="s">
        <v>214</v>
      </c>
      <c r="D14" s="108"/>
      <c r="E14" s="108"/>
      <c r="F14" s="108"/>
      <c r="G14" s="107"/>
      <c r="H14" s="107"/>
      <c r="I14" s="107"/>
      <c r="J14" s="107"/>
      <c r="K14" s="107"/>
      <c r="L14" s="228">
        <v>0.08</v>
      </c>
      <c r="M14" s="229"/>
      <c r="N14" s="229"/>
      <c r="O14" s="108" t="s">
        <v>1</v>
      </c>
      <c r="P14" s="107"/>
      <c r="Q14" s="109" t="s">
        <v>98</v>
      </c>
      <c r="R14" s="107"/>
      <c r="S14" s="230">
        <v>22.5</v>
      </c>
      <c r="T14" s="231"/>
      <c r="U14" s="231"/>
      <c r="V14" s="108" t="s">
        <v>80</v>
      </c>
      <c r="W14" s="108"/>
      <c r="X14" s="108"/>
      <c r="Y14" s="107"/>
      <c r="Z14" s="107"/>
      <c r="AA14" s="107"/>
      <c r="AB14" s="107" t="s">
        <v>99</v>
      </c>
      <c r="AC14" s="110">
        <f>L14*S14</f>
        <v>1.8</v>
      </c>
      <c r="AD14" s="110"/>
      <c r="AE14" s="110"/>
      <c r="AF14" s="110"/>
      <c r="AG14" s="107" t="s">
        <v>133</v>
      </c>
      <c r="AH14" s="107"/>
      <c r="AI14" s="107"/>
    </row>
    <row r="15" spans="1:33" s="7" customFormat="1" ht="22.5" customHeight="1">
      <c r="A15" s="10"/>
      <c r="B15" s="11"/>
      <c r="C15" s="11" t="s">
        <v>215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W15" s="85"/>
      <c r="X15" s="85"/>
      <c r="Y15" s="92"/>
      <c r="Z15" s="92" t="s">
        <v>216</v>
      </c>
      <c r="AB15" s="92"/>
      <c r="AC15" s="79">
        <f>SUM(AC13:AC14)</f>
        <v>9.15</v>
      </c>
      <c r="AD15" s="79"/>
      <c r="AE15" s="79"/>
      <c r="AF15" s="79"/>
      <c r="AG15" s="7" t="s">
        <v>133</v>
      </c>
    </row>
    <row r="16" spans="1:33" s="7" customFormat="1" ht="22.5" customHeight="1">
      <c r="A16" s="10"/>
      <c r="B16" s="11"/>
      <c r="C16" s="11" t="s">
        <v>217</v>
      </c>
      <c r="D16" s="85"/>
      <c r="E16" s="85"/>
      <c r="F16" s="78" t="s">
        <v>21</v>
      </c>
      <c r="G16" s="78"/>
      <c r="H16" s="70"/>
      <c r="I16" s="111" t="s">
        <v>116</v>
      </c>
      <c r="J16" s="111">
        <f>IF(AF4&lt;3,8,14)</f>
        <v>14</v>
      </c>
      <c r="K16" s="70"/>
      <c r="L16" s="85" t="s">
        <v>99</v>
      </c>
      <c r="M16" s="79">
        <f>AC15</f>
        <v>9.15</v>
      </c>
      <c r="N16" s="79"/>
      <c r="O16" s="79"/>
      <c r="P16" s="79"/>
      <c r="Q16" s="102" t="s">
        <v>98</v>
      </c>
      <c r="R16" s="112">
        <f>O4</f>
        <v>1.6</v>
      </c>
      <c r="S16" s="79"/>
      <c r="T16" s="79"/>
      <c r="U16" s="78"/>
      <c r="V16" s="113" t="s">
        <v>116</v>
      </c>
      <c r="W16" s="111">
        <f>J16</f>
        <v>14</v>
      </c>
      <c r="X16" s="70"/>
      <c r="Y16" s="92" t="s">
        <v>99</v>
      </c>
      <c r="Z16" s="106">
        <f>M16*R16^2/W16</f>
        <v>1.6731428571428577</v>
      </c>
      <c r="AA16" s="106"/>
      <c r="AB16" s="106"/>
      <c r="AC16" s="106"/>
      <c r="AD16" s="7" t="s">
        <v>18</v>
      </c>
      <c r="AG16" s="92"/>
    </row>
    <row r="17" spans="1:33" s="7" customFormat="1" ht="22.5" customHeight="1">
      <c r="A17" s="10"/>
      <c r="B17" s="10"/>
      <c r="C17" s="10"/>
      <c r="D17" s="10"/>
      <c r="H17" s="79"/>
      <c r="I17" s="79"/>
      <c r="J17" s="79"/>
      <c r="K17" s="79"/>
      <c r="L17" s="80"/>
      <c r="M17" s="79"/>
      <c r="N17" s="79"/>
      <c r="O17" s="79"/>
      <c r="P17" s="79"/>
      <c r="Q17" s="85"/>
      <c r="R17" s="79"/>
      <c r="S17" s="79"/>
      <c r="T17" s="79"/>
      <c r="U17" s="79"/>
      <c r="V17" s="85"/>
      <c r="W17" s="79"/>
      <c r="X17" s="79"/>
      <c r="Y17" s="79"/>
      <c r="Z17" s="79"/>
      <c r="AA17" s="85"/>
      <c r="AG17" s="85"/>
    </row>
    <row r="18" spans="1:24" s="7" customFormat="1" ht="22.5" customHeight="1">
      <c r="A18" s="10"/>
      <c r="B18" s="11" t="s">
        <v>119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85"/>
      <c r="X18" s="85"/>
    </row>
    <row r="19" spans="1:33" ht="22.5" customHeight="1">
      <c r="A19" s="2"/>
      <c r="B19" s="11"/>
      <c r="C19" s="2" t="s">
        <v>218</v>
      </c>
      <c r="F19" s="2"/>
      <c r="G19" s="2"/>
      <c r="H19" s="200" t="s">
        <v>84</v>
      </c>
      <c r="I19" s="164"/>
      <c r="J19" s="2" t="s">
        <v>85</v>
      </c>
      <c r="K19" s="2"/>
      <c r="L19" s="2"/>
      <c r="M19" s="2"/>
      <c r="N19" s="2"/>
      <c r="O19" s="2"/>
      <c r="P19" s="2"/>
      <c r="Q19" s="2"/>
      <c r="R19" s="2"/>
      <c r="S19" s="2"/>
      <c r="T19" s="2" t="s">
        <v>86</v>
      </c>
      <c r="W19" s="2"/>
      <c r="X19" s="2"/>
      <c r="Y19" s="2"/>
      <c r="Z19" s="2"/>
      <c r="AB19" s="201">
        <v>100</v>
      </c>
      <c r="AC19" s="201"/>
      <c r="AD19" s="201"/>
      <c r="AE19" s="2" t="s">
        <v>87</v>
      </c>
      <c r="AG19" s="8"/>
    </row>
    <row r="20" spans="1:33" ht="22.5" customHeight="1">
      <c r="A20" s="2"/>
      <c r="B20" s="11"/>
      <c r="C20" s="2" t="str">
        <f>IF(H2="(一般部)","","T荷重(衝撃を含む)による設計曲げモーメントとして8.2.4に規定する値の２倍を用いるものとする。")</f>
        <v>T荷重(衝撃を含む)による設計曲げモーメントとして8.2.4に規定する値の２倍を用いるものとする。</v>
      </c>
      <c r="F20" s="2"/>
      <c r="G20" s="2"/>
      <c r="H20" s="18"/>
      <c r="I20" s="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W20" s="2"/>
      <c r="X20" s="2"/>
      <c r="Y20" s="2"/>
      <c r="Z20" s="2"/>
      <c r="AB20" s="96"/>
      <c r="AC20" s="96"/>
      <c r="AD20" s="96"/>
      <c r="AE20" s="2"/>
      <c r="AG20" s="8"/>
    </row>
    <row r="21" spans="1:24" ht="22.5" customHeight="1">
      <c r="A21" s="2"/>
      <c r="B21" s="58" t="s">
        <v>120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1"/>
      <c r="X21" s="11"/>
    </row>
    <row r="22" spans="1:24" ht="22.5" customHeight="1">
      <c r="A22" s="2"/>
      <c r="B22" s="58"/>
      <c r="C22" s="2" t="s">
        <v>219</v>
      </c>
      <c r="D22" s="2"/>
      <c r="E22" s="2"/>
      <c r="F22" s="2"/>
      <c r="G22" s="2"/>
      <c r="H22" s="2"/>
      <c r="I22" s="2"/>
      <c r="J22" s="2"/>
      <c r="K22" s="2"/>
      <c r="L22" s="2"/>
      <c r="M22" s="2"/>
      <c r="O22" s="2" t="str">
        <f>IF(O4&lt;=2.5,"(L ≤ 2.5 m )","( 2.5 &lt; L ≤ 4.0 m )")</f>
        <v>(L ≤ 2.5 m )</v>
      </c>
      <c r="P22" s="2"/>
      <c r="Q22" s="2"/>
      <c r="R22" s="2"/>
      <c r="S22" s="2"/>
      <c r="T22" s="2"/>
      <c r="U22" s="2"/>
      <c r="V22" s="2"/>
      <c r="W22" s="11"/>
      <c r="X22" s="11"/>
    </row>
    <row r="23" spans="1:24" ht="22.5" customHeight="1">
      <c r="A23" s="2"/>
      <c r="B23" s="58"/>
      <c r="C23" s="2" t="s">
        <v>220</v>
      </c>
      <c r="D23" s="2"/>
      <c r="E23" s="2"/>
      <c r="F23" s="2" t="str">
        <f>IF(O4&lt;=2.5,"1.0","1.0 + ( L - 2.5 ) / 12 = "&amp;ROUND(1+(O4-2.5)/12,2))</f>
        <v>1.0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S23" s="2"/>
      <c r="T23" s="2"/>
      <c r="U23" s="2"/>
      <c r="V23" s="2"/>
      <c r="W23" s="11"/>
      <c r="X23" s="11"/>
    </row>
    <row r="24" spans="1:24" ht="22.5" customHeight="1">
      <c r="A24" s="2"/>
      <c r="C24" s="2" t="str">
        <f>IF(AND(H19="B",AF4&lt;3),IF(H2="(一般部)","Ml = ( 0.12 L ＋ 0.07 ) P × λ","Ml = ( 0.12 L ＋ 0.07 ) P × λ × 2"),IF(AND(H19="A",AF4&gt;=3),IF(H2="(一般部)","Ml = ( 0.12 L ＋ 0.07 ) P × λ × 0.80 × 0.80","Ml = ( 0.12 L ＋ 0.07 ) P × λ × 0.80 × 0.80 × 2"),IF(H2="(一般部)","Ml = ( 0.12 L ＋ 0.07 ) P × λ × 0.80","Ml = ( 0.12 L ＋ 0.07 ) P × λ × 0.80 × 2")))</f>
        <v>Ml = ( 0.12 L ＋ 0.07 ) P × λ × 0.80 × 2</v>
      </c>
      <c r="D24" s="5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2"/>
      <c r="S24" s="2"/>
      <c r="T24" s="2"/>
      <c r="U24" s="16"/>
      <c r="V24" s="11"/>
      <c r="W24" s="17" t="s">
        <v>221</v>
      </c>
      <c r="X24" s="2"/>
    </row>
    <row r="25" spans="4:39" ht="22.5" customHeight="1">
      <c r="D25" s="19" t="s">
        <v>99</v>
      </c>
      <c r="E25" s="3" t="s">
        <v>123</v>
      </c>
      <c r="F25" s="61">
        <v>0.12</v>
      </c>
      <c r="G25" s="61"/>
      <c r="H25" s="61"/>
      <c r="I25" s="2" t="s">
        <v>98</v>
      </c>
      <c r="J25" s="5">
        <f>O4</f>
        <v>1.6</v>
      </c>
      <c r="K25" s="6"/>
      <c r="L25" s="6"/>
      <c r="M25" s="3" t="s">
        <v>124</v>
      </c>
      <c r="N25" s="61">
        <v>0.07</v>
      </c>
      <c r="O25" s="61"/>
      <c r="P25" s="61"/>
      <c r="Q25" s="3" t="s">
        <v>104</v>
      </c>
      <c r="R25" s="2" t="s">
        <v>98</v>
      </c>
      <c r="S25" s="60">
        <f>AB19</f>
        <v>100</v>
      </c>
      <c r="T25" s="6"/>
      <c r="U25" s="6"/>
      <c r="V25" s="2" t="s">
        <v>98</v>
      </c>
      <c r="W25" s="124">
        <f>IF(O4&lt;=2.5,1,ROUND(1+(O4-2.5)/12,2))</f>
        <v>1</v>
      </c>
      <c r="X25" s="61"/>
      <c r="Y25" s="61"/>
      <c r="Z25" s="3" t="str">
        <f>IF(AND(H19="B",AF4&lt;3),IF(H2="(一般部)","","× 2"),IF(AND(H19="A",AF4&gt;=3),IF(H2="(一般部)","× 0.80 × 0.80","× 0.80 × 0.80 × 2"),IF(H2="(一般部)","× 0.80","× 0.80 × 2")))</f>
        <v>× 0.80 × 2</v>
      </c>
      <c r="AC25" s="61"/>
      <c r="AH25" s="3" t="s">
        <v>99</v>
      </c>
      <c r="AI25" s="55">
        <f>IF(AND(H19="B",AF4&lt;3),IF(H2="(一般部)",(F25*J25+N25)*S25*W25,(F25*J25+N25)*S25*W25*2),IF(AND(H19="A",AF4&gt;=3),IF(H2="(一般部)",(F25*J25+N25)*S25*W25*0.8*0.8,(F25*J25+N25)*S25*W25*0.8*0.8*2),IF(H2="(一般部)",(F25*J25+N25)*S25*W25*0.8,(F25*J25+N25)*S25*W25*0.8*2)))</f>
        <v>41.92000000000001</v>
      </c>
      <c r="AJ25" s="55"/>
      <c r="AK25" s="55"/>
      <c r="AL25" s="55"/>
      <c r="AM25" s="3" t="s">
        <v>18</v>
      </c>
    </row>
    <row r="26" spans="2:8" ht="22.5" customHeight="1">
      <c r="B26" s="58" t="s">
        <v>222</v>
      </c>
      <c r="H26" s="2"/>
    </row>
    <row r="27" spans="2:14" s="7" customFormat="1" ht="22.5" customHeight="1">
      <c r="B27" s="10"/>
      <c r="C27" s="10" t="str">
        <f>IF(AF4&lt;3,IF(H2="(一般部)","Ml = ( 0.10 L ＋ 0.04 ) P","Ml = ( 0.10 L ＋ 0.04 ) P × 2"),IF(H2="(一般部)","Ml = ( 0.10 L ＋ 0.04 ) P × 0.8","Ml = ( 0.10 L ＋ 0.04 ) P × 0.8 × 2"))</f>
        <v>Ml = ( 0.10 L ＋ 0.04 ) P × 0.8 × 2</v>
      </c>
      <c r="D27" s="125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4:39" s="7" customFormat="1" ht="22.5" customHeight="1">
      <c r="D28" s="102" t="s">
        <v>99</v>
      </c>
      <c r="E28" s="7" t="s">
        <v>123</v>
      </c>
      <c r="F28" s="77">
        <v>0.1</v>
      </c>
      <c r="G28" s="77"/>
      <c r="H28" s="77"/>
      <c r="I28" s="10" t="s">
        <v>98</v>
      </c>
      <c r="J28" s="126">
        <f>O4</f>
        <v>1.6</v>
      </c>
      <c r="K28" s="78"/>
      <c r="L28" s="78"/>
      <c r="M28" s="7" t="s">
        <v>124</v>
      </c>
      <c r="N28" s="77">
        <v>0.04</v>
      </c>
      <c r="O28" s="77"/>
      <c r="P28" s="77"/>
      <c r="Q28" s="7" t="s">
        <v>104</v>
      </c>
      <c r="R28" s="10" t="s">
        <v>98</v>
      </c>
      <c r="S28" s="127">
        <f>AB19</f>
        <v>100</v>
      </c>
      <c r="T28" s="77"/>
      <c r="U28" s="77"/>
      <c r="V28" s="7" t="str">
        <f>IF(AND(H19="B",AF4&lt;3),IF(H2="(一般部)","","× 2"),IF(AND(H19="A",AF4&gt;=3),IF(H2="(一般部)","× 0.80 × 0.80","× 0.80 × 0.80 × 2"),IF(H2="(一般部)","× 0.80","× 0.80 × 2")))</f>
        <v>× 0.80 × 2</v>
      </c>
      <c r="AH28" s="7" t="s">
        <v>99</v>
      </c>
      <c r="AI28" s="79">
        <f>IF(AND(H19="B",AF4&lt;3),IF(H2="(一般部)",(F28*J28+N28)*S28,(F28*J28+N28)*S28*2),IF(AND(H19="A",AF4&gt;=3),IF(H2="(一般部)",(F28*J28+N28)*S28*0.8*0.8,(F28*J28+N28)*S28*0.8*0.8*2),IF(H2="(一般部)",(F28*J28+N28)*S28*0.8,(F28*J28+N28)*S28*0.8*2)))</f>
        <v>32.00000000000001</v>
      </c>
      <c r="AJ28" s="79"/>
      <c r="AK28" s="79"/>
      <c r="AL28" s="79"/>
      <c r="AM28" s="7" t="s">
        <v>18</v>
      </c>
    </row>
    <row r="29" s="7" customFormat="1" ht="22.5" customHeight="1"/>
    <row r="30" s="7" customFormat="1" ht="22.5" customHeight="1">
      <c r="B30" s="3" t="s">
        <v>223</v>
      </c>
    </row>
    <row r="31" spans="1:28" s="7" customFormat="1" ht="22.5" customHeight="1">
      <c r="A31" s="10"/>
      <c r="B31" s="10"/>
      <c r="C31" s="10" t="s">
        <v>139</v>
      </c>
      <c r="D31" s="10"/>
      <c r="E31" s="10"/>
      <c r="F31" s="10"/>
      <c r="G31" s="10"/>
      <c r="H31" s="10"/>
      <c r="I31" s="10"/>
      <c r="J31" s="158" t="s">
        <v>40</v>
      </c>
      <c r="K31" s="10"/>
      <c r="L31" s="126"/>
      <c r="M31" s="78"/>
      <c r="N31" s="10"/>
      <c r="Y31" s="10"/>
      <c r="Z31" s="10"/>
      <c r="AA31" s="10"/>
      <c r="AB31" s="10"/>
    </row>
    <row r="32" spans="3:38" s="7" customFormat="1" ht="22.5" customHeight="1">
      <c r="C32" s="10" t="s">
        <v>140</v>
      </c>
      <c r="D32" s="9"/>
      <c r="E32" s="10"/>
      <c r="F32" s="10"/>
      <c r="G32" s="10"/>
      <c r="H32" s="10"/>
      <c r="I32" s="10"/>
      <c r="J32" s="79"/>
      <c r="K32" s="79"/>
      <c r="N32" s="147" t="s">
        <v>141</v>
      </c>
      <c r="O32" s="103"/>
      <c r="Q32" s="203">
        <v>24</v>
      </c>
      <c r="R32" s="163"/>
      <c r="S32" s="163"/>
      <c r="T32" s="10" t="s">
        <v>142</v>
      </c>
      <c r="U32" s="85"/>
      <c r="W32" s="145" t="s">
        <v>143</v>
      </c>
      <c r="Y32" s="145"/>
      <c r="Z32" s="145"/>
      <c r="AA32" s="145"/>
      <c r="AB32" s="145"/>
      <c r="AC32" s="145"/>
      <c r="AD32" s="145"/>
      <c r="AE32" s="145"/>
      <c r="AF32" s="73"/>
      <c r="AG32" s="73"/>
      <c r="AI32" s="159" t="s">
        <v>144</v>
      </c>
      <c r="AJ32" s="145"/>
      <c r="AK32" s="204">
        <v>7</v>
      </c>
      <c r="AL32" s="204"/>
    </row>
    <row r="33" spans="3:33" s="7" customFormat="1" ht="22.5" customHeight="1">
      <c r="C33" s="7" t="s">
        <v>145</v>
      </c>
      <c r="N33" s="147" t="s">
        <v>146</v>
      </c>
      <c r="Q33" s="147" t="s">
        <v>147</v>
      </c>
      <c r="R33" s="70"/>
      <c r="S33" s="70"/>
      <c r="T33" s="128">
        <f>IF(J31="合成",3.5,IF(J31="非合成",3,"ERROR"))</f>
        <v>3</v>
      </c>
      <c r="U33" s="128"/>
      <c r="V33" s="129" t="s">
        <v>99</v>
      </c>
      <c r="W33" s="127">
        <f>Q32</f>
        <v>24</v>
      </c>
      <c r="X33" s="127"/>
      <c r="Y33" s="80" t="s">
        <v>116</v>
      </c>
      <c r="Z33" s="128">
        <f>T33</f>
        <v>3</v>
      </c>
      <c r="AA33" s="128"/>
      <c r="AB33" s="7" t="s">
        <v>99</v>
      </c>
      <c r="AC33" s="77">
        <f>W33/Z33</f>
        <v>8</v>
      </c>
      <c r="AD33" s="77"/>
      <c r="AE33" s="77"/>
      <c r="AF33" s="10" t="s">
        <v>142</v>
      </c>
      <c r="AG33" s="85"/>
    </row>
    <row r="34" spans="3:26" s="7" customFormat="1" ht="22.5" customHeight="1">
      <c r="C34" s="145" t="s">
        <v>148</v>
      </c>
      <c r="D34" s="145"/>
      <c r="E34" s="145"/>
      <c r="F34" s="145"/>
      <c r="G34" s="145" t="s">
        <v>149</v>
      </c>
      <c r="H34" s="145"/>
      <c r="I34" s="204">
        <v>295</v>
      </c>
      <c r="J34" s="204"/>
      <c r="K34" s="145" t="s">
        <v>104</v>
      </c>
      <c r="N34" s="147" t="s">
        <v>150</v>
      </c>
      <c r="O34" s="145"/>
      <c r="Q34" s="70">
        <v>140</v>
      </c>
      <c r="R34" s="70"/>
      <c r="S34" s="70"/>
      <c r="T34" s="130" t="s">
        <v>123</v>
      </c>
      <c r="U34" s="70">
        <v>120</v>
      </c>
      <c r="V34" s="70"/>
      <c r="W34" s="7" t="s">
        <v>104</v>
      </c>
      <c r="X34" s="10" t="s">
        <v>142</v>
      </c>
      <c r="Z34" s="85"/>
    </row>
    <row r="35" spans="3:24" s="7" customFormat="1" ht="22.5" customHeight="1">
      <c r="C35" s="145"/>
      <c r="D35" s="145"/>
      <c r="E35" s="145"/>
      <c r="F35" s="145"/>
      <c r="G35" s="145"/>
      <c r="H35" s="145"/>
      <c r="I35" s="146"/>
      <c r="J35" s="146"/>
      <c r="K35" s="145"/>
      <c r="L35" s="147"/>
      <c r="M35" s="145"/>
      <c r="O35" s="70"/>
      <c r="P35" s="70"/>
      <c r="Q35" s="70"/>
      <c r="R35" s="82" t="s">
        <v>151</v>
      </c>
      <c r="S35" s="70"/>
      <c r="T35" s="70"/>
      <c r="U35" s="70"/>
      <c r="W35" s="10"/>
      <c r="X35" s="85"/>
    </row>
    <row r="36" spans="3:24" ht="22.5" customHeight="1">
      <c r="C36" s="74"/>
      <c r="D36" s="74"/>
      <c r="E36" s="74"/>
      <c r="F36" s="74"/>
      <c r="G36" s="74"/>
      <c r="H36" s="74"/>
      <c r="I36" s="160"/>
      <c r="J36" s="160"/>
      <c r="K36" s="74"/>
      <c r="L36" s="143"/>
      <c r="M36" s="74"/>
      <c r="O36" s="70"/>
      <c r="P36" s="15"/>
      <c r="Q36" s="15"/>
      <c r="S36" s="70"/>
      <c r="T36" s="15"/>
      <c r="U36" s="15"/>
      <c r="W36" s="2"/>
      <c r="X36" s="11"/>
    </row>
    <row r="37" ht="22.5" customHeight="1">
      <c r="C37" s="56" t="s">
        <v>287</v>
      </c>
    </row>
    <row r="38" spans="24:33" s="74" customFormat="1" ht="16.5" customHeight="1">
      <c r="X38" s="74" t="s">
        <v>112</v>
      </c>
      <c r="AB38" s="74" t="s">
        <v>112</v>
      </c>
      <c r="AG38" s="74" t="s">
        <v>112</v>
      </c>
    </row>
    <row r="39" spans="4:25" s="2" customFormat="1" ht="21.75" customHeight="1">
      <c r="D39" s="2" t="s">
        <v>153</v>
      </c>
      <c r="M39" s="74" t="s">
        <v>154</v>
      </c>
      <c r="N39" s="74"/>
      <c r="O39" s="70">
        <f>L13*100</f>
        <v>30</v>
      </c>
      <c r="P39" s="15"/>
      <c r="Q39" s="15"/>
      <c r="R39" s="74" t="s">
        <v>155</v>
      </c>
      <c r="S39" s="11"/>
      <c r="W39" s="11"/>
      <c r="X39" s="11"/>
      <c r="Y39" s="11"/>
    </row>
    <row r="40" spans="4:25" s="2" customFormat="1" ht="21.75" customHeight="1">
      <c r="D40" s="2" t="s">
        <v>156</v>
      </c>
      <c r="M40" s="72" t="s">
        <v>157</v>
      </c>
      <c r="N40" s="68"/>
      <c r="O40" s="70">
        <f>O39-O42</f>
        <v>26</v>
      </c>
      <c r="P40" s="15"/>
      <c r="Q40" s="15"/>
      <c r="R40" s="74" t="s">
        <v>155</v>
      </c>
      <c r="S40" s="11"/>
      <c r="W40" s="11"/>
      <c r="X40" s="11"/>
      <c r="Y40" s="11"/>
    </row>
    <row r="41" spans="4:25" s="2" customFormat="1" ht="21.75" customHeight="1">
      <c r="D41" s="8" t="s">
        <v>158</v>
      </c>
      <c r="E41" s="18"/>
      <c r="F41" s="148"/>
      <c r="G41" s="18"/>
      <c r="H41" s="18"/>
      <c r="M41" s="73" t="s">
        <v>159</v>
      </c>
      <c r="N41" s="68"/>
      <c r="O41" s="203">
        <v>4</v>
      </c>
      <c r="P41" s="163"/>
      <c r="Q41" s="163"/>
      <c r="R41" s="74" t="s">
        <v>155</v>
      </c>
      <c r="S41" s="11"/>
      <c r="W41" s="11"/>
      <c r="X41" s="11"/>
      <c r="Y41" s="11"/>
    </row>
    <row r="42" spans="4:25" s="2" customFormat="1" ht="21.75" customHeight="1">
      <c r="D42" s="8" t="s">
        <v>160</v>
      </c>
      <c r="G42" s="149"/>
      <c r="H42" s="149"/>
      <c r="M42" s="73" t="s">
        <v>161</v>
      </c>
      <c r="N42" s="68"/>
      <c r="O42" s="203">
        <v>4</v>
      </c>
      <c r="P42" s="163"/>
      <c r="Q42" s="163"/>
      <c r="R42" s="74" t="s">
        <v>155</v>
      </c>
      <c r="S42" s="11"/>
      <c r="W42" s="11"/>
      <c r="X42" s="11"/>
      <c r="Y42" s="11"/>
    </row>
    <row r="43" spans="4:18" s="2" customFormat="1" ht="21.75" customHeight="1">
      <c r="D43" s="2" t="s">
        <v>162</v>
      </c>
      <c r="M43" s="18" t="s">
        <v>163</v>
      </c>
      <c r="N43" s="18"/>
      <c r="O43" s="70">
        <v>100</v>
      </c>
      <c r="P43" s="15"/>
      <c r="Q43" s="15"/>
      <c r="R43" s="74" t="s">
        <v>155</v>
      </c>
    </row>
    <row r="44" spans="4:40" s="2" customFormat="1" ht="21.75" customHeight="1">
      <c r="D44" s="74" t="s">
        <v>164</v>
      </c>
      <c r="E44" s="74"/>
      <c r="F44" s="74"/>
      <c r="G44" s="74"/>
      <c r="H44" s="74"/>
      <c r="J44" s="74" t="s">
        <v>19</v>
      </c>
      <c r="K44" s="74"/>
      <c r="L44" s="73">
        <v>19</v>
      </c>
      <c r="M44" s="68"/>
      <c r="N44" s="144"/>
      <c r="O44" s="74"/>
      <c r="P44" s="74" t="s">
        <v>20</v>
      </c>
      <c r="Q44" s="74"/>
      <c r="S44" s="203">
        <v>125</v>
      </c>
      <c r="T44" s="163"/>
      <c r="U44" s="163"/>
      <c r="V44" s="74" t="s">
        <v>100</v>
      </c>
      <c r="Y44" s="74" t="s">
        <v>165</v>
      </c>
      <c r="Z44" s="74"/>
      <c r="AA44" s="74"/>
      <c r="AB44" s="74"/>
      <c r="AC44" s="74"/>
      <c r="AD44" s="74"/>
      <c r="AE44" s="74"/>
      <c r="AH44" s="74" t="s">
        <v>166</v>
      </c>
      <c r="AI44" s="74"/>
      <c r="AJ44" s="75">
        <f>IF(L44=13,1.267*1000/S44,IF(L44=16,1.986*1000/S44,IF(L44=19,2.865*1000/S44,IF(L44=22,3.871*1000/S44,IF(L44=25,5.067*1000/S44,IF(L44=29,6.424*1000/S44,7.942*1000/S44))))))</f>
        <v>22.92</v>
      </c>
      <c r="AK44" s="153"/>
      <c r="AL44" s="153"/>
      <c r="AM44" s="153"/>
      <c r="AN44" s="74" t="s">
        <v>167</v>
      </c>
    </row>
    <row r="45" spans="4:40" s="2" customFormat="1" ht="21.75" customHeight="1">
      <c r="D45" s="74" t="s">
        <v>168</v>
      </c>
      <c r="E45" s="74"/>
      <c r="F45" s="74"/>
      <c r="G45" s="74"/>
      <c r="H45" s="74"/>
      <c r="I45" s="74"/>
      <c r="J45" s="74" t="s">
        <v>19</v>
      </c>
      <c r="K45" s="74"/>
      <c r="L45" s="73">
        <v>19</v>
      </c>
      <c r="M45" s="68"/>
      <c r="N45" s="144"/>
      <c r="O45" s="74"/>
      <c r="P45" s="74" t="s">
        <v>20</v>
      </c>
      <c r="Q45" s="74"/>
      <c r="S45" s="203">
        <v>250</v>
      </c>
      <c r="T45" s="163"/>
      <c r="U45" s="163"/>
      <c r="V45" s="74" t="s">
        <v>100</v>
      </c>
      <c r="X45" s="74"/>
      <c r="Y45" s="74" t="s">
        <v>169</v>
      </c>
      <c r="Z45" s="74"/>
      <c r="AA45" s="74"/>
      <c r="AB45" s="74"/>
      <c r="AC45" s="74"/>
      <c r="AD45" s="74"/>
      <c r="AE45" s="74"/>
      <c r="AH45" s="74" t="s">
        <v>170</v>
      </c>
      <c r="AI45" s="74"/>
      <c r="AJ45" s="75">
        <f>IF(L45=13,1.267*1000/S45,IF(L45=16,1.986*1000/S45,IF(L45=19,2.865*1000/S45,IF(L45=22,3.871*1000/S45,IF(L45=25,5.067*1000/S45,IF(L45=29,6.424*1000/S45,7.942*1000/S45))))))</f>
        <v>11.46</v>
      </c>
      <c r="AK45" s="153"/>
      <c r="AL45" s="153"/>
      <c r="AM45" s="153"/>
      <c r="AN45" s="74" t="s">
        <v>167</v>
      </c>
    </row>
    <row r="46" spans="3:13" s="74" customFormat="1" ht="15.75" customHeight="1">
      <c r="C46" s="74" t="s">
        <v>171</v>
      </c>
      <c r="K46" s="154"/>
      <c r="L46" s="154"/>
      <c r="M46" s="154"/>
    </row>
    <row r="47" spans="4:13" s="74" customFormat="1" ht="15.75" customHeight="1">
      <c r="D47" s="74" t="s">
        <v>172</v>
      </c>
      <c r="K47" s="154"/>
      <c r="L47" s="154"/>
      <c r="M47" s="154"/>
    </row>
    <row r="48" spans="5:13" s="74" customFormat="1" ht="15.75" customHeight="1">
      <c r="E48" s="74" t="str">
        <f>"= -"&amp;$AK$32&amp;"×("&amp;ROUND(AJ44,2)&amp;" + "&amp;ROUND(AJ45,2)&amp;")/100 + √[ {"&amp;$AK$32&amp;"×("&amp;ROUND(AJ44,2)&amp;" + "&amp;ROUND(AJ45,2)&amp;")/100}^2 + 2×"&amp;$AK$32&amp;"×("&amp;O40&amp;"×"&amp;ROUND(AJ44,2)&amp;" + "&amp;O41&amp;"×"&amp;ROUND(AJ45,2)&amp;")/100 ]"</f>
        <v>= -7×(22.92 + 11.46)/100 + √[ {7×(22.92 + 11.46)/100}^2 + 2×7×(26×22.92 + 4×11.46)/100 ]</v>
      </c>
      <c r="K48" s="154"/>
      <c r="L48" s="154"/>
      <c r="M48" s="154"/>
    </row>
    <row r="49" spans="5:13" s="74" customFormat="1" ht="15.75" customHeight="1">
      <c r="E49" s="74" t="s">
        <v>99</v>
      </c>
      <c r="F49" s="61">
        <f>-$AK$32*(AJ44+AJ45)/100+SQRT(($AK$32*(AJ44+AJ45)/100)^2+2*$AK$32*(O40*AJ44+O41*AJ45)/100)</f>
        <v>7.372874605519461</v>
      </c>
      <c r="G49" s="55"/>
      <c r="H49" s="55"/>
      <c r="I49" s="74" t="s">
        <v>155</v>
      </c>
      <c r="K49" s="154"/>
      <c r="L49" s="154"/>
      <c r="M49" s="154"/>
    </row>
    <row r="50" spans="3:13" s="74" customFormat="1" ht="15.75" customHeight="1">
      <c r="C50" s="74" t="s">
        <v>173</v>
      </c>
      <c r="K50" s="154"/>
      <c r="L50" s="154"/>
      <c r="M50" s="154"/>
    </row>
    <row r="51" spans="4:13" s="74" customFormat="1" ht="15.75" customHeight="1">
      <c r="D51" s="74" t="s">
        <v>174</v>
      </c>
      <c r="K51" s="154"/>
      <c r="L51" s="154"/>
      <c r="M51" s="154"/>
    </row>
    <row r="52" spans="5:13" s="74" customFormat="1" ht="15.75" customHeight="1">
      <c r="E52" s="74" t="str">
        <f>"= ( 100 × "&amp;ROUND(F49,2)&amp;" / 2 ) × ( "&amp;O40&amp;" - "&amp;ROUND(F49,2)&amp;" / 3 ) + "&amp;$AK$32&amp;" × "&amp;ROUND(AJ45,2)&amp;" ×( "&amp;ROUND(F49,2)&amp;" - "&amp;O41&amp;" ) / "&amp;ROUND(F49,2)&amp;" ×( "&amp;O40&amp;" - "&amp;O41&amp;" )"</f>
        <v>= ( 100 × 7.37 / 2 ) × ( 26 - 7.37 / 3 ) + 7 × 11.46 ×( 7.37 - 4 ) / 7.37 ×( 26 - 4 )</v>
      </c>
      <c r="K52" s="154"/>
      <c r="L52" s="154"/>
      <c r="M52" s="154"/>
    </row>
    <row r="53" spans="5:13" s="74" customFormat="1" ht="15.75" customHeight="1">
      <c r="E53" s="74" t="s">
        <v>99</v>
      </c>
      <c r="F53" s="155">
        <f>(100*ROUND(F49,2)/2)*(O40-ROUND(F49,2)/3)+$AK$32*AJ45*(ROUND(F49,2)-O41)/ROUND(F49,2)*(O40-O41)</f>
        <v>9482.707587064675</v>
      </c>
      <c r="G53" s="155"/>
      <c r="H53" s="155"/>
      <c r="I53" s="155"/>
      <c r="J53" s="74" t="s">
        <v>175</v>
      </c>
      <c r="K53" s="154"/>
      <c r="L53" s="154"/>
      <c r="M53" s="154"/>
    </row>
    <row r="54" spans="3:13" s="74" customFormat="1" ht="15.75" customHeight="1">
      <c r="C54" s="74" t="s">
        <v>176</v>
      </c>
      <c r="K54" s="154"/>
      <c r="L54" s="154"/>
      <c r="M54" s="154"/>
    </row>
    <row r="55" spans="4:13" s="74" customFormat="1" ht="15.75" customHeight="1">
      <c r="D55" s="74" t="s">
        <v>177</v>
      </c>
      <c r="K55" s="154"/>
      <c r="L55" s="154"/>
      <c r="M55" s="154"/>
    </row>
    <row r="56" spans="4:13" s="74" customFormat="1" ht="16.5" customHeight="1">
      <c r="D56" s="137" t="str">
        <f>"= (1/"&amp;$AK$32&amp;")×( "&amp;ROUND(F49,2)&amp;" / ( "&amp;O40&amp;"- "&amp;ROUND(F49,2)&amp;" ))×"&amp;ROUND(F53,1)</f>
        <v>= (1/7)×( 7.37 / ( 26- 7.37 ))×9482.7</v>
      </c>
      <c r="K56" s="154"/>
      <c r="L56" s="154"/>
      <c r="M56" s="154"/>
    </row>
    <row r="57" spans="4:13" s="74" customFormat="1" ht="16.5" customHeight="1">
      <c r="D57" s="74" t="s">
        <v>99</v>
      </c>
      <c r="E57" s="155">
        <f>1/$AK$32*(ROUND(F49,2)/(O40-ROUND(F49,2)))*ROUND(F53,1)</f>
        <v>535.905981136416</v>
      </c>
      <c r="F57" s="155"/>
      <c r="G57" s="155"/>
      <c r="H57" s="155"/>
      <c r="I57" s="74" t="s">
        <v>175</v>
      </c>
      <c r="K57" s="154"/>
      <c r="L57" s="154"/>
      <c r="M57" s="154"/>
    </row>
    <row r="58" spans="11:13" s="74" customFormat="1" ht="16.5" customHeight="1">
      <c r="K58" s="154"/>
      <c r="L58" s="154"/>
      <c r="M58" s="154"/>
    </row>
    <row r="59" spans="3:23" s="74" customFormat="1" ht="16.5" customHeight="1">
      <c r="C59" s="74" t="s">
        <v>178</v>
      </c>
      <c r="K59" s="76" t="s">
        <v>179</v>
      </c>
      <c r="L59" s="154"/>
      <c r="M59" s="154"/>
      <c r="W59" s="156"/>
    </row>
    <row r="60" spans="3:17" s="74" customFormat="1" ht="16.5" customHeight="1">
      <c r="C60" s="74" t="s">
        <v>180</v>
      </c>
      <c r="K60" s="74" t="s">
        <v>181</v>
      </c>
      <c r="L60" s="154"/>
      <c r="M60" s="154"/>
      <c r="Q60" s="74" t="s">
        <v>182</v>
      </c>
    </row>
    <row r="61" spans="11:13" s="74" customFormat="1" ht="16.5" customHeight="1">
      <c r="K61" s="154"/>
      <c r="L61" s="154"/>
      <c r="M61" s="154"/>
    </row>
    <row r="62" spans="1:42" s="74" customFormat="1" ht="16.5" customHeight="1">
      <c r="A62" s="3"/>
      <c r="B62" s="3"/>
      <c r="C62" s="168" t="s">
        <v>183</v>
      </c>
      <c r="D62" s="168"/>
      <c r="E62" s="168"/>
      <c r="F62" s="168"/>
      <c r="G62" s="168"/>
      <c r="H62" s="168"/>
      <c r="I62" s="168"/>
      <c r="J62" s="168"/>
      <c r="K62" s="168"/>
      <c r="L62" s="176" t="s">
        <v>184</v>
      </c>
      <c r="M62" s="177"/>
      <c r="N62" s="177"/>
      <c r="O62" s="177"/>
      <c r="P62" s="178"/>
      <c r="Q62" s="168" t="s">
        <v>185</v>
      </c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 t="s">
        <v>186</v>
      </c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72" t="s">
        <v>187</v>
      </c>
      <c r="AN62" s="173"/>
      <c r="AO62" s="173"/>
      <c r="AP62" s="174"/>
    </row>
    <row r="63" spans="1:42" s="74" customFormat="1" ht="16.5" customHeight="1">
      <c r="A63" s="3"/>
      <c r="B63" s="3"/>
      <c r="C63" s="168"/>
      <c r="D63" s="168"/>
      <c r="E63" s="168"/>
      <c r="F63" s="168"/>
      <c r="G63" s="168"/>
      <c r="H63" s="168"/>
      <c r="I63" s="168"/>
      <c r="J63" s="168"/>
      <c r="K63" s="168"/>
      <c r="L63" s="179" t="s">
        <v>188</v>
      </c>
      <c r="M63" s="180"/>
      <c r="N63" s="180"/>
      <c r="O63" s="180"/>
      <c r="P63" s="181"/>
      <c r="Q63" s="168" t="s">
        <v>189</v>
      </c>
      <c r="R63" s="168"/>
      <c r="S63" s="168"/>
      <c r="T63" s="168"/>
      <c r="U63" s="168" t="s">
        <v>187</v>
      </c>
      <c r="V63" s="168"/>
      <c r="W63" s="168"/>
      <c r="X63" s="168"/>
      <c r="Y63" s="168" t="s">
        <v>190</v>
      </c>
      <c r="Z63" s="168"/>
      <c r="AA63" s="168"/>
      <c r="AB63" s="168" t="s">
        <v>189</v>
      </c>
      <c r="AC63" s="168"/>
      <c r="AD63" s="168"/>
      <c r="AE63" s="168"/>
      <c r="AF63" s="168" t="s">
        <v>187</v>
      </c>
      <c r="AG63" s="168"/>
      <c r="AH63" s="168"/>
      <c r="AI63" s="168"/>
      <c r="AJ63" s="168" t="s">
        <v>190</v>
      </c>
      <c r="AK63" s="168"/>
      <c r="AL63" s="168"/>
      <c r="AM63" s="151" t="s">
        <v>191</v>
      </c>
      <c r="AN63" s="152"/>
      <c r="AO63" s="152"/>
      <c r="AP63" s="134"/>
    </row>
    <row r="64" spans="1:42" s="74" customFormat="1" ht="22.5" customHeight="1">
      <c r="A64" s="3"/>
      <c r="B64" s="3"/>
      <c r="C64" s="167" t="s">
        <v>192</v>
      </c>
      <c r="D64" s="167"/>
      <c r="E64" s="167"/>
      <c r="F64" s="167"/>
      <c r="G64" s="167"/>
      <c r="H64" s="167"/>
      <c r="I64" s="167"/>
      <c r="J64" s="167"/>
      <c r="K64" s="167"/>
      <c r="L64" s="182">
        <f>Z16</f>
        <v>1.6731428571428577</v>
      </c>
      <c r="M64" s="183"/>
      <c r="N64" s="183"/>
      <c r="O64" s="183"/>
      <c r="P64" s="184"/>
      <c r="Q64" s="168" t="s">
        <v>122</v>
      </c>
      <c r="R64" s="168"/>
      <c r="S64" s="168"/>
      <c r="T64" s="168"/>
      <c r="U64" s="168" t="s">
        <v>122</v>
      </c>
      <c r="V64" s="168"/>
      <c r="W64" s="168"/>
      <c r="X64" s="168"/>
      <c r="Y64" s="168" t="s">
        <v>122</v>
      </c>
      <c r="Z64" s="168"/>
      <c r="AA64" s="168"/>
      <c r="AB64" s="168" t="s">
        <v>122</v>
      </c>
      <c r="AC64" s="168"/>
      <c r="AD64" s="168"/>
      <c r="AE64" s="168"/>
      <c r="AF64" s="168" t="s">
        <v>122</v>
      </c>
      <c r="AG64" s="168"/>
      <c r="AH64" s="168"/>
      <c r="AI64" s="168"/>
      <c r="AJ64" s="168" t="s">
        <v>122</v>
      </c>
      <c r="AK64" s="168"/>
      <c r="AL64" s="168"/>
      <c r="AM64" s="168" t="s">
        <v>122</v>
      </c>
      <c r="AN64" s="168"/>
      <c r="AO64" s="168"/>
      <c r="AP64" s="168"/>
    </row>
    <row r="65" spans="1:42" s="74" customFormat="1" ht="22.5" customHeight="1">
      <c r="A65" s="3"/>
      <c r="B65" s="3"/>
      <c r="C65" s="167" t="s">
        <v>193</v>
      </c>
      <c r="D65" s="167"/>
      <c r="E65" s="167"/>
      <c r="F65" s="167"/>
      <c r="G65" s="167"/>
      <c r="H65" s="167"/>
      <c r="I65" s="167"/>
      <c r="J65" s="167"/>
      <c r="K65" s="167"/>
      <c r="L65" s="169">
        <f>AI25</f>
        <v>41.92000000000001</v>
      </c>
      <c r="M65" s="170"/>
      <c r="N65" s="170"/>
      <c r="O65" s="170"/>
      <c r="P65" s="171"/>
      <c r="Q65" s="168" t="s">
        <v>122</v>
      </c>
      <c r="R65" s="168"/>
      <c r="S65" s="168"/>
      <c r="T65" s="168"/>
      <c r="U65" s="168" t="s">
        <v>122</v>
      </c>
      <c r="V65" s="168"/>
      <c r="W65" s="168"/>
      <c r="X65" s="168"/>
      <c r="Y65" s="168" t="s">
        <v>122</v>
      </c>
      <c r="Z65" s="168"/>
      <c r="AA65" s="168"/>
      <c r="AB65" s="168" t="s">
        <v>122</v>
      </c>
      <c r="AC65" s="168"/>
      <c r="AD65" s="168"/>
      <c r="AE65" s="168"/>
      <c r="AF65" s="168" t="s">
        <v>122</v>
      </c>
      <c r="AG65" s="168"/>
      <c r="AH65" s="168"/>
      <c r="AI65" s="168"/>
      <c r="AJ65" s="168" t="s">
        <v>122</v>
      </c>
      <c r="AK65" s="168"/>
      <c r="AL65" s="168"/>
      <c r="AM65" s="168" t="s">
        <v>122</v>
      </c>
      <c r="AN65" s="168"/>
      <c r="AO65" s="168"/>
      <c r="AP65" s="168"/>
    </row>
    <row r="66" spans="1:42" s="145" customFormat="1" ht="22.5" customHeight="1">
      <c r="A66" s="7"/>
      <c r="B66" s="7"/>
      <c r="C66" s="215" t="s">
        <v>288</v>
      </c>
      <c r="D66" s="215"/>
      <c r="E66" s="215"/>
      <c r="F66" s="215"/>
      <c r="G66" s="215"/>
      <c r="H66" s="215"/>
      <c r="I66" s="215"/>
      <c r="J66" s="215"/>
      <c r="K66" s="215"/>
      <c r="L66" s="220">
        <v>0</v>
      </c>
      <c r="M66" s="221"/>
      <c r="N66" s="221"/>
      <c r="O66" s="221"/>
      <c r="P66" s="222"/>
      <c r="Q66" s="210" t="s">
        <v>122</v>
      </c>
      <c r="R66" s="210"/>
      <c r="S66" s="210"/>
      <c r="T66" s="210"/>
      <c r="U66" s="210" t="s">
        <v>122</v>
      </c>
      <c r="V66" s="210"/>
      <c r="W66" s="210"/>
      <c r="X66" s="210"/>
      <c r="Y66" s="210" t="s">
        <v>122</v>
      </c>
      <c r="Z66" s="210"/>
      <c r="AA66" s="210"/>
      <c r="AB66" s="210" t="s">
        <v>122</v>
      </c>
      <c r="AC66" s="210"/>
      <c r="AD66" s="210"/>
      <c r="AE66" s="210"/>
      <c r="AF66" s="210" t="s">
        <v>122</v>
      </c>
      <c r="AG66" s="210"/>
      <c r="AH66" s="210"/>
      <c r="AI66" s="210"/>
      <c r="AJ66" s="210" t="s">
        <v>122</v>
      </c>
      <c r="AK66" s="210"/>
      <c r="AL66" s="210"/>
      <c r="AM66" s="210" t="s">
        <v>122</v>
      </c>
      <c r="AN66" s="210"/>
      <c r="AO66" s="210"/>
      <c r="AP66" s="210"/>
    </row>
    <row r="67" spans="3:42" s="7" customFormat="1" ht="22.5" customHeight="1">
      <c r="C67" s="211" t="s">
        <v>289</v>
      </c>
      <c r="D67" s="211"/>
      <c r="E67" s="211"/>
      <c r="F67" s="211"/>
      <c r="G67" s="211"/>
      <c r="H67" s="211"/>
      <c r="I67" s="211"/>
      <c r="J67" s="211"/>
      <c r="K67" s="211"/>
      <c r="L67" s="216">
        <f>L64+L65</f>
        <v>43.593142857142865</v>
      </c>
      <c r="M67" s="216"/>
      <c r="N67" s="216"/>
      <c r="O67" s="216"/>
      <c r="P67" s="216"/>
      <c r="Q67" s="208">
        <f>ABS(L67)/F53*1000</f>
        <v>4.597119805382179</v>
      </c>
      <c r="R67" s="208"/>
      <c r="S67" s="208"/>
      <c r="T67" s="208"/>
      <c r="U67" s="208">
        <f>$AC$33</f>
        <v>8</v>
      </c>
      <c r="V67" s="208"/>
      <c r="W67" s="208"/>
      <c r="X67" s="208"/>
      <c r="Y67" s="207" t="str">
        <f>IF(Q67&lt;=U67,"O.K.","N.G.")</f>
        <v>O.K.</v>
      </c>
      <c r="Z67" s="207"/>
      <c r="AA67" s="207"/>
      <c r="AB67" s="208">
        <f>ABS(L67)/E57*1000</f>
        <v>81.34475895324283</v>
      </c>
      <c r="AC67" s="208"/>
      <c r="AD67" s="208"/>
      <c r="AE67" s="208"/>
      <c r="AF67" s="209">
        <f>$U$34</f>
        <v>120</v>
      </c>
      <c r="AG67" s="209"/>
      <c r="AH67" s="209"/>
      <c r="AI67" s="209"/>
      <c r="AJ67" s="207" t="str">
        <f>IF(AB67&lt;=AF67,"O.K.","N.G.")</f>
        <v>O.K.</v>
      </c>
      <c r="AK67" s="207"/>
      <c r="AL67" s="207"/>
      <c r="AM67" s="208">
        <v>1</v>
      </c>
      <c r="AN67" s="208"/>
      <c r="AO67" s="208"/>
      <c r="AP67" s="208"/>
    </row>
    <row r="68" spans="3:42" s="7" customFormat="1" ht="22.5" customHeight="1">
      <c r="C68" s="211" t="s">
        <v>290</v>
      </c>
      <c r="D68" s="211"/>
      <c r="E68" s="211"/>
      <c r="F68" s="211"/>
      <c r="G68" s="211"/>
      <c r="H68" s="211"/>
      <c r="I68" s="211"/>
      <c r="J68" s="211"/>
      <c r="K68" s="211"/>
      <c r="L68" s="216">
        <f>L67+L66</f>
        <v>43.593142857142865</v>
      </c>
      <c r="M68" s="216"/>
      <c r="N68" s="216"/>
      <c r="O68" s="216"/>
      <c r="P68" s="216"/>
      <c r="Q68" s="208">
        <f>ABS(L68)/F53*1000</f>
        <v>4.597119805382179</v>
      </c>
      <c r="R68" s="208"/>
      <c r="S68" s="208"/>
      <c r="T68" s="208"/>
      <c r="U68" s="208">
        <f>$AC$33</f>
        <v>8</v>
      </c>
      <c r="V68" s="208"/>
      <c r="W68" s="208"/>
      <c r="X68" s="208"/>
      <c r="Y68" s="207" t="str">
        <f>IF(Q68&lt;=U68,"O.K.","N.G.")</f>
        <v>O.K.</v>
      </c>
      <c r="Z68" s="207"/>
      <c r="AA68" s="207"/>
      <c r="AB68" s="208">
        <f>ABS(L68)/E57*1000</f>
        <v>81.34475895324283</v>
      </c>
      <c r="AC68" s="208"/>
      <c r="AD68" s="208"/>
      <c r="AE68" s="208"/>
      <c r="AF68" s="209">
        <f>$Q$34</f>
        <v>140</v>
      </c>
      <c r="AG68" s="209"/>
      <c r="AH68" s="209"/>
      <c r="AI68" s="209"/>
      <c r="AJ68" s="207" t="str">
        <f>IF(AB68&lt;=AF68,"O.K.","N.G.")</f>
        <v>O.K.</v>
      </c>
      <c r="AK68" s="207"/>
      <c r="AL68" s="207"/>
      <c r="AM68" s="208">
        <v>1</v>
      </c>
      <c r="AN68" s="208"/>
      <c r="AO68" s="208"/>
      <c r="AP68" s="208"/>
    </row>
    <row r="69" spans="49:74" ht="22.5" customHeight="1"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</row>
    <row r="70" ht="22.5" customHeight="1">
      <c r="C70" s="56" t="s">
        <v>291</v>
      </c>
    </row>
    <row r="71" spans="24:33" s="74" customFormat="1" ht="16.5" customHeight="1">
      <c r="X71" s="74" t="s">
        <v>112</v>
      </c>
      <c r="AB71" s="74" t="s">
        <v>112</v>
      </c>
      <c r="AG71" s="74" t="s">
        <v>112</v>
      </c>
    </row>
    <row r="72" spans="4:25" s="2" customFormat="1" ht="21.75" customHeight="1">
      <c r="D72" s="2" t="s">
        <v>153</v>
      </c>
      <c r="M72" s="74" t="s">
        <v>154</v>
      </c>
      <c r="N72" s="74"/>
      <c r="O72" s="70">
        <f>O39</f>
        <v>30</v>
      </c>
      <c r="P72" s="15"/>
      <c r="Q72" s="15"/>
      <c r="R72" s="74" t="s">
        <v>155</v>
      </c>
      <c r="S72" s="11"/>
      <c r="W72" s="11"/>
      <c r="X72" s="11"/>
      <c r="Y72" s="11"/>
    </row>
    <row r="73" spans="4:25" s="2" customFormat="1" ht="21.75" customHeight="1">
      <c r="D73" s="2" t="s">
        <v>156</v>
      </c>
      <c r="M73" s="72" t="s">
        <v>157</v>
      </c>
      <c r="N73" s="68"/>
      <c r="O73" s="70">
        <f>O72-O75</f>
        <v>24.25</v>
      </c>
      <c r="P73" s="15"/>
      <c r="Q73" s="15"/>
      <c r="R73" s="74" t="s">
        <v>155</v>
      </c>
      <c r="S73" s="11"/>
      <c r="W73" s="11"/>
      <c r="X73" s="11"/>
      <c r="Y73" s="11"/>
    </row>
    <row r="74" spans="4:25" s="2" customFormat="1" ht="21.75" customHeight="1">
      <c r="D74" s="8" t="s">
        <v>158</v>
      </c>
      <c r="E74" s="18"/>
      <c r="F74" s="148"/>
      <c r="G74" s="18"/>
      <c r="H74" s="18"/>
      <c r="M74" s="73" t="s">
        <v>159</v>
      </c>
      <c r="N74" s="68"/>
      <c r="O74" s="70">
        <f>O41+(L44+L77)/10/2</f>
        <v>5.75</v>
      </c>
      <c r="P74" s="15"/>
      <c r="Q74" s="15"/>
      <c r="R74" s="74" t="s">
        <v>155</v>
      </c>
      <c r="S74" s="11"/>
      <c r="W74" s="11"/>
      <c r="X74" s="11"/>
      <c r="Y74" s="11"/>
    </row>
    <row r="75" spans="4:25" s="2" customFormat="1" ht="21.75" customHeight="1">
      <c r="D75" s="8" t="s">
        <v>160</v>
      </c>
      <c r="G75" s="149"/>
      <c r="H75" s="149"/>
      <c r="M75" s="73" t="s">
        <v>161</v>
      </c>
      <c r="N75" s="68"/>
      <c r="O75" s="70">
        <f>O42+(L45+L78)/10/2</f>
        <v>5.75</v>
      </c>
      <c r="P75" s="15"/>
      <c r="Q75" s="15"/>
      <c r="R75" s="74" t="s">
        <v>155</v>
      </c>
      <c r="S75" s="11"/>
      <c r="W75" s="11"/>
      <c r="X75" s="11"/>
      <c r="Y75" s="11"/>
    </row>
    <row r="76" spans="4:18" s="2" customFormat="1" ht="21.75" customHeight="1">
      <c r="D76" s="2" t="s">
        <v>162</v>
      </c>
      <c r="M76" s="18" t="s">
        <v>163</v>
      </c>
      <c r="N76" s="18"/>
      <c r="O76" s="70">
        <v>100</v>
      </c>
      <c r="P76" s="15"/>
      <c r="Q76" s="15"/>
      <c r="R76" s="74" t="s">
        <v>155</v>
      </c>
    </row>
    <row r="77" spans="4:40" s="2" customFormat="1" ht="21.75" customHeight="1">
      <c r="D77" s="74" t="s">
        <v>164</v>
      </c>
      <c r="E77" s="74"/>
      <c r="F77" s="74"/>
      <c r="G77" s="74"/>
      <c r="H77" s="74"/>
      <c r="J77" s="74" t="s">
        <v>19</v>
      </c>
      <c r="K77" s="74"/>
      <c r="L77" s="73">
        <v>16</v>
      </c>
      <c r="M77" s="68"/>
      <c r="N77" s="144"/>
      <c r="P77" s="74" t="s">
        <v>20</v>
      </c>
      <c r="R77" s="74"/>
      <c r="S77" s="203">
        <v>125</v>
      </c>
      <c r="T77" s="163"/>
      <c r="U77" s="163"/>
      <c r="V77" s="74" t="s">
        <v>100</v>
      </c>
      <c r="Y77" s="74" t="s">
        <v>165</v>
      </c>
      <c r="Z77" s="74"/>
      <c r="AA77" s="74"/>
      <c r="AB77" s="74"/>
      <c r="AC77" s="74"/>
      <c r="AD77" s="74"/>
      <c r="AF77" s="74"/>
      <c r="AH77" s="74" t="s">
        <v>166</v>
      </c>
      <c r="AI77" s="74"/>
      <c r="AJ77" s="75">
        <f>IF(L77=13,1.267*1000/S77,IF(L77=16,1.986*1000/S77,IF(L77=19,2.865*1000/S77,IF(L77=22,3.871*1000/S77,IF(L77=25,5.067*1000/S77,IF(L77=29,6.424*1000/S77,7.942*1000/S77))))))</f>
        <v>15.888</v>
      </c>
      <c r="AK77" s="153"/>
      <c r="AL77" s="153"/>
      <c r="AM77" s="153"/>
      <c r="AN77" s="74" t="s">
        <v>167</v>
      </c>
    </row>
    <row r="78" spans="4:40" s="2" customFormat="1" ht="21.75" customHeight="1">
      <c r="D78" s="74" t="s">
        <v>168</v>
      </c>
      <c r="E78" s="74"/>
      <c r="F78" s="74"/>
      <c r="G78" s="74"/>
      <c r="H78" s="74"/>
      <c r="I78" s="74"/>
      <c r="J78" s="74" t="s">
        <v>19</v>
      </c>
      <c r="K78" s="74"/>
      <c r="L78" s="73">
        <v>16</v>
      </c>
      <c r="M78" s="68"/>
      <c r="N78" s="144"/>
      <c r="P78" s="74" t="s">
        <v>20</v>
      </c>
      <c r="R78" s="74"/>
      <c r="S78" s="203">
        <v>250</v>
      </c>
      <c r="T78" s="163"/>
      <c r="U78" s="163"/>
      <c r="V78" s="74" t="s">
        <v>100</v>
      </c>
      <c r="W78" s="74"/>
      <c r="Y78" s="74" t="s">
        <v>169</v>
      </c>
      <c r="Z78" s="74"/>
      <c r="AA78" s="74"/>
      <c r="AB78" s="74"/>
      <c r="AC78" s="74"/>
      <c r="AD78" s="74"/>
      <c r="AF78" s="74"/>
      <c r="AH78" s="74" t="s">
        <v>170</v>
      </c>
      <c r="AI78" s="74"/>
      <c r="AJ78" s="75">
        <f>IF(L78=13,1.267*1000/S78,IF(L78=16,1.986*1000/S78,IF(L78=19,2.865*1000/S78,IF(L78=22,3.871*1000/S78,IF(L78=25,5.067*1000/S78,IF(L78=29,6.424*1000/S78,7.942*1000/S78))))))</f>
        <v>7.944</v>
      </c>
      <c r="AK78" s="153"/>
      <c r="AL78" s="153"/>
      <c r="AM78" s="153"/>
      <c r="AN78" s="74" t="s">
        <v>167</v>
      </c>
    </row>
    <row r="79" spans="3:13" s="74" customFormat="1" ht="16.5" customHeight="1">
      <c r="C79" s="74" t="s">
        <v>171</v>
      </c>
      <c r="K79" s="154"/>
      <c r="L79" s="154"/>
      <c r="M79" s="154"/>
    </row>
    <row r="80" spans="4:13" s="74" customFormat="1" ht="16.5" customHeight="1">
      <c r="D80" s="74" t="s">
        <v>172</v>
      </c>
      <c r="K80" s="154"/>
      <c r="L80" s="154"/>
      <c r="M80" s="154"/>
    </row>
    <row r="81" spans="5:13" s="74" customFormat="1" ht="16.5" customHeight="1">
      <c r="E81" s="74" t="str">
        <f>"= -"&amp;$AK$32&amp;"×("&amp;ROUND(AJ77,2)&amp;" + "&amp;ROUND(AJ78,2)&amp;")/100 + √[ {"&amp;$AK$32&amp;"×("&amp;ROUND(AJ77,2)&amp;" + "&amp;ROUND(AJ78,2)&amp;")/100}^2 + 2×"&amp;$AK$32&amp;"×("&amp;O73&amp;"×"&amp;ROUND(AJ77,2)&amp;" + "&amp;O74&amp;"×"&amp;ROUND(AJ78,2)&amp;")/100 ]"</f>
        <v>= -7×(15.89 + 7.94)/100 + √[ {7×(15.89 + 7.94)/100}^2 + 2×7×(24.25×15.89 + 5.75×7.94)/100 ]</v>
      </c>
      <c r="K81" s="154"/>
      <c r="L81" s="154"/>
      <c r="M81" s="154"/>
    </row>
    <row r="82" spans="5:13" s="74" customFormat="1" ht="16.5" customHeight="1">
      <c r="E82" s="74" t="s">
        <v>99</v>
      </c>
      <c r="F82" s="61">
        <f>-$AK$32*(AJ77+AJ78)/100+SQRT(($AK$32*(AJ77+AJ78)/100)^2+2*$AK$32*(O73*AJ77+O74*AJ78)/100)</f>
        <v>6.276425172151687</v>
      </c>
      <c r="G82" s="55"/>
      <c r="H82" s="55"/>
      <c r="I82" s="74" t="s">
        <v>155</v>
      </c>
      <c r="K82" s="154"/>
      <c r="L82" s="154"/>
      <c r="M82" s="154"/>
    </row>
    <row r="83" spans="3:13" s="74" customFormat="1" ht="16.5" customHeight="1">
      <c r="C83" s="74" t="s">
        <v>173</v>
      </c>
      <c r="K83" s="154"/>
      <c r="L83" s="154"/>
      <c r="M83" s="154"/>
    </row>
    <row r="84" spans="4:13" s="74" customFormat="1" ht="16.5" customHeight="1">
      <c r="D84" s="74" t="s">
        <v>174</v>
      </c>
      <c r="K84" s="154"/>
      <c r="L84" s="154"/>
      <c r="M84" s="154"/>
    </row>
    <row r="85" spans="5:13" s="74" customFormat="1" ht="16.5" customHeight="1">
      <c r="E85" s="74" t="str">
        <f>"= ( 100 × "&amp;ROUND(F82,2)&amp;" / 2 ) × ( "&amp;O73&amp;" - "&amp;ROUND(F82,2)&amp;" / 3 ) + "&amp;$AK$32&amp;"×"&amp;ROUND(AJ77,2)&amp;"×( "&amp;ROUND(F82,2)&amp;" - "&amp;O74&amp;" ) / "&amp;ROUND(F82,2)&amp;" ×( "&amp;O73&amp;" - "&amp;O74&amp;" )"</f>
        <v>= ( 100 × 6.28 / 2 ) × ( 24.25 - 6.28 / 3 ) + 7×15.89×( 6.28 - 5.75 ) / 6.28 ×( 24.25 - 5.75 )</v>
      </c>
      <c r="K85" s="154"/>
      <c r="L85" s="154"/>
      <c r="M85" s="154"/>
    </row>
    <row r="86" spans="5:13" s="74" customFormat="1" ht="16.5" customHeight="1">
      <c r="E86" s="74" t="s">
        <v>99</v>
      </c>
      <c r="F86" s="155">
        <f>(100*ROUND(F82,2)/2)*(O73-ROUND(F82,2)/3)+$AK$32*AJ78*(ROUND(F82,2)-O74)/ROUND(F82,2)*(O73-O74)</f>
        <v>7044.014422505308</v>
      </c>
      <c r="G86" s="155"/>
      <c r="H86" s="155"/>
      <c r="I86" s="155"/>
      <c r="J86" s="74" t="s">
        <v>175</v>
      </c>
      <c r="K86" s="154"/>
      <c r="L86" s="154"/>
      <c r="M86" s="154"/>
    </row>
    <row r="87" spans="3:13" s="74" customFormat="1" ht="16.5" customHeight="1">
      <c r="C87" s="74" t="s">
        <v>176</v>
      </c>
      <c r="K87" s="154"/>
      <c r="L87" s="154"/>
      <c r="M87" s="154"/>
    </row>
    <row r="88" spans="4:13" s="74" customFormat="1" ht="16.5" customHeight="1">
      <c r="D88" s="74" t="s">
        <v>177</v>
      </c>
      <c r="K88" s="154"/>
      <c r="L88" s="154"/>
      <c r="M88" s="154"/>
    </row>
    <row r="89" spans="4:13" s="74" customFormat="1" ht="16.5" customHeight="1">
      <c r="D89" s="137" t="str">
        <f>"= (1/"&amp;$AK$32&amp;")×( "&amp;ROUND(F82,2)&amp;" / ( "&amp;O73&amp;"- "&amp;ROUND(F82,2)&amp;" ))×"&amp;ROUND(F86,1)</f>
        <v>= (1/7)×( 6.28 / ( 24.25- 6.28 ))×7044</v>
      </c>
      <c r="K89" s="154"/>
      <c r="L89" s="154"/>
      <c r="M89" s="154"/>
    </row>
    <row r="90" spans="4:13" s="74" customFormat="1" ht="16.5" customHeight="1">
      <c r="D90" s="74" t="s">
        <v>99</v>
      </c>
      <c r="E90" s="155">
        <f>1/$AK$32*(ROUND(F82,2)/(O73-ROUND(F82,2)))*ROUND(F86,1)</f>
        <v>351.6680181254472</v>
      </c>
      <c r="F90" s="155"/>
      <c r="G90" s="155"/>
      <c r="H90" s="155"/>
      <c r="I90" s="74" t="s">
        <v>175</v>
      </c>
      <c r="K90" s="154"/>
      <c r="L90" s="154"/>
      <c r="M90" s="154"/>
    </row>
    <row r="91" spans="11:13" s="74" customFormat="1" ht="16.5" customHeight="1">
      <c r="K91" s="154"/>
      <c r="L91" s="154"/>
      <c r="M91" s="154"/>
    </row>
    <row r="92" spans="3:23" s="74" customFormat="1" ht="16.5" customHeight="1">
      <c r="C92" s="74" t="s">
        <v>178</v>
      </c>
      <c r="K92" s="76" t="s">
        <v>179</v>
      </c>
      <c r="L92" s="154"/>
      <c r="M92" s="154"/>
      <c r="W92" s="156"/>
    </row>
    <row r="93" spans="3:17" s="74" customFormat="1" ht="16.5" customHeight="1">
      <c r="C93" s="74" t="s">
        <v>180</v>
      </c>
      <c r="K93" s="74" t="s">
        <v>181</v>
      </c>
      <c r="L93" s="154"/>
      <c r="M93" s="154"/>
      <c r="Q93" s="74" t="s">
        <v>182</v>
      </c>
    </row>
    <row r="94" spans="11:13" s="74" customFormat="1" ht="16.5" customHeight="1">
      <c r="K94" s="154"/>
      <c r="L94" s="154"/>
      <c r="M94" s="154"/>
    </row>
    <row r="95" spans="1:42" s="74" customFormat="1" ht="16.5" customHeight="1">
      <c r="A95" s="3"/>
      <c r="B95" s="3"/>
      <c r="C95" s="168" t="s">
        <v>183</v>
      </c>
      <c r="D95" s="168"/>
      <c r="E95" s="168"/>
      <c r="F95" s="168"/>
      <c r="G95" s="168"/>
      <c r="H95" s="168"/>
      <c r="I95" s="168"/>
      <c r="J95" s="168"/>
      <c r="K95" s="168"/>
      <c r="L95" s="176" t="s">
        <v>184</v>
      </c>
      <c r="M95" s="177"/>
      <c r="N95" s="177"/>
      <c r="O95" s="177"/>
      <c r="P95" s="178"/>
      <c r="Q95" s="168" t="s">
        <v>185</v>
      </c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 t="s">
        <v>186</v>
      </c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72" t="s">
        <v>187</v>
      </c>
      <c r="AN95" s="173"/>
      <c r="AO95" s="173"/>
      <c r="AP95" s="174"/>
    </row>
    <row r="96" spans="1:42" s="74" customFormat="1" ht="16.5" customHeight="1">
      <c r="A96" s="3"/>
      <c r="B96" s="3"/>
      <c r="C96" s="168"/>
      <c r="D96" s="168"/>
      <c r="E96" s="168"/>
      <c r="F96" s="168"/>
      <c r="G96" s="168"/>
      <c r="H96" s="168"/>
      <c r="I96" s="168"/>
      <c r="J96" s="168"/>
      <c r="K96" s="168"/>
      <c r="L96" s="179" t="s">
        <v>188</v>
      </c>
      <c r="M96" s="180"/>
      <c r="N96" s="180"/>
      <c r="O96" s="180"/>
      <c r="P96" s="181"/>
      <c r="Q96" s="168" t="s">
        <v>189</v>
      </c>
      <c r="R96" s="168"/>
      <c r="S96" s="168"/>
      <c r="T96" s="168"/>
      <c r="U96" s="168" t="s">
        <v>187</v>
      </c>
      <c r="V96" s="168"/>
      <c r="W96" s="168"/>
      <c r="X96" s="168"/>
      <c r="Y96" s="168" t="s">
        <v>190</v>
      </c>
      <c r="Z96" s="168"/>
      <c r="AA96" s="168"/>
      <c r="AB96" s="168" t="s">
        <v>189</v>
      </c>
      <c r="AC96" s="168"/>
      <c r="AD96" s="168"/>
      <c r="AE96" s="168"/>
      <c r="AF96" s="168" t="s">
        <v>187</v>
      </c>
      <c r="AG96" s="168"/>
      <c r="AH96" s="168"/>
      <c r="AI96" s="168"/>
      <c r="AJ96" s="168" t="s">
        <v>190</v>
      </c>
      <c r="AK96" s="168"/>
      <c r="AL96" s="168"/>
      <c r="AM96" s="151" t="s">
        <v>191</v>
      </c>
      <c r="AN96" s="152"/>
      <c r="AO96" s="152"/>
      <c r="AP96" s="134"/>
    </row>
    <row r="97" spans="1:42" s="145" customFormat="1" ht="22.5" customHeight="1">
      <c r="A97" s="7"/>
      <c r="B97" s="7"/>
      <c r="C97" s="211" t="s">
        <v>192</v>
      </c>
      <c r="D97" s="211"/>
      <c r="E97" s="211"/>
      <c r="F97" s="211"/>
      <c r="G97" s="211"/>
      <c r="H97" s="211"/>
      <c r="I97" s="211"/>
      <c r="J97" s="211"/>
      <c r="K97" s="211"/>
      <c r="L97" s="217">
        <v>0</v>
      </c>
      <c r="M97" s="218"/>
      <c r="N97" s="218"/>
      <c r="O97" s="218"/>
      <c r="P97" s="219"/>
      <c r="Q97" s="207" t="s">
        <v>122</v>
      </c>
      <c r="R97" s="207"/>
      <c r="S97" s="207"/>
      <c r="T97" s="207"/>
      <c r="U97" s="207" t="s">
        <v>122</v>
      </c>
      <c r="V97" s="207"/>
      <c r="W97" s="207"/>
      <c r="X97" s="207"/>
      <c r="Y97" s="207" t="s">
        <v>122</v>
      </c>
      <c r="Z97" s="207"/>
      <c r="AA97" s="207"/>
      <c r="AB97" s="207" t="s">
        <v>122</v>
      </c>
      <c r="AC97" s="207"/>
      <c r="AD97" s="207"/>
      <c r="AE97" s="207"/>
      <c r="AF97" s="207" t="s">
        <v>122</v>
      </c>
      <c r="AG97" s="207"/>
      <c r="AH97" s="207"/>
      <c r="AI97" s="207"/>
      <c r="AJ97" s="207" t="s">
        <v>122</v>
      </c>
      <c r="AK97" s="207"/>
      <c r="AL97" s="207"/>
      <c r="AM97" s="207" t="s">
        <v>122</v>
      </c>
      <c r="AN97" s="207"/>
      <c r="AO97" s="207"/>
      <c r="AP97" s="207"/>
    </row>
    <row r="98" spans="1:49" s="145" customFormat="1" ht="22.5" customHeight="1">
      <c r="A98" s="7"/>
      <c r="B98" s="7"/>
      <c r="C98" s="211" t="s">
        <v>193</v>
      </c>
      <c r="D98" s="211"/>
      <c r="E98" s="211"/>
      <c r="F98" s="211"/>
      <c r="G98" s="211"/>
      <c r="H98" s="211"/>
      <c r="I98" s="211"/>
      <c r="J98" s="211"/>
      <c r="K98" s="211"/>
      <c r="L98" s="212">
        <f>AI28</f>
        <v>32.00000000000001</v>
      </c>
      <c r="M98" s="213"/>
      <c r="N98" s="213"/>
      <c r="O98" s="213"/>
      <c r="P98" s="214"/>
      <c r="Q98" s="207" t="s">
        <v>122</v>
      </c>
      <c r="R98" s="207"/>
      <c r="S98" s="207"/>
      <c r="T98" s="207"/>
      <c r="U98" s="207" t="s">
        <v>122</v>
      </c>
      <c r="V98" s="207"/>
      <c r="W98" s="207"/>
      <c r="X98" s="207"/>
      <c r="Y98" s="207" t="s">
        <v>122</v>
      </c>
      <c r="Z98" s="207"/>
      <c r="AA98" s="207"/>
      <c r="AB98" s="207" t="s">
        <v>122</v>
      </c>
      <c r="AC98" s="207"/>
      <c r="AD98" s="207"/>
      <c r="AE98" s="207"/>
      <c r="AF98" s="207" t="s">
        <v>122</v>
      </c>
      <c r="AG98" s="207"/>
      <c r="AH98" s="207"/>
      <c r="AI98" s="207"/>
      <c r="AJ98" s="207" t="s">
        <v>122</v>
      </c>
      <c r="AK98" s="207"/>
      <c r="AL98" s="207"/>
      <c r="AM98" s="207" t="s">
        <v>122</v>
      </c>
      <c r="AN98" s="207"/>
      <c r="AO98" s="207"/>
      <c r="AP98" s="207"/>
      <c r="AR98" s="7"/>
      <c r="AS98" s="7"/>
      <c r="AT98" s="7"/>
      <c r="AU98" s="7"/>
      <c r="AV98" s="7"/>
      <c r="AW98" s="7"/>
    </row>
    <row r="99" spans="3:42" s="7" customFormat="1" ht="22.5" customHeight="1">
      <c r="C99" s="215" t="s">
        <v>288</v>
      </c>
      <c r="D99" s="215"/>
      <c r="E99" s="215"/>
      <c r="F99" s="215"/>
      <c r="G99" s="215"/>
      <c r="H99" s="215"/>
      <c r="I99" s="215"/>
      <c r="J99" s="215"/>
      <c r="K99" s="215"/>
      <c r="L99" s="220">
        <v>0</v>
      </c>
      <c r="M99" s="221"/>
      <c r="N99" s="221"/>
      <c r="O99" s="221"/>
      <c r="P99" s="222"/>
      <c r="Q99" s="207" t="s">
        <v>122</v>
      </c>
      <c r="R99" s="207"/>
      <c r="S99" s="207"/>
      <c r="T99" s="207"/>
      <c r="U99" s="207" t="s">
        <v>122</v>
      </c>
      <c r="V99" s="207"/>
      <c r="W99" s="207"/>
      <c r="X99" s="207"/>
      <c r="Y99" s="207" t="s">
        <v>122</v>
      </c>
      <c r="Z99" s="207"/>
      <c r="AA99" s="207"/>
      <c r="AB99" s="207" t="s">
        <v>122</v>
      </c>
      <c r="AC99" s="207"/>
      <c r="AD99" s="207"/>
      <c r="AE99" s="207"/>
      <c r="AF99" s="207" t="s">
        <v>122</v>
      </c>
      <c r="AG99" s="207"/>
      <c r="AH99" s="207"/>
      <c r="AI99" s="207"/>
      <c r="AJ99" s="207" t="s">
        <v>122</v>
      </c>
      <c r="AK99" s="207"/>
      <c r="AL99" s="207"/>
      <c r="AM99" s="207" t="s">
        <v>122</v>
      </c>
      <c r="AN99" s="207"/>
      <c r="AO99" s="207"/>
      <c r="AP99" s="207"/>
    </row>
    <row r="100" spans="3:42" s="7" customFormat="1" ht="22.5" customHeight="1">
      <c r="C100" s="211" t="s">
        <v>289</v>
      </c>
      <c r="D100" s="211"/>
      <c r="E100" s="211"/>
      <c r="F100" s="211"/>
      <c r="G100" s="211"/>
      <c r="H100" s="211"/>
      <c r="I100" s="211"/>
      <c r="J100" s="211"/>
      <c r="K100" s="211"/>
      <c r="L100" s="212">
        <f>L97+L98</f>
        <v>32.00000000000001</v>
      </c>
      <c r="M100" s="213"/>
      <c r="N100" s="213"/>
      <c r="O100" s="213"/>
      <c r="P100" s="214"/>
      <c r="Q100" s="208">
        <f>ABS(L100)/F86*1000</f>
        <v>4.54286406594533</v>
      </c>
      <c r="R100" s="208"/>
      <c r="S100" s="208"/>
      <c r="T100" s="208"/>
      <c r="U100" s="208">
        <f>$AC$33</f>
        <v>8</v>
      </c>
      <c r="V100" s="208"/>
      <c r="W100" s="208"/>
      <c r="X100" s="208"/>
      <c r="Y100" s="207" t="str">
        <f>IF(Q100&lt;=U100,"O.K.","N.G.")</f>
        <v>O.K.</v>
      </c>
      <c r="Z100" s="207"/>
      <c r="AA100" s="207"/>
      <c r="AB100" s="208">
        <f>ABS(L100)/E90*1000</f>
        <v>90.99491096908605</v>
      </c>
      <c r="AC100" s="208"/>
      <c r="AD100" s="208"/>
      <c r="AE100" s="208"/>
      <c r="AF100" s="209">
        <f>$U$34</f>
        <v>120</v>
      </c>
      <c r="AG100" s="209"/>
      <c r="AH100" s="209"/>
      <c r="AI100" s="209"/>
      <c r="AJ100" s="207" t="str">
        <f>IF(AB100&lt;=AF100,"O.K.","N.G.")</f>
        <v>O.K.</v>
      </c>
      <c r="AK100" s="207"/>
      <c r="AL100" s="207"/>
      <c r="AM100" s="208">
        <v>1</v>
      </c>
      <c r="AN100" s="208"/>
      <c r="AO100" s="208"/>
      <c r="AP100" s="208"/>
    </row>
    <row r="101" spans="3:42" s="7" customFormat="1" ht="22.5" customHeight="1">
      <c r="C101" s="211" t="s">
        <v>290</v>
      </c>
      <c r="D101" s="211"/>
      <c r="E101" s="211"/>
      <c r="F101" s="211"/>
      <c r="G101" s="211"/>
      <c r="H101" s="211"/>
      <c r="I101" s="211"/>
      <c r="J101" s="211"/>
      <c r="K101" s="211"/>
      <c r="L101" s="212">
        <f>L100+L99</f>
        <v>32.00000000000001</v>
      </c>
      <c r="M101" s="213"/>
      <c r="N101" s="213"/>
      <c r="O101" s="213"/>
      <c r="P101" s="214"/>
      <c r="Q101" s="208">
        <f>ABS(L101)/F86*1000</f>
        <v>4.54286406594533</v>
      </c>
      <c r="R101" s="208"/>
      <c r="S101" s="208"/>
      <c r="T101" s="208"/>
      <c r="U101" s="208">
        <f>$AC$33</f>
        <v>8</v>
      </c>
      <c r="V101" s="208"/>
      <c r="W101" s="208"/>
      <c r="X101" s="208"/>
      <c r="Y101" s="207" t="str">
        <f>IF(Q101&lt;=U101,"O.K.","N.G.")</f>
        <v>O.K.</v>
      </c>
      <c r="Z101" s="207"/>
      <c r="AA101" s="207"/>
      <c r="AB101" s="208">
        <f>ABS(L101)/E90*1000</f>
        <v>90.99491096908605</v>
      </c>
      <c r="AC101" s="208"/>
      <c r="AD101" s="208"/>
      <c r="AE101" s="208"/>
      <c r="AF101" s="209">
        <f>$Q$34</f>
        <v>140</v>
      </c>
      <c r="AG101" s="209"/>
      <c r="AH101" s="209"/>
      <c r="AI101" s="209"/>
      <c r="AJ101" s="207" t="str">
        <f>IF(AB101&lt;=AF101,"O.K.","N.G.")</f>
        <v>O.K.</v>
      </c>
      <c r="AK101" s="207"/>
      <c r="AL101" s="207"/>
      <c r="AM101" s="208">
        <v>1</v>
      </c>
      <c r="AN101" s="208"/>
      <c r="AO101" s="208"/>
      <c r="AP101" s="208"/>
    </row>
    <row r="102" s="7" customFormat="1" ht="22.5" customHeight="1"/>
  </sheetData>
  <mergeCells count="135">
    <mergeCell ref="S77:U77"/>
    <mergeCell ref="S78:U78"/>
    <mergeCell ref="O41:Q41"/>
    <mergeCell ref="O42:Q42"/>
    <mergeCell ref="S44:U44"/>
    <mergeCell ref="S45:U45"/>
    <mergeCell ref="U67:X67"/>
    <mergeCell ref="Q67:T67"/>
    <mergeCell ref="Q65:T65"/>
    <mergeCell ref="U65:X65"/>
    <mergeCell ref="L14:N14"/>
    <mergeCell ref="S14:U14"/>
    <mergeCell ref="H19:I19"/>
    <mergeCell ref="Q32:S32"/>
    <mergeCell ref="O4:R4"/>
    <mergeCell ref="AF4:AG4"/>
    <mergeCell ref="L13:N13"/>
    <mergeCell ref="S13:U13"/>
    <mergeCell ref="AM101:AP101"/>
    <mergeCell ref="AB11:AC11"/>
    <mergeCell ref="L66:P66"/>
    <mergeCell ref="C68:K68"/>
    <mergeCell ref="L68:P68"/>
    <mergeCell ref="Q68:T68"/>
    <mergeCell ref="U68:X68"/>
    <mergeCell ref="Y68:AA68"/>
    <mergeCell ref="AB68:AE68"/>
    <mergeCell ref="AF68:AI68"/>
    <mergeCell ref="AJ68:AL68"/>
    <mergeCell ref="AM68:AP68"/>
    <mergeCell ref="C101:K101"/>
    <mergeCell ref="L101:P101"/>
    <mergeCell ref="Q101:T101"/>
    <mergeCell ref="U101:X101"/>
    <mergeCell ref="Y101:AA101"/>
    <mergeCell ref="AB101:AE101"/>
    <mergeCell ref="AF101:AI101"/>
    <mergeCell ref="AJ101:AL101"/>
    <mergeCell ref="C66:K66"/>
    <mergeCell ref="Q66:T66"/>
    <mergeCell ref="U66:X66"/>
    <mergeCell ref="Y66:AA66"/>
    <mergeCell ref="AB66:AE66"/>
    <mergeCell ref="AF66:AI66"/>
    <mergeCell ref="AJ66:AL66"/>
    <mergeCell ref="L99:P99"/>
    <mergeCell ref="AJ99:AL99"/>
    <mergeCell ref="Q95:AA95"/>
    <mergeCell ref="AB95:AL95"/>
    <mergeCell ref="AB97:AE97"/>
    <mergeCell ref="AF97:AI97"/>
    <mergeCell ref="AJ97:AL97"/>
    <mergeCell ref="L100:P100"/>
    <mergeCell ref="L67:P67"/>
    <mergeCell ref="L95:P95"/>
    <mergeCell ref="L96:P96"/>
    <mergeCell ref="L97:P97"/>
    <mergeCell ref="AM100:AP100"/>
    <mergeCell ref="Y100:AA100"/>
    <mergeCell ref="AB100:AE100"/>
    <mergeCell ref="AF100:AI100"/>
    <mergeCell ref="AJ100:AL100"/>
    <mergeCell ref="C100:K100"/>
    <mergeCell ref="Q100:T100"/>
    <mergeCell ref="U100:X100"/>
    <mergeCell ref="AM98:AP98"/>
    <mergeCell ref="C99:K99"/>
    <mergeCell ref="Q99:T99"/>
    <mergeCell ref="U99:X99"/>
    <mergeCell ref="Y99:AA99"/>
    <mergeCell ref="AB99:AE99"/>
    <mergeCell ref="AF99:AI99"/>
    <mergeCell ref="AM99:AP99"/>
    <mergeCell ref="Y98:AA98"/>
    <mergeCell ref="AB98:AE98"/>
    <mergeCell ref="AF98:AI98"/>
    <mergeCell ref="AJ98:AL98"/>
    <mergeCell ref="AM95:AP95"/>
    <mergeCell ref="Q96:T96"/>
    <mergeCell ref="U96:X96"/>
    <mergeCell ref="AB96:AE96"/>
    <mergeCell ref="AF96:AI96"/>
    <mergeCell ref="Y96:AA96"/>
    <mergeCell ref="AJ96:AL96"/>
    <mergeCell ref="AM96:AP96"/>
    <mergeCell ref="C98:K98"/>
    <mergeCell ref="Q98:T98"/>
    <mergeCell ref="U98:X98"/>
    <mergeCell ref="L98:P98"/>
    <mergeCell ref="C97:K97"/>
    <mergeCell ref="Q97:T97"/>
    <mergeCell ref="U97:X97"/>
    <mergeCell ref="Y97:AA97"/>
    <mergeCell ref="AM97:AP97"/>
    <mergeCell ref="C95:K96"/>
    <mergeCell ref="AM62:AP62"/>
    <mergeCell ref="AM63:AP63"/>
    <mergeCell ref="AM67:AP67"/>
    <mergeCell ref="AM64:AP64"/>
    <mergeCell ref="AM65:AP65"/>
    <mergeCell ref="C67:K67"/>
    <mergeCell ref="C64:K64"/>
    <mergeCell ref="C65:K65"/>
    <mergeCell ref="Q64:T64"/>
    <mergeCell ref="U64:X64"/>
    <mergeCell ref="AM66:AP66"/>
    <mergeCell ref="L65:P65"/>
    <mergeCell ref="AF64:AI64"/>
    <mergeCell ref="Y65:AA65"/>
    <mergeCell ref="AB65:AE65"/>
    <mergeCell ref="AF65:AI65"/>
    <mergeCell ref="L64:P64"/>
    <mergeCell ref="Y64:AA64"/>
    <mergeCell ref="I34:J34"/>
    <mergeCell ref="AJ67:AL67"/>
    <mergeCell ref="AJ65:AL65"/>
    <mergeCell ref="Q63:T63"/>
    <mergeCell ref="U63:X63"/>
    <mergeCell ref="Y63:AA63"/>
    <mergeCell ref="Y67:AA67"/>
    <mergeCell ref="AB67:AE67"/>
    <mergeCell ref="AF67:AI67"/>
    <mergeCell ref="AJ64:AL64"/>
    <mergeCell ref="C62:K63"/>
    <mergeCell ref="L62:P62"/>
    <mergeCell ref="L63:P63"/>
    <mergeCell ref="AF63:AI63"/>
    <mergeCell ref="AB63:AE63"/>
    <mergeCell ref="Q62:AA62"/>
    <mergeCell ref="AB19:AD19"/>
    <mergeCell ref="AB64:AE64"/>
    <mergeCell ref="AC7:AE7"/>
    <mergeCell ref="AB62:AL62"/>
    <mergeCell ref="AJ63:AL63"/>
    <mergeCell ref="AK32:AL32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98"/>
  <sheetViews>
    <sheetView workbookViewId="0" topLeftCell="A85">
      <selection activeCell="A85" sqref="A1:IV16384"/>
    </sheetView>
  </sheetViews>
  <sheetFormatPr defaultColWidth="8.88671875" defaultRowHeight="22.5" customHeight="1"/>
  <cols>
    <col min="1" max="16384" width="1.77734375" style="3" customWidth="1"/>
  </cols>
  <sheetData>
    <row r="1" spans="1:6" s="89" customFormat="1" ht="22.5" customHeight="1">
      <c r="A1" s="90"/>
      <c r="B1" s="91"/>
      <c r="C1" s="88"/>
      <c r="D1" s="88"/>
      <c r="E1" s="88"/>
      <c r="F1" s="88"/>
    </row>
    <row r="2" spans="1:8" ht="22.5" customHeight="1">
      <c r="A2" s="157" t="s">
        <v>292</v>
      </c>
      <c r="D2" s="2"/>
      <c r="E2" s="2"/>
      <c r="F2" s="2"/>
      <c r="H2" s="137" t="s">
        <v>81</v>
      </c>
    </row>
    <row r="3" spans="1:26" s="7" customFormat="1" ht="22.5" customHeight="1">
      <c r="A3" s="10"/>
      <c r="B3" s="10" t="s">
        <v>93</v>
      </c>
      <c r="C3" s="10"/>
      <c r="D3" s="10"/>
      <c r="E3" s="10"/>
      <c r="F3" s="10"/>
      <c r="H3" s="10"/>
      <c r="J3" s="10"/>
      <c r="K3" s="9" t="str">
        <f>IF(AF4&lt;3,"( 單純版 )","( 連続版 )")</f>
        <v>( 連続版 )</v>
      </c>
      <c r="L3" s="10"/>
      <c r="M3" s="10"/>
      <c r="N3" s="10"/>
      <c r="O3" s="10"/>
      <c r="Q3" s="98"/>
      <c r="R3" s="98"/>
      <c r="S3" s="70"/>
      <c r="U3" s="85"/>
      <c r="W3" s="98"/>
      <c r="Y3" s="99"/>
      <c r="Z3" s="123" t="s">
        <v>207</v>
      </c>
    </row>
    <row r="4" spans="1:33" s="7" customFormat="1" ht="22.5" customHeight="1">
      <c r="A4" s="10"/>
      <c r="C4" s="11" t="s">
        <v>95</v>
      </c>
      <c r="D4" s="10"/>
      <c r="E4" s="10"/>
      <c r="F4" s="10"/>
      <c r="G4" s="10"/>
      <c r="H4" s="10"/>
      <c r="M4" s="10" t="s">
        <v>96</v>
      </c>
      <c r="N4" s="10"/>
      <c r="O4" s="224">
        <v>2.4</v>
      </c>
      <c r="P4" s="164"/>
      <c r="Q4" s="164"/>
      <c r="R4" s="164"/>
      <c r="S4" s="10" t="s">
        <v>1</v>
      </c>
      <c r="T4" s="99"/>
      <c r="U4" s="85"/>
      <c r="W4" s="85" t="s">
        <v>208</v>
      </c>
      <c r="X4" s="85"/>
      <c r="Y4" s="85"/>
      <c r="Z4" s="85"/>
      <c r="AA4" s="85"/>
      <c r="AB4" s="85"/>
      <c r="AC4" s="85"/>
      <c r="AD4" s="85" t="s">
        <v>209</v>
      </c>
      <c r="AE4" s="85"/>
      <c r="AF4" s="225">
        <v>4</v>
      </c>
      <c r="AG4" s="163"/>
    </row>
    <row r="5" spans="1:33" s="7" customFormat="1" ht="22.5" customHeight="1">
      <c r="A5" s="10"/>
      <c r="C5" s="2" t="s">
        <v>88</v>
      </c>
      <c r="F5" s="10"/>
      <c r="G5" s="10"/>
      <c r="H5" s="10"/>
      <c r="I5" s="10"/>
      <c r="J5" s="10"/>
      <c r="P5" s="158" t="s">
        <v>89</v>
      </c>
      <c r="S5" s="10"/>
      <c r="T5" s="10"/>
      <c r="U5" s="10"/>
      <c r="X5" s="10" t="s">
        <v>90</v>
      </c>
      <c r="Y5" s="10"/>
      <c r="AA5" s="85"/>
      <c r="AB5" s="85"/>
      <c r="AC5" s="85"/>
      <c r="AD5" s="85"/>
      <c r="AE5" s="85"/>
      <c r="AF5" s="162"/>
      <c r="AG5" s="100"/>
    </row>
    <row r="6" spans="1:47" s="7" customFormat="1" ht="22.5" customHeight="1">
      <c r="A6" s="10"/>
      <c r="C6" s="9" t="str">
        <f>IF(AF4&lt;3,"do = (40·L + 110) =","do = (30·L + 110) =")</f>
        <v>do = (30·L + 110) =</v>
      </c>
      <c r="D6" s="10"/>
      <c r="E6" s="10"/>
      <c r="F6" s="10"/>
      <c r="G6" s="10"/>
      <c r="L6" s="10" t="str">
        <f>IF(AF4&lt;3,"{(40×"&amp;O4&amp;") + 110} = "&amp;ROUND((40*O4+110),0)&amp;" mm &gt; 160 mm","{(30×"&amp;O4&amp;") + 110} = "&amp;ROUND((30*O4+110),0)&amp;" mm &gt; 160 mm")</f>
        <v>{(30×2.4) + 110} = 182 mm &gt; 160 mm</v>
      </c>
      <c r="W6" s="10"/>
      <c r="X6" s="85"/>
      <c r="AG6" s="10"/>
      <c r="AH6" s="10"/>
      <c r="AI6" s="10"/>
      <c r="AJ6" s="10"/>
      <c r="AK6" s="10"/>
      <c r="AL6" s="10"/>
      <c r="AM6" s="10"/>
      <c r="AN6" s="10"/>
      <c r="AP6" s="10"/>
      <c r="AQ6" s="10"/>
      <c r="AR6" s="10"/>
      <c r="AS6" s="10"/>
      <c r="AT6" s="10"/>
      <c r="AU6" s="10"/>
    </row>
    <row r="7" spans="1:35" s="7" customFormat="1" ht="22.5" customHeight="1">
      <c r="A7" s="10"/>
      <c r="C7" s="10" t="s">
        <v>97</v>
      </c>
      <c r="D7" s="10"/>
      <c r="E7" s="10"/>
      <c r="F7" s="10"/>
      <c r="J7" s="103">
        <f>AB8</f>
        <v>1.25</v>
      </c>
      <c r="K7" s="78"/>
      <c r="L7" s="102" t="s">
        <v>98</v>
      </c>
      <c r="M7" s="128">
        <v>1</v>
      </c>
      <c r="N7" s="78"/>
      <c r="O7" s="102" t="s">
        <v>98</v>
      </c>
      <c r="P7" s="103">
        <f>IF(AF4&lt;3,ROUND((40*O4+110),0),ROUND((30*O4+110),0))</f>
        <v>182</v>
      </c>
      <c r="Q7" s="78"/>
      <c r="R7" s="78"/>
      <c r="S7" s="102" t="s">
        <v>99</v>
      </c>
      <c r="T7" s="103">
        <f>ROUND(J7*M7*P7,-1)</f>
        <v>230</v>
      </c>
      <c r="U7" s="78"/>
      <c r="V7" s="103"/>
      <c r="W7" s="10" t="s">
        <v>100</v>
      </c>
      <c r="Y7" s="102" t="s">
        <v>101</v>
      </c>
      <c r="AA7" s="206">
        <f>L13*100</f>
        <v>25</v>
      </c>
      <c r="AB7" s="206"/>
      <c r="AC7" s="206"/>
      <c r="AD7" s="85" t="s">
        <v>102</v>
      </c>
      <c r="AE7" s="10"/>
      <c r="AH7" s="10" t="str">
        <f>IF(T7&lt;=AA7*10,"O.K.","N.G.")</f>
        <v>O.K.</v>
      </c>
      <c r="AI7" s="10"/>
    </row>
    <row r="8" spans="1:58" s="7" customFormat="1" ht="22.5" customHeight="1">
      <c r="A8" s="10"/>
      <c r="C8" s="10" t="s">
        <v>13</v>
      </c>
      <c r="D8" s="10"/>
      <c r="G8" s="2" t="s">
        <v>14</v>
      </c>
      <c r="Y8" s="10" t="s">
        <v>103</v>
      </c>
      <c r="AB8" s="103">
        <f>IF(P5="500未満",1.1,IF(P5="500以上1000未満",1.15,IF(P5="1000以上2000未満",1.2,IF(P5="2000以上",1.25,"入力確認要望"))))</f>
        <v>1.25</v>
      </c>
      <c r="AC8" s="78"/>
      <c r="AD8" s="10" t="s">
        <v>104</v>
      </c>
      <c r="AN8" s="10"/>
      <c r="AP8" s="10"/>
      <c r="AQ8" s="10"/>
      <c r="AR8" s="10"/>
      <c r="AS8" s="10"/>
      <c r="AT8" s="10"/>
      <c r="AU8" s="10"/>
      <c r="AV8" s="10"/>
      <c r="AW8" s="10"/>
      <c r="AY8" s="10"/>
      <c r="BB8" s="10"/>
      <c r="BC8" s="10"/>
      <c r="BD8" s="10"/>
      <c r="BE8" s="10"/>
      <c r="BF8" s="85"/>
    </row>
    <row r="9" spans="1:58" s="7" customFormat="1" ht="22.5" customHeight="1">
      <c r="A9" s="10"/>
      <c r="C9" s="104"/>
      <c r="D9" s="10"/>
      <c r="E9" s="10"/>
      <c r="G9" s="2" t="s">
        <v>105</v>
      </c>
      <c r="AN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BA9" s="10"/>
      <c r="BB9" s="10"/>
      <c r="BC9" s="10"/>
      <c r="BD9" s="10"/>
      <c r="BE9" s="10"/>
      <c r="BF9" s="85"/>
    </row>
    <row r="10" spans="1:58" s="7" customFormat="1" ht="22.5" customHeight="1">
      <c r="A10" s="10"/>
      <c r="C10" s="104"/>
      <c r="D10" s="10"/>
      <c r="E10" s="10"/>
      <c r="G10" s="10"/>
      <c r="I10" s="10" t="s">
        <v>106</v>
      </c>
      <c r="Z10" s="10"/>
      <c r="AN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BA10" s="10"/>
      <c r="BB10" s="10"/>
      <c r="BC10" s="10"/>
      <c r="BD10" s="10"/>
      <c r="BE10" s="10"/>
      <c r="BF10" s="85"/>
    </row>
    <row r="11" spans="1:58" s="7" customFormat="1" ht="22.5" customHeight="1">
      <c r="A11" s="10"/>
      <c r="C11" s="104"/>
      <c r="D11" s="10"/>
      <c r="E11" s="10"/>
      <c r="G11" s="10"/>
      <c r="I11" s="10"/>
      <c r="Z11" s="10"/>
      <c r="AN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BA11" s="10"/>
      <c r="BB11" s="10"/>
      <c r="BC11" s="10"/>
      <c r="BD11" s="10"/>
      <c r="BE11" s="10"/>
      <c r="BF11" s="85"/>
    </row>
    <row r="12" spans="1:33" s="7" customFormat="1" ht="22.5" customHeight="1">
      <c r="A12" s="10"/>
      <c r="B12" s="11" t="s">
        <v>107</v>
      </c>
      <c r="C12" s="11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92"/>
      <c r="Z12" s="92"/>
      <c r="AA12" s="92"/>
      <c r="AB12" s="92"/>
      <c r="AC12" s="92"/>
      <c r="AD12" s="92"/>
      <c r="AE12" s="92"/>
      <c r="AF12" s="92"/>
      <c r="AG12" s="92"/>
    </row>
    <row r="13" spans="1:33" s="7" customFormat="1" ht="22.5" customHeight="1">
      <c r="A13" s="10"/>
      <c r="B13" s="11"/>
      <c r="C13" s="11" t="s">
        <v>213</v>
      </c>
      <c r="D13" s="85"/>
      <c r="E13" s="85"/>
      <c r="F13" s="85"/>
      <c r="L13" s="226">
        <v>0.25</v>
      </c>
      <c r="M13" s="164"/>
      <c r="N13" s="164"/>
      <c r="O13" s="10" t="s">
        <v>1</v>
      </c>
      <c r="Q13" s="102" t="s">
        <v>98</v>
      </c>
      <c r="S13" s="227">
        <v>24.5</v>
      </c>
      <c r="T13" s="202"/>
      <c r="U13" s="202"/>
      <c r="V13" s="10" t="s">
        <v>80</v>
      </c>
      <c r="W13" s="85"/>
      <c r="X13" s="85"/>
      <c r="Y13" s="92"/>
      <c r="AB13" s="7" t="s">
        <v>99</v>
      </c>
      <c r="AC13" s="79">
        <f>L13*S13</f>
        <v>6.125</v>
      </c>
      <c r="AD13" s="79"/>
      <c r="AE13" s="79"/>
      <c r="AF13" s="79"/>
      <c r="AG13" s="7" t="s">
        <v>133</v>
      </c>
    </row>
    <row r="14" spans="1:35" s="7" customFormat="1" ht="22.5" customHeight="1">
      <c r="A14" s="10"/>
      <c r="B14" s="11"/>
      <c r="C14" s="131" t="s">
        <v>214</v>
      </c>
      <c r="D14" s="108"/>
      <c r="E14" s="108"/>
      <c r="F14" s="108"/>
      <c r="G14" s="107"/>
      <c r="H14" s="107"/>
      <c r="I14" s="107"/>
      <c r="J14" s="107"/>
      <c r="K14" s="107"/>
      <c r="L14" s="228">
        <v>0.08</v>
      </c>
      <c r="M14" s="229"/>
      <c r="N14" s="229"/>
      <c r="O14" s="108" t="s">
        <v>1</v>
      </c>
      <c r="P14" s="107"/>
      <c r="Q14" s="109" t="s">
        <v>98</v>
      </c>
      <c r="R14" s="107"/>
      <c r="S14" s="230">
        <v>22.5</v>
      </c>
      <c r="T14" s="231"/>
      <c r="U14" s="231"/>
      <c r="V14" s="108" t="s">
        <v>80</v>
      </c>
      <c r="W14" s="108"/>
      <c r="X14" s="108"/>
      <c r="Y14" s="107"/>
      <c r="Z14" s="107"/>
      <c r="AA14" s="107"/>
      <c r="AB14" s="107" t="s">
        <v>99</v>
      </c>
      <c r="AC14" s="110">
        <f>L14*S14</f>
        <v>1.8</v>
      </c>
      <c r="AD14" s="110"/>
      <c r="AE14" s="110"/>
      <c r="AF14" s="110"/>
      <c r="AG14" s="107" t="s">
        <v>133</v>
      </c>
      <c r="AH14" s="107"/>
      <c r="AI14" s="107"/>
    </row>
    <row r="15" spans="1:33" s="7" customFormat="1" ht="22.5" customHeight="1">
      <c r="A15" s="10"/>
      <c r="B15" s="11"/>
      <c r="C15" s="11" t="s">
        <v>215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W15" s="85"/>
      <c r="X15" s="85"/>
      <c r="Y15" s="92"/>
      <c r="Z15" s="92" t="s">
        <v>216</v>
      </c>
      <c r="AB15" s="92"/>
      <c r="AC15" s="79">
        <f>SUM(AC13:AC14)</f>
        <v>7.925</v>
      </c>
      <c r="AD15" s="79"/>
      <c r="AE15" s="79"/>
      <c r="AF15" s="79"/>
      <c r="AG15" s="7" t="s">
        <v>133</v>
      </c>
    </row>
    <row r="16" spans="1:33" s="7" customFormat="1" ht="22.5" customHeight="1">
      <c r="A16" s="10"/>
      <c r="B16" s="11"/>
      <c r="C16" s="11" t="s">
        <v>217</v>
      </c>
      <c r="D16" s="85"/>
      <c r="E16" s="85"/>
      <c r="F16" s="78" t="s">
        <v>21</v>
      </c>
      <c r="G16" s="78"/>
      <c r="H16" s="70"/>
      <c r="I16" s="111" t="s">
        <v>116</v>
      </c>
      <c r="J16" s="111">
        <f>IF(AF4&lt;3,8,10)</f>
        <v>10</v>
      </c>
      <c r="K16" s="70"/>
      <c r="L16" s="85" t="s">
        <v>99</v>
      </c>
      <c r="M16" s="79">
        <f>AC15</f>
        <v>7.925</v>
      </c>
      <c r="N16" s="79"/>
      <c r="O16" s="79"/>
      <c r="P16" s="79"/>
      <c r="Q16" s="102" t="s">
        <v>98</v>
      </c>
      <c r="R16" s="112">
        <f>O4</f>
        <v>2.4</v>
      </c>
      <c r="S16" s="79"/>
      <c r="T16" s="79"/>
      <c r="U16" s="78"/>
      <c r="V16" s="113" t="s">
        <v>116</v>
      </c>
      <c r="W16" s="111">
        <f>J16</f>
        <v>10</v>
      </c>
      <c r="X16" s="70"/>
      <c r="Y16" s="92" t="s">
        <v>99</v>
      </c>
      <c r="Z16" s="106">
        <f>M16*R16^2/W16</f>
        <v>4.5648</v>
      </c>
      <c r="AA16" s="106"/>
      <c r="AB16" s="106"/>
      <c r="AC16" s="106"/>
      <c r="AD16" s="7" t="s">
        <v>18</v>
      </c>
      <c r="AG16" s="92"/>
    </row>
    <row r="17" spans="1:33" s="7" customFormat="1" ht="22.5" customHeight="1">
      <c r="A17" s="10"/>
      <c r="B17" s="10"/>
      <c r="C17" s="10"/>
      <c r="D17" s="10"/>
      <c r="H17" s="79"/>
      <c r="I17" s="79"/>
      <c r="J17" s="79"/>
      <c r="K17" s="79"/>
      <c r="L17" s="80"/>
      <c r="M17" s="79"/>
      <c r="N17" s="79"/>
      <c r="O17" s="79"/>
      <c r="P17" s="79"/>
      <c r="Q17" s="85"/>
      <c r="R17" s="79"/>
      <c r="S17" s="79"/>
      <c r="T17" s="79"/>
      <c r="U17" s="79"/>
      <c r="V17" s="85"/>
      <c r="W17" s="79"/>
      <c r="X17" s="79"/>
      <c r="Y17" s="79"/>
      <c r="Z17" s="79"/>
      <c r="AA17" s="85"/>
      <c r="AG17" s="85"/>
    </row>
    <row r="18" spans="1:24" s="7" customFormat="1" ht="22.5" customHeight="1">
      <c r="A18" s="10"/>
      <c r="B18" s="11" t="s">
        <v>119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85"/>
      <c r="X18" s="85"/>
    </row>
    <row r="19" spans="1:33" s="7" customFormat="1" ht="22.5" customHeight="1">
      <c r="A19" s="10"/>
      <c r="B19" s="85"/>
      <c r="C19" s="10" t="s">
        <v>218</v>
      </c>
      <c r="F19" s="10"/>
      <c r="G19" s="10"/>
      <c r="H19" s="224" t="s">
        <v>84</v>
      </c>
      <c r="I19" s="164"/>
      <c r="J19" s="10" t="s">
        <v>85</v>
      </c>
      <c r="K19" s="10"/>
      <c r="L19" s="10"/>
      <c r="M19" s="10"/>
      <c r="N19" s="10"/>
      <c r="O19" s="10"/>
      <c r="P19" s="10"/>
      <c r="Q19" s="10"/>
      <c r="R19" s="10"/>
      <c r="S19" s="10"/>
      <c r="T19" s="10" t="s">
        <v>86</v>
      </c>
      <c r="W19" s="10"/>
      <c r="X19" s="10"/>
      <c r="Y19" s="10"/>
      <c r="Z19" s="10"/>
      <c r="AB19" s="233">
        <v>100</v>
      </c>
      <c r="AC19" s="233"/>
      <c r="AD19" s="233"/>
      <c r="AE19" s="10" t="s">
        <v>87</v>
      </c>
      <c r="AG19" s="104"/>
    </row>
    <row r="20" spans="1:33" ht="22.5" customHeight="1">
      <c r="A20" s="2"/>
      <c r="B20" s="11"/>
      <c r="C20" s="2">
        <f>IF(H2="(一般部)","","T荷重(衝撃を含む)による設計曲げモーメントとして8.2.4に規定する値の２倍を用いるものとする。")</f>
      </c>
      <c r="F20" s="2"/>
      <c r="G20" s="2"/>
      <c r="H20" s="18"/>
      <c r="I20" s="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W20" s="2"/>
      <c r="X20" s="2"/>
      <c r="Y20" s="2"/>
      <c r="Z20" s="2"/>
      <c r="AB20" s="96"/>
      <c r="AC20" s="96"/>
      <c r="AD20" s="96"/>
      <c r="AE20" s="2"/>
      <c r="AG20" s="8"/>
    </row>
    <row r="21" spans="1:24" ht="22.5" customHeight="1">
      <c r="A21" s="2"/>
      <c r="B21" s="58" t="s">
        <v>120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1"/>
      <c r="X21" s="11"/>
    </row>
    <row r="22" spans="1:24" ht="22.5" customHeight="1">
      <c r="A22" s="2"/>
      <c r="B22" s="58"/>
      <c r="C22" s="2" t="s">
        <v>219</v>
      </c>
      <c r="D22" s="2"/>
      <c r="E22" s="2"/>
      <c r="F22" s="2"/>
      <c r="G22" s="2"/>
      <c r="H22" s="2"/>
      <c r="I22" s="2"/>
      <c r="J22" s="2"/>
      <c r="K22" s="2"/>
      <c r="L22" s="2"/>
      <c r="M22" s="2"/>
      <c r="O22" s="2" t="str">
        <f>IF(O4&lt;=2.5,"(L ≤ 2.5 m )","( 2.5 &lt; L ≤ 4.0 m )")</f>
        <v>(L ≤ 2.5 m )</v>
      </c>
      <c r="P22" s="2"/>
      <c r="Q22" s="2"/>
      <c r="R22" s="2"/>
      <c r="S22" s="2"/>
      <c r="T22" s="2"/>
      <c r="U22" s="2"/>
      <c r="V22" s="2"/>
      <c r="W22" s="11"/>
      <c r="X22" s="11"/>
    </row>
    <row r="23" spans="1:24" ht="22.5" customHeight="1">
      <c r="A23" s="2"/>
      <c r="B23" s="58"/>
      <c r="C23" s="2" t="s">
        <v>220</v>
      </c>
      <c r="D23" s="2"/>
      <c r="E23" s="2"/>
      <c r="F23" s="2" t="str">
        <f>IF(O4&lt;=2.5,"1.0","1.0 + ( L - 2.5 ) / 12 = "&amp;ROUND(1+(O4-2.5)/12,2))</f>
        <v>1.0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S23" s="2"/>
      <c r="T23" s="2"/>
      <c r="U23" s="2"/>
      <c r="V23" s="2"/>
      <c r="W23" s="11"/>
      <c r="X23" s="11"/>
    </row>
    <row r="24" spans="1:24" ht="22.5" customHeight="1">
      <c r="A24" s="2"/>
      <c r="C24" s="2" t="str">
        <f>IF(AND(H19="B",AF4&lt;3),IF(H2="(一般部)","Ml = ( 0.12 L ＋ 0.07 ) P × λ","Ml = ( 0.12 L ＋ 0.07 ) P × λ × 2"),IF(AND(H19="A",AF4&gt;=3),IF(H2="(一般部)","Ml = ( 0.12 L ＋ 0.07 ) P × λ × 0.80 × 0.80","Ml = ( 0.12 L ＋ 0.07 ) P × λ × 0.80 × 0.80 × 2"),IF(H2="(一般部)","Ml = ( 0.12 L ＋ 0.07 ) P × λ × 0.80","Ml = ( 0.12 L ＋ 0.07 ) P × λ × 0.80 × 2")))</f>
        <v>Ml = ( 0.12 L ＋ 0.07 ) P × λ × 0.80</v>
      </c>
      <c r="D24" s="5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2"/>
      <c r="S24" s="2"/>
      <c r="T24" s="2"/>
      <c r="U24" s="16"/>
      <c r="V24" s="11"/>
      <c r="W24" s="17" t="s">
        <v>221</v>
      </c>
      <c r="X24" s="2"/>
    </row>
    <row r="25" spans="4:39" ht="22.5" customHeight="1">
      <c r="D25" s="19" t="s">
        <v>99</v>
      </c>
      <c r="E25" s="3" t="s">
        <v>123</v>
      </c>
      <c r="F25" s="61">
        <v>0.12</v>
      </c>
      <c r="G25" s="61"/>
      <c r="H25" s="61"/>
      <c r="I25" s="2" t="s">
        <v>98</v>
      </c>
      <c r="J25" s="5">
        <f>O4</f>
        <v>2.4</v>
      </c>
      <c r="K25" s="6"/>
      <c r="L25" s="6"/>
      <c r="M25" s="3" t="s">
        <v>124</v>
      </c>
      <c r="N25" s="61">
        <v>0.07</v>
      </c>
      <c r="O25" s="61"/>
      <c r="P25" s="61"/>
      <c r="Q25" s="3" t="s">
        <v>104</v>
      </c>
      <c r="R25" s="2" t="s">
        <v>98</v>
      </c>
      <c r="S25" s="60">
        <f>AB19</f>
        <v>100</v>
      </c>
      <c r="T25" s="6"/>
      <c r="U25" s="6"/>
      <c r="V25" s="2" t="s">
        <v>98</v>
      </c>
      <c r="W25" s="124">
        <f>IF(O4&lt;=2.5,1,ROUND(1+(O4-2.5)/12,2))</f>
        <v>1</v>
      </c>
      <c r="X25" s="61"/>
      <c r="Y25" s="61"/>
      <c r="Z25" s="3" t="str">
        <f>IF(AND(H19="B",AF4&lt;3),IF(H2="(一般部)","","× 2"),IF(AND(H19="A",AF4&gt;=3),IF(H2="(一般部)","× 0.80 × 0.80","× 0.80 × 0.80 × 2"),IF(H2="(一般部)","× 0.80","× 0.80 × 2")))</f>
        <v>× 0.80</v>
      </c>
      <c r="AC25" s="61"/>
      <c r="AH25" s="3" t="s">
        <v>99</v>
      </c>
      <c r="AI25" s="55">
        <f>IF(AND(H19="B",AF4&lt;3),IF(H2="(一般部)",(F25*J25+N25)*S25*W25,(F25*J25+N25)*S25*W25*2),IF(AND(H19="A",AF4&gt;=3),IF(H2="(一般部)",(F25*J25+N25)*S25*W25*0.8*0.8,(F25*J25+N25)*S25*W25*0.8*0.8*2),IF(H2="(一般部)",(F25*J25+N25)*S25*W25*0.8,(F25*J25+N25)*S25*W25*0.8*2)))</f>
        <v>28.64</v>
      </c>
      <c r="AJ25" s="55"/>
      <c r="AK25" s="55"/>
      <c r="AL25" s="55"/>
      <c r="AM25" s="3" t="s">
        <v>18</v>
      </c>
    </row>
    <row r="26" spans="2:8" ht="22.5" customHeight="1">
      <c r="B26" s="58" t="s">
        <v>222</v>
      </c>
      <c r="H26" s="2"/>
    </row>
    <row r="27" spans="2:14" s="7" customFormat="1" ht="22.5" customHeight="1">
      <c r="B27" s="10"/>
      <c r="C27" s="10" t="str">
        <f>IF(AF4&lt;3,IF(H2="(一般部)","Ml = ( 0.10 L ＋ 0.04 ) P","Ml = ( 0.10 L ＋ 0.04 ) P × 2"),IF(H2="(一般部)","Ml = ( 0.10 L ＋ 0.04 ) P × 0.8","Ml = ( 0.10 L ＋ 0.04 ) P × 0.8 × 2"))</f>
        <v>Ml = ( 0.10 L ＋ 0.04 ) P × 0.8</v>
      </c>
      <c r="D27" s="125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4:39" s="7" customFormat="1" ht="22.5" customHeight="1">
      <c r="D28" s="102" t="s">
        <v>99</v>
      </c>
      <c r="E28" s="7" t="s">
        <v>123</v>
      </c>
      <c r="F28" s="77">
        <v>0.1</v>
      </c>
      <c r="G28" s="77"/>
      <c r="H28" s="77"/>
      <c r="I28" s="10" t="s">
        <v>98</v>
      </c>
      <c r="J28" s="126">
        <f>O4</f>
        <v>2.4</v>
      </c>
      <c r="K28" s="78"/>
      <c r="L28" s="78"/>
      <c r="M28" s="7" t="s">
        <v>124</v>
      </c>
      <c r="N28" s="77">
        <v>0.04</v>
      </c>
      <c r="O28" s="77"/>
      <c r="P28" s="77"/>
      <c r="Q28" s="7" t="s">
        <v>104</v>
      </c>
      <c r="R28" s="10" t="s">
        <v>98</v>
      </c>
      <c r="S28" s="127">
        <f>AB19</f>
        <v>100</v>
      </c>
      <c r="T28" s="77"/>
      <c r="U28" s="77"/>
      <c r="V28" s="7" t="str">
        <f>IF(AND(H19="B",AF4&lt;3),IF(H2="(一般部)","","× 2"),IF(AND(H19="A",AF4&gt;=3),IF(H2="(一般部)","× 0.80 × 0.80","× 0.80 × 0.80 × 2"),IF(H2="(一般部)","× 0.80","× 0.80 × 2")))</f>
        <v>× 0.80</v>
      </c>
      <c r="AH28" s="7" t="s">
        <v>99</v>
      </c>
      <c r="AI28" s="79">
        <f>IF(AND(H19="B",AF4&lt;3),IF(H2="(一般部)",(F28*J28+N28)*S28,(F28*J28+N28)*S28*2),IF(AND(H19="A",AF4&gt;=3),IF(H2="(一般部)",(F28*J28+N28)*S28*0.8*0.8,(F28*J28+N28)*S28*0.8*0.8*2),IF(H2="(一般部)",(F28*J28+N28)*S28*0.8,(F28*J28+N28)*S28*0.8*2)))</f>
        <v>22.4</v>
      </c>
      <c r="AJ28" s="79"/>
      <c r="AK28" s="79"/>
      <c r="AL28" s="79"/>
      <c r="AM28" s="7" t="s">
        <v>18</v>
      </c>
    </row>
    <row r="29" spans="1:37" ht="22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2.5" customHeight="1">
      <c r="A30" s="7"/>
      <c r="B30" s="3" t="s">
        <v>223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2.5" customHeight="1">
      <c r="A31" s="10"/>
      <c r="B31" s="10"/>
      <c r="C31" s="10" t="s">
        <v>139</v>
      </c>
      <c r="D31" s="10"/>
      <c r="E31" s="10"/>
      <c r="F31" s="10"/>
      <c r="G31" s="10"/>
      <c r="H31" s="10"/>
      <c r="I31" s="10"/>
      <c r="J31" s="158" t="s">
        <v>40</v>
      </c>
      <c r="K31" s="10"/>
      <c r="L31" s="126"/>
      <c r="M31" s="78"/>
      <c r="N31" s="10"/>
      <c r="O31" s="7"/>
      <c r="P31" s="7"/>
      <c r="Q31" s="7"/>
      <c r="R31" s="7"/>
      <c r="S31" s="7"/>
      <c r="T31" s="7"/>
      <c r="U31" s="7"/>
      <c r="V31" s="7"/>
      <c r="W31" s="7"/>
      <c r="X31" s="7"/>
      <c r="Y31" s="10"/>
      <c r="Z31" s="10"/>
      <c r="AA31" s="10"/>
      <c r="AB31" s="10"/>
      <c r="AC31" s="7"/>
      <c r="AD31" s="7"/>
      <c r="AE31" s="7"/>
      <c r="AF31" s="7"/>
      <c r="AG31" s="7"/>
      <c r="AH31" s="7"/>
      <c r="AI31" s="7"/>
      <c r="AJ31" s="7"/>
      <c r="AK31" s="7"/>
    </row>
    <row r="32" spans="1:38" ht="22.5" customHeight="1">
      <c r="A32" s="7"/>
      <c r="B32" s="7"/>
      <c r="C32" s="10" t="s">
        <v>140</v>
      </c>
      <c r="D32" s="115"/>
      <c r="E32" s="83"/>
      <c r="F32" s="83"/>
      <c r="G32" s="83"/>
      <c r="H32" s="83"/>
      <c r="I32" s="83"/>
      <c r="J32" s="79"/>
      <c r="K32" s="79"/>
      <c r="L32" s="7"/>
      <c r="M32" s="7"/>
      <c r="N32" s="147" t="s">
        <v>141</v>
      </c>
      <c r="O32" s="86"/>
      <c r="P32" s="7"/>
      <c r="Q32" s="203">
        <v>24</v>
      </c>
      <c r="R32" s="163"/>
      <c r="S32" s="163"/>
      <c r="T32" s="83" t="s">
        <v>142</v>
      </c>
      <c r="U32" s="84"/>
      <c r="V32" s="7"/>
      <c r="W32" s="145" t="s">
        <v>143</v>
      </c>
      <c r="X32" s="7"/>
      <c r="Y32" s="145"/>
      <c r="Z32" s="145"/>
      <c r="AA32" s="145"/>
      <c r="AB32" s="145"/>
      <c r="AC32" s="145"/>
      <c r="AD32" s="145"/>
      <c r="AE32" s="145"/>
      <c r="AF32" s="73"/>
      <c r="AG32" s="73"/>
      <c r="AH32" s="7"/>
      <c r="AI32" s="159" t="s">
        <v>144</v>
      </c>
      <c r="AJ32" s="145"/>
      <c r="AK32" s="204">
        <v>7</v>
      </c>
      <c r="AL32" s="204"/>
    </row>
    <row r="33" spans="1:37" ht="22.5" customHeight="1">
      <c r="A33" s="7"/>
      <c r="B33" s="7"/>
      <c r="C33" s="7" t="s">
        <v>145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147" t="s">
        <v>146</v>
      </c>
      <c r="O33" s="7"/>
      <c r="P33" s="7"/>
      <c r="Q33" s="147" t="s">
        <v>147</v>
      </c>
      <c r="R33" s="70"/>
      <c r="S33" s="70"/>
      <c r="T33" s="128">
        <f>IF(J31="合成",3.5,IF(J31="非合成",3,"ERROR"))</f>
        <v>3</v>
      </c>
      <c r="U33" s="128"/>
      <c r="V33" s="129" t="s">
        <v>99</v>
      </c>
      <c r="W33" s="127">
        <f>Q32</f>
        <v>24</v>
      </c>
      <c r="X33" s="127"/>
      <c r="Y33" s="80" t="s">
        <v>116</v>
      </c>
      <c r="Z33" s="128">
        <f>T33</f>
        <v>3</v>
      </c>
      <c r="AA33" s="128"/>
      <c r="AB33" s="7" t="s">
        <v>99</v>
      </c>
      <c r="AC33" s="77">
        <f>W33/Z33</f>
        <v>8</v>
      </c>
      <c r="AD33" s="77"/>
      <c r="AE33" s="77"/>
      <c r="AF33" s="83" t="s">
        <v>142</v>
      </c>
      <c r="AG33" s="84"/>
      <c r="AH33" s="7"/>
      <c r="AI33" s="7"/>
      <c r="AJ33" s="7"/>
      <c r="AK33" s="7"/>
    </row>
    <row r="34" spans="1:37" ht="22.5" customHeight="1">
      <c r="A34" s="7"/>
      <c r="B34" s="7"/>
      <c r="C34" s="145" t="s">
        <v>148</v>
      </c>
      <c r="D34" s="145"/>
      <c r="E34" s="145"/>
      <c r="F34" s="145"/>
      <c r="G34" s="145" t="s">
        <v>149</v>
      </c>
      <c r="H34" s="145"/>
      <c r="I34" s="204">
        <v>295</v>
      </c>
      <c r="J34" s="204"/>
      <c r="K34" s="145" t="s">
        <v>104</v>
      </c>
      <c r="L34" s="7"/>
      <c r="M34" s="7"/>
      <c r="N34" s="147" t="s">
        <v>150</v>
      </c>
      <c r="O34" s="145"/>
      <c r="P34" s="7"/>
      <c r="Q34" s="70">
        <v>140</v>
      </c>
      <c r="R34" s="70"/>
      <c r="S34" s="70"/>
      <c r="T34" s="87" t="s">
        <v>123</v>
      </c>
      <c r="U34" s="70">
        <v>120</v>
      </c>
      <c r="V34" s="70"/>
      <c r="W34" s="7" t="s">
        <v>104</v>
      </c>
      <c r="X34" s="83" t="s">
        <v>142</v>
      </c>
      <c r="Y34" s="7"/>
      <c r="Z34" s="84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2.5" customHeight="1">
      <c r="A35" s="7"/>
      <c r="B35" s="7"/>
      <c r="C35" s="145"/>
      <c r="D35" s="145"/>
      <c r="E35" s="145"/>
      <c r="F35" s="145"/>
      <c r="G35" s="145"/>
      <c r="H35" s="145"/>
      <c r="I35" s="146"/>
      <c r="J35" s="146"/>
      <c r="K35" s="145"/>
      <c r="L35" s="147"/>
      <c r="M35" s="145"/>
      <c r="N35" s="7"/>
      <c r="O35" s="70"/>
      <c r="P35" s="70"/>
      <c r="Q35" s="70"/>
      <c r="R35" s="82" t="s">
        <v>151</v>
      </c>
      <c r="S35" s="70"/>
      <c r="T35" s="70"/>
      <c r="U35" s="70"/>
      <c r="V35" s="7"/>
      <c r="W35" s="83"/>
      <c r="X35" s="84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2.5" customHeight="1">
      <c r="A36" s="7"/>
      <c r="B36" s="7"/>
      <c r="C36" s="145"/>
      <c r="D36" s="145"/>
      <c r="E36" s="145"/>
      <c r="F36" s="145"/>
      <c r="G36" s="145"/>
      <c r="H36" s="145"/>
      <c r="I36" s="146"/>
      <c r="J36" s="146"/>
      <c r="K36" s="145"/>
      <c r="L36" s="147"/>
      <c r="M36" s="145"/>
      <c r="N36" s="7"/>
      <c r="O36" s="70"/>
      <c r="P36" s="70"/>
      <c r="Q36" s="70"/>
      <c r="R36" s="7"/>
      <c r="S36" s="70"/>
      <c r="T36" s="70"/>
      <c r="U36" s="70"/>
      <c r="V36" s="7"/>
      <c r="W36" s="83"/>
      <c r="X36" s="84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ht="22.5" customHeight="1">
      <c r="C37" s="56" t="s">
        <v>287</v>
      </c>
    </row>
    <row r="38" spans="24:33" s="74" customFormat="1" ht="16.5" customHeight="1">
      <c r="X38" s="74" t="s">
        <v>112</v>
      </c>
      <c r="AB38" s="74" t="s">
        <v>112</v>
      </c>
      <c r="AG38" s="74" t="s">
        <v>112</v>
      </c>
    </row>
    <row r="39" spans="4:25" s="2" customFormat="1" ht="21.75" customHeight="1">
      <c r="D39" s="2" t="s">
        <v>153</v>
      </c>
      <c r="M39" s="74" t="s">
        <v>154</v>
      </c>
      <c r="N39" s="74"/>
      <c r="O39" s="70">
        <f>L13*100</f>
        <v>25</v>
      </c>
      <c r="P39" s="15"/>
      <c r="Q39" s="15"/>
      <c r="R39" s="74" t="s">
        <v>155</v>
      </c>
      <c r="S39" s="11"/>
      <c r="W39" s="11"/>
      <c r="X39" s="11"/>
      <c r="Y39" s="11"/>
    </row>
    <row r="40" spans="4:25" s="2" customFormat="1" ht="21.75" customHeight="1">
      <c r="D40" s="2" t="s">
        <v>156</v>
      </c>
      <c r="M40" s="72" t="s">
        <v>157</v>
      </c>
      <c r="N40" s="68"/>
      <c r="O40" s="70">
        <f>O39-O42</f>
        <v>21</v>
      </c>
      <c r="P40" s="15"/>
      <c r="Q40" s="15"/>
      <c r="R40" s="74" t="s">
        <v>155</v>
      </c>
      <c r="S40" s="11"/>
      <c r="W40" s="11"/>
      <c r="X40" s="11"/>
      <c r="Y40" s="11"/>
    </row>
    <row r="41" spans="4:25" s="2" customFormat="1" ht="21.75" customHeight="1">
      <c r="D41" s="8" t="s">
        <v>158</v>
      </c>
      <c r="E41" s="18"/>
      <c r="F41" s="148"/>
      <c r="G41" s="18"/>
      <c r="H41" s="18"/>
      <c r="M41" s="73" t="s">
        <v>159</v>
      </c>
      <c r="N41" s="68"/>
      <c r="O41" s="203">
        <v>4</v>
      </c>
      <c r="P41" s="163"/>
      <c r="Q41" s="163"/>
      <c r="R41" s="74" t="s">
        <v>155</v>
      </c>
      <c r="S41" s="11"/>
      <c r="W41" s="11"/>
      <c r="X41" s="11"/>
      <c r="Y41" s="11"/>
    </row>
    <row r="42" spans="4:25" s="2" customFormat="1" ht="21.75" customHeight="1">
      <c r="D42" s="8" t="s">
        <v>160</v>
      </c>
      <c r="G42" s="149"/>
      <c r="H42" s="149"/>
      <c r="M42" s="73" t="s">
        <v>161</v>
      </c>
      <c r="N42" s="68"/>
      <c r="O42" s="203">
        <v>4</v>
      </c>
      <c r="P42" s="163"/>
      <c r="Q42" s="163"/>
      <c r="R42" s="74" t="s">
        <v>155</v>
      </c>
      <c r="S42" s="11"/>
      <c r="W42" s="11"/>
      <c r="X42" s="11"/>
      <c r="Y42" s="11"/>
    </row>
    <row r="43" spans="4:18" s="2" customFormat="1" ht="21.75" customHeight="1">
      <c r="D43" s="2" t="s">
        <v>162</v>
      </c>
      <c r="M43" s="18" t="s">
        <v>163</v>
      </c>
      <c r="N43" s="18"/>
      <c r="O43" s="70">
        <v>100</v>
      </c>
      <c r="P43" s="15"/>
      <c r="Q43" s="15"/>
      <c r="R43" s="74" t="s">
        <v>155</v>
      </c>
    </row>
    <row r="44" spans="4:40" s="2" customFormat="1" ht="21.75" customHeight="1">
      <c r="D44" s="74" t="s">
        <v>164</v>
      </c>
      <c r="E44" s="74"/>
      <c r="F44" s="74"/>
      <c r="G44" s="74"/>
      <c r="H44" s="74"/>
      <c r="J44" s="74" t="s">
        <v>19</v>
      </c>
      <c r="K44" s="74"/>
      <c r="L44" s="73">
        <v>19</v>
      </c>
      <c r="M44" s="68"/>
      <c r="N44" s="144"/>
      <c r="O44" s="74"/>
      <c r="P44" s="74" t="s">
        <v>20</v>
      </c>
      <c r="Q44" s="74"/>
      <c r="S44" s="203">
        <v>125</v>
      </c>
      <c r="T44" s="163"/>
      <c r="U44" s="163"/>
      <c r="V44" s="74" t="s">
        <v>100</v>
      </c>
      <c r="Y44" s="74" t="s">
        <v>165</v>
      </c>
      <c r="Z44" s="74"/>
      <c r="AA44" s="74"/>
      <c r="AB44" s="74"/>
      <c r="AC44" s="74"/>
      <c r="AD44" s="74"/>
      <c r="AE44" s="74"/>
      <c r="AH44" s="74" t="s">
        <v>166</v>
      </c>
      <c r="AI44" s="74"/>
      <c r="AJ44" s="75">
        <f>IF(L44=13,1.267*1000/S44,IF(L44=16,1.986*1000/S44,IF(L44=19,2.865*1000/S44,IF(L44=22,3.871*1000/S44,IF(L44=25,5.067*1000/S44,IF(L44=29,6.424*1000/S44,7.942*1000/S44))))))</f>
        <v>22.92</v>
      </c>
      <c r="AK44" s="153"/>
      <c r="AL44" s="153"/>
      <c r="AM44" s="153"/>
      <c r="AN44" s="74" t="s">
        <v>167</v>
      </c>
    </row>
    <row r="45" spans="4:40" s="2" customFormat="1" ht="21.75" customHeight="1">
      <c r="D45" s="74" t="s">
        <v>168</v>
      </c>
      <c r="E45" s="74"/>
      <c r="F45" s="74"/>
      <c r="G45" s="74"/>
      <c r="H45" s="74"/>
      <c r="I45" s="74"/>
      <c r="J45" s="74" t="s">
        <v>19</v>
      </c>
      <c r="K45" s="74"/>
      <c r="L45" s="73">
        <v>19</v>
      </c>
      <c r="M45" s="68"/>
      <c r="N45" s="144"/>
      <c r="O45" s="74"/>
      <c r="P45" s="74" t="s">
        <v>20</v>
      </c>
      <c r="Q45" s="74"/>
      <c r="S45" s="203">
        <v>250</v>
      </c>
      <c r="T45" s="163"/>
      <c r="U45" s="163"/>
      <c r="V45" s="74" t="s">
        <v>100</v>
      </c>
      <c r="X45" s="74"/>
      <c r="Y45" s="74" t="s">
        <v>169</v>
      </c>
      <c r="Z45" s="74"/>
      <c r="AA45" s="74"/>
      <c r="AB45" s="74"/>
      <c r="AC45" s="74"/>
      <c r="AD45" s="74"/>
      <c r="AE45" s="74"/>
      <c r="AH45" s="74" t="s">
        <v>170</v>
      </c>
      <c r="AI45" s="74"/>
      <c r="AJ45" s="75">
        <f>IF(L45=13,1.267*1000/S45,IF(L45=16,1.986*1000/S45,IF(L45=19,2.865*1000/S45,IF(L45=22,3.871*1000/S45,IF(L45=25,5.067*1000/S45,IF(L45=29,6.424*1000/S45,7.942*1000/S45))))))</f>
        <v>11.46</v>
      </c>
      <c r="AK45" s="153"/>
      <c r="AL45" s="153"/>
      <c r="AM45" s="153"/>
      <c r="AN45" s="74" t="s">
        <v>167</v>
      </c>
    </row>
    <row r="46" spans="3:13" s="74" customFormat="1" ht="16.5" customHeight="1">
      <c r="C46" s="74" t="s">
        <v>171</v>
      </c>
      <c r="K46" s="154"/>
      <c r="L46" s="154"/>
      <c r="M46" s="154"/>
    </row>
    <row r="47" spans="4:13" s="74" customFormat="1" ht="16.5" customHeight="1">
      <c r="D47" s="74" t="s">
        <v>172</v>
      </c>
      <c r="K47" s="154"/>
      <c r="L47" s="154"/>
      <c r="M47" s="154"/>
    </row>
    <row r="48" spans="5:13" s="74" customFormat="1" ht="16.5" customHeight="1">
      <c r="E48" s="74" t="str">
        <f>"= -"&amp;$AK$32&amp;"×("&amp;ROUND(AJ44,2)&amp;" + "&amp;ROUND(AJ45,2)&amp;")/100 + √[ {"&amp;$AK$32&amp;"×("&amp;ROUND(AJ44,2)&amp;" + "&amp;ROUND(AJ45,2)&amp;")/100}^2 + 2×"&amp;$AK$32&amp;"×("&amp;O40&amp;"×"&amp;ROUND(AJ44,2)&amp;" + "&amp;O41&amp;"×"&amp;ROUND(AJ45,2)&amp;")/100 ]"</f>
        <v>= -7×(22.92 + 11.46)/100 + √[ {7×(22.92 + 11.46)/100}^2 + 2×7×(21×22.92 + 4×11.46)/100 ]</v>
      </c>
      <c r="K48" s="154"/>
      <c r="L48" s="154"/>
      <c r="M48" s="154"/>
    </row>
    <row r="49" spans="5:13" s="74" customFormat="1" ht="16.5" customHeight="1">
      <c r="E49" s="74" t="s">
        <v>99</v>
      </c>
      <c r="F49" s="61">
        <f>-$AK$32*(AJ44+AJ45)/100+SQRT(($AK$32*(AJ44+AJ45)/100)^2+2*$AK$32*(O40*AJ44+O41*AJ45)/100)</f>
        <v>6.514953875867142</v>
      </c>
      <c r="G49" s="55"/>
      <c r="H49" s="55"/>
      <c r="I49" s="74" t="s">
        <v>155</v>
      </c>
      <c r="K49" s="154"/>
      <c r="L49" s="154"/>
      <c r="M49" s="154"/>
    </row>
    <row r="50" spans="3:13" s="74" customFormat="1" ht="16.5" customHeight="1">
      <c r="C50" s="74" t="s">
        <v>173</v>
      </c>
      <c r="K50" s="154"/>
      <c r="L50" s="154"/>
      <c r="M50" s="154"/>
    </row>
    <row r="51" spans="4:13" s="74" customFormat="1" ht="16.5" customHeight="1">
      <c r="D51" s="74" t="s">
        <v>174</v>
      </c>
      <c r="K51" s="154"/>
      <c r="L51" s="154"/>
      <c r="M51" s="154"/>
    </row>
    <row r="52" spans="5:13" s="74" customFormat="1" ht="16.5" customHeight="1">
      <c r="E52" s="74" t="str">
        <f>"= ( 100 × "&amp;ROUND(F49,2)&amp;" / 2 ) × ( "&amp;O40&amp;" - "&amp;ROUND(F49,2)&amp;" / 3 ) + "&amp;$AK$32&amp;" × "&amp;ROUND(AJ45,2)&amp;" ×( "&amp;ROUND(F49,2)&amp;" - "&amp;O41&amp;" ) / "&amp;ROUND(F49,2)&amp;" ×( "&amp;O40&amp;" - "&amp;O41&amp;" )"</f>
        <v>= ( 100 × 6.51 / 2 ) × ( 21 - 6.51 / 3 ) + 7 × 11.46 ×( 6.51 - 4 ) / 6.51 ×( 21 - 4 )</v>
      </c>
      <c r="K52" s="154"/>
      <c r="L52" s="154"/>
      <c r="M52" s="154"/>
    </row>
    <row r="53" spans="5:13" s="74" customFormat="1" ht="16.5" customHeight="1">
      <c r="E53" s="74" t="s">
        <v>99</v>
      </c>
      <c r="F53" s="155">
        <f>(100*ROUND(F49,2)/2)*(O40-ROUND(F49,2)/3)+$AK$32*AJ45*(ROUND(F49,2)-O41)/ROUND(F49,2)*(O40-O41)</f>
        <v>6654.969516129031</v>
      </c>
      <c r="G53" s="155"/>
      <c r="H53" s="155"/>
      <c r="I53" s="155"/>
      <c r="J53" s="74" t="s">
        <v>175</v>
      </c>
      <c r="K53" s="154"/>
      <c r="L53" s="154"/>
      <c r="M53" s="154"/>
    </row>
    <row r="54" spans="3:13" s="74" customFormat="1" ht="16.5" customHeight="1">
      <c r="C54" s="74" t="s">
        <v>176</v>
      </c>
      <c r="K54" s="154"/>
      <c r="L54" s="154"/>
      <c r="M54" s="154"/>
    </row>
    <row r="55" spans="4:13" s="74" customFormat="1" ht="16.5" customHeight="1">
      <c r="D55" s="74" t="s">
        <v>177</v>
      </c>
      <c r="K55" s="154"/>
      <c r="L55" s="154"/>
      <c r="M55" s="154"/>
    </row>
    <row r="56" spans="4:13" s="74" customFormat="1" ht="16.5" customHeight="1">
      <c r="D56" s="137" t="str">
        <f>"= (1/"&amp;$AK$32&amp;")×( "&amp;ROUND(F49,2)&amp;" / ( "&amp;O40&amp;"- "&amp;ROUND(F49,2)&amp;" ))×"&amp;ROUND(F53,1)</f>
        <v>= (1/7)×( 6.51 / ( 21- 6.51 ))×6655</v>
      </c>
      <c r="K56" s="154"/>
      <c r="L56" s="154"/>
      <c r="M56" s="154"/>
    </row>
    <row r="57" spans="4:13" s="74" customFormat="1" ht="16.5" customHeight="1">
      <c r="D57" s="74" t="s">
        <v>99</v>
      </c>
      <c r="E57" s="155">
        <f>1/$AK$32*(ROUND(F49,2)/(O40-ROUND(F49,2)))*ROUND(F53,1)</f>
        <v>427.1325051759834</v>
      </c>
      <c r="F57" s="155"/>
      <c r="G57" s="155"/>
      <c r="H57" s="155"/>
      <c r="I57" s="74" t="s">
        <v>175</v>
      </c>
      <c r="K57" s="154"/>
      <c r="L57" s="154"/>
      <c r="M57" s="154"/>
    </row>
    <row r="58" spans="11:13" s="74" customFormat="1" ht="16.5" customHeight="1">
      <c r="K58" s="154"/>
      <c r="L58" s="154"/>
      <c r="M58" s="154"/>
    </row>
    <row r="59" spans="3:23" s="74" customFormat="1" ht="16.5" customHeight="1">
      <c r="C59" s="74" t="s">
        <v>178</v>
      </c>
      <c r="K59" s="76" t="s">
        <v>179</v>
      </c>
      <c r="L59" s="154"/>
      <c r="M59" s="154"/>
      <c r="W59" s="156"/>
    </row>
    <row r="60" spans="3:17" s="74" customFormat="1" ht="16.5" customHeight="1">
      <c r="C60" s="74" t="s">
        <v>180</v>
      </c>
      <c r="K60" s="74" t="s">
        <v>181</v>
      </c>
      <c r="L60" s="154"/>
      <c r="M60" s="154"/>
      <c r="Q60" s="74" t="s">
        <v>182</v>
      </c>
    </row>
    <row r="61" spans="11:13" s="74" customFormat="1" ht="16.5" customHeight="1">
      <c r="K61" s="154"/>
      <c r="L61" s="154"/>
      <c r="M61" s="154"/>
    </row>
    <row r="62" spans="1:42" s="74" customFormat="1" ht="16.5" customHeight="1">
      <c r="A62" s="3"/>
      <c r="B62" s="3"/>
      <c r="C62" s="168" t="s">
        <v>183</v>
      </c>
      <c r="D62" s="168"/>
      <c r="E62" s="168"/>
      <c r="F62" s="168"/>
      <c r="G62" s="168"/>
      <c r="H62" s="168"/>
      <c r="I62" s="168"/>
      <c r="J62" s="168"/>
      <c r="K62" s="168"/>
      <c r="L62" s="176" t="s">
        <v>184</v>
      </c>
      <c r="M62" s="177"/>
      <c r="N62" s="177"/>
      <c r="O62" s="177"/>
      <c r="P62" s="178"/>
      <c r="Q62" s="168" t="s">
        <v>185</v>
      </c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 t="s">
        <v>186</v>
      </c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72" t="s">
        <v>187</v>
      </c>
      <c r="AN62" s="173"/>
      <c r="AO62" s="173"/>
      <c r="AP62" s="174"/>
    </row>
    <row r="63" spans="1:42" s="74" customFormat="1" ht="16.5" customHeight="1">
      <c r="A63" s="3"/>
      <c r="B63" s="3"/>
      <c r="C63" s="168"/>
      <c r="D63" s="168"/>
      <c r="E63" s="168"/>
      <c r="F63" s="168"/>
      <c r="G63" s="168"/>
      <c r="H63" s="168"/>
      <c r="I63" s="168"/>
      <c r="J63" s="168"/>
      <c r="K63" s="168"/>
      <c r="L63" s="179" t="s">
        <v>188</v>
      </c>
      <c r="M63" s="180"/>
      <c r="N63" s="180"/>
      <c r="O63" s="180"/>
      <c r="P63" s="181"/>
      <c r="Q63" s="168" t="s">
        <v>189</v>
      </c>
      <c r="R63" s="168"/>
      <c r="S63" s="168"/>
      <c r="T63" s="168"/>
      <c r="U63" s="168" t="s">
        <v>187</v>
      </c>
      <c r="V63" s="168"/>
      <c r="W63" s="168"/>
      <c r="X63" s="168"/>
      <c r="Y63" s="168" t="s">
        <v>190</v>
      </c>
      <c r="Z63" s="168"/>
      <c r="AA63" s="168"/>
      <c r="AB63" s="168" t="s">
        <v>189</v>
      </c>
      <c r="AC63" s="168"/>
      <c r="AD63" s="168"/>
      <c r="AE63" s="168"/>
      <c r="AF63" s="168" t="s">
        <v>187</v>
      </c>
      <c r="AG63" s="168"/>
      <c r="AH63" s="168"/>
      <c r="AI63" s="168"/>
      <c r="AJ63" s="168" t="s">
        <v>190</v>
      </c>
      <c r="AK63" s="168"/>
      <c r="AL63" s="168"/>
      <c r="AM63" s="151" t="s">
        <v>191</v>
      </c>
      <c r="AN63" s="152"/>
      <c r="AO63" s="152"/>
      <c r="AP63" s="134"/>
    </row>
    <row r="64" spans="1:42" s="74" customFormat="1" ht="22.5" customHeight="1">
      <c r="A64" s="3"/>
      <c r="B64" s="3"/>
      <c r="C64" s="167" t="s">
        <v>192</v>
      </c>
      <c r="D64" s="167"/>
      <c r="E64" s="167"/>
      <c r="F64" s="167"/>
      <c r="G64" s="167"/>
      <c r="H64" s="167"/>
      <c r="I64" s="167"/>
      <c r="J64" s="167"/>
      <c r="K64" s="167"/>
      <c r="L64" s="182">
        <f>Z16</f>
        <v>4.5648</v>
      </c>
      <c r="M64" s="183"/>
      <c r="N64" s="183"/>
      <c r="O64" s="183"/>
      <c r="P64" s="184"/>
      <c r="Q64" s="168" t="s">
        <v>122</v>
      </c>
      <c r="R64" s="168"/>
      <c r="S64" s="168"/>
      <c r="T64" s="168"/>
      <c r="U64" s="168" t="s">
        <v>122</v>
      </c>
      <c r="V64" s="168"/>
      <c r="W64" s="168"/>
      <c r="X64" s="168"/>
      <c r="Y64" s="168" t="s">
        <v>122</v>
      </c>
      <c r="Z64" s="168"/>
      <c r="AA64" s="168"/>
      <c r="AB64" s="168" t="s">
        <v>122</v>
      </c>
      <c r="AC64" s="168"/>
      <c r="AD64" s="168"/>
      <c r="AE64" s="168"/>
      <c r="AF64" s="168" t="s">
        <v>122</v>
      </c>
      <c r="AG64" s="168"/>
      <c r="AH64" s="168"/>
      <c r="AI64" s="168"/>
      <c r="AJ64" s="168" t="s">
        <v>122</v>
      </c>
      <c r="AK64" s="168"/>
      <c r="AL64" s="168"/>
      <c r="AM64" s="168" t="s">
        <v>122</v>
      </c>
      <c r="AN64" s="168"/>
      <c r="AO64" s="168"/>
      <c r="AP64" s="168"/>
    </row>
    <row r="65" spans="1:42" s="74" customFormat="1" ht="22.5" customHeight="1">
      <c r="A65" s="3"/>
      <c r="B65" s="3"/>
      <c r="C65" s="167" t="s">
        <v>193</v>
      </c>
      <c r="D65" s="167"/>
      <c r="E65" s="167"/>
      <c r="F65" s="167"/>
      <c r="G65" s="167"/>
      <c r="H65" s="167"/>
      <c r="I65" s="167"/>
      <c r="J65" s="167"/>
      <c r="K65" s="167"/>
      <c r="L65" s="169">
        <f>AI25</f>
        <v>28.64</v>
      </c>
      <c r="M65" s="170"/>
      <c r="N65" s="170"/>
      <c r="O65" s="170"/>
      <c r="P65" s="171"/>
      <c r="Q65" s="168" t="s">
        <v>122</v>
      </c>
      <c r="R65" s="168"/>
      <c r="S65" s="168"/>
      <c r="T65" s="168"/>
      <c r="U65" s="168" t="s">
        <v>122</v>
      </c>
      <c r="V65" s="168"/>
      <c r="W65" s="168"/>
      <c r="X65" s="168"/>
      <c r="Y65" s="168" t="s">
        <v>122</v>
      </c>
      <c r="Z65" s="168"/>
      <c r="AA65" s="168"/>
      <c r="AB65" s="168" t="s">
        <v>122</v>
      </c>
      <c r="AC65" s="168"/>
      <c r="AD65" s="168"/>
      <c r="AE65" s="168"/>
      <c r="AF65" s="168" t="s">
        <v>122</v>
      </c>
      <c r="AG65" s="168"/>
      <c r="AH65" s="168"/>
      <c r="AI65" s="168"/>
      <c r="AJ65" s="168" t="s">
        <v>122</v>
      </c>
      <c r="AK65" s="168"/>
      <c r="AL65" s="168"/>
      <c r="AM65" s="168" t="s">
        <v>122</v>
      </c>
      <c r="AN65" s="168"/>
      <c r="AO65" s="168"/>
      <c r="AP65" s="168"/>
    </row>
    <row r="66" spans="3:42" ht="22.5" customHeight="1">
      <c r="C66" s="167" t="s">
        <v>196</v>
      </c>
      <c r="D66" s="167"/>
      <c r="E66" s="167"/>
      <c r="F66" s="167"/>
      <c r="G66" s="167"/>
      <c r="H66" s="167"/>
      <c r="I66" s="167"/>
      <c r="J66" s="167"/>
      <c r="K66" s="167"/>
      <c r="L66" s="169">
        <f>L64+L65</f>
        <v>33.2048</v>
      </c>
      <c r="M66" s="170"/>
      <c r="N66" s="170"/>
      <c r="O66" s="170"/>
      <c r="P66" s="171"/>
      <c r="Q66" s="150">
        <f>ABS(L66)/F53*1000</f>
        <v>4.989474394965238</v>
      </c>
      <c r="R66" s="150"/>
      <c r="S66" s="150"/>
      <c r="T66" s="150"/>
      <c r="U66" s="150">
        <f>$AC$33</f>
        <v>8</v>
      </c>
      <c r="V66" s="150"/>
      <c r="W66" s="150"/>
      <c r="X66" s="150"/>
      <c r="Y66" s="168" t="str">
        <f>IF(Q66&lt;=U66,"O.K.","N.G.")</f>
        <v>O.K.</v>
      </c>
      <c r="Z66" s="168"/>
      <c r="AA66" s="168"/>
      <c r="AB66" s="150">
        <f>ABS(L66)/E57*1000</f>
        <v>77.73887399723709</v>
      </c>
      <c r="AC66" s="150"/>
      <c r="AD66" s="150"/>
      <c r="AE66" s="150"/>
      <c r="AF66" s="232">
        <f>$U$34</f>
        <v>120</v>
      </c>
      <c r="AG66" s="232"/>
      <c r="AH66" s="232"/>
      <c r="AI66" s="232"/>
      <c r="AJ66" s="168" t="str">
        <f>IF(AB66&lt;=AF66,"O.K.","N.G.")</f>
        <v>O.K.</v>
      </c>
      <c r="AK66" s="168"/>
      <c r="AL66" s="168"/>
      <c r="AM66" s="150">
        <v>1</v>
      </c>
      <c r="AN66" s="150"/>
      <c r="AO66" s="150"/>
      <c r="AP66" s="150"/>
    </row>
    <row r="68" ht="22.5" customHeight="1">
      <c r="C68" s="56" t="s">
        <v>291</v>
      </c>
    </row>
    <row r="69" spans="24:33" s="74" customFormat="1" ht="16.5" customHeight="1">
      <c r="X69" s="74" t="s">
        <v>112</v>
      </c>
      <c r="AB69" s="74" t="s">
        <v>112</v>
      </c>
      <c r="AG69" s="74" t="s">
        <v>112</v>
      </c>
    </row>
    <row r="70" spans="4:25" s="2" customFormat="1" ht="21.75" customHeight="1">
      <c r="D70" s="2" t="s">
        <v>153</v>
      </c>
      <c r="M70" s="74" t="s">
        <v>154</v>
      </c>
      <c r="N70" s="74"/>
      <c r="O70" s="70">
        <f>O39</f>
        <v>25</v>
      </c>
      <c r="P70" s="15"/>
      <c r="Q70" s="15"/>
      <c r="R70" s="74" t="s">
        <v>155</v>
      </c>
      <c r="S70" s="11"/>
      <c r="W70" s="11"/>
      <c r="X70" s="11"/>
      <c r="Y70" s="11"/>
    </row>
    <row r="71" spans="4:25" s="2" customFormat="1" ht="21.75" customHeight="1">
      <c r="D71" s="2" t="s">
        <v>156</v>
      </c>
      <c r="M71" s="72" t="s">
        <v>157</v>
      </c>
      <c r="N71" s="68"/>
      <c r="O71" s="70">
        <f>O70-O73</f>
        <v>19.25</v>
      </c>
      <c r="P71" s="15"/>
      <c r="Q71" s="15"/>
      <c r="R71" s="74" t="s">
        <v>155</v>
      </c>
      <c r="S71" s="11"/>
      <c r="W71" s="11"/>
      <c r="X71" s="11"/>
      <c r="Y71" s="11"/>
    </row>
    <row r="72" spans="4:25" s="2" customFormat="1" ht="21.75" customHeight="1">
      <c r="D72" s="8" t="s">
        <v>158</v>
      </c>
      <c r="E72" s="18"/>
      <c r="F72" s="148"/>
      <c r="G72" s="18"/>
      <c r="H72" s="18"/>
      <c r="M72" s="73" t="s">
        <v>159</v>
      </c>
      <c r="N72" s="68"/>
      <c r="O72" s="70">
        <f>O41+(L44+L75)/10/2</f>
        <v>5.75</v>
      </c>
      <c r="P72" s="15"/>
      <c r="Q72" s="15"/>
      <c r="R72" s="74" t="s">
        <v>155</v>
      </c>
      <c r="S72" s="11"/>
      <c r="W72" s="11"/>
      <c r="X72" s="11"/>
      <c r="Y72" s="11"/>
    </row>
    <row r="73" spans="4:25" s="2" customFormat="1" ht="21.75" customHeight="1">
      <c r="D73" s="8" t="s">
        <v>160</v>
      </c>
      <c r="G73" s="149"/>
      <c r="H73" s="149"/>
      <c r="M73" s="73" t="s">
        <v>161</v>
      </c>
      <c r="N73" s="68"/>
      <c r="O73" s="70">
        <f>O42+(L45+L76)/10/2</f>
        <v>5.75</v>
      </c>
      <c r="P73" s="15"/>
      <c r="Q73" s="15"/>
      <c r="R73" s="74" t="s">
        <v>155</v>
      </c>
      <c r="S73" s="11"/>
      <c r="W73" s="11"/>
      <c r="X73" s="11"/>
      <c r="Y73" s="11"/>
    </row>
    <row r="74" spans="4:18" s="2" customFormat="1" ht="21.75" customHeight="1">
      <c r="D74" s="2" t="s">
        <v>162</v>
      </c>
      <c r="M74" s="18" t="s">
        <v>163</v>
      </c>
      <c r="N74" s="18"/>
      <c r="O74" s="70">
        <v>100</v>
      </c>
      <c r="P74" s="15"/>
      <c r="Q74" s="15"/>
      <c r="R74" s="74" t="s">
        <v>155</v>
      </c>
    </row>
    <row r="75" spans="4:40" s="2" customFormat="1" ht="21.75" customHeight="1">
      <c r="D75" s="74" t="s">
        <v>164</v>
      </c>
      <c r="E75" s="74"/>
      <c r="F75" s="74"/>
      <c r="G75" s="74"/>
      <c r="H75" s="74"/>
      <c r="J75" s="74" t="s">
        <v>19</v>
      </c>
      <c r="K75" s="74"/>
      <c r="L75" s="73">
        <v>16</v>
      </c>
      <c r="M75" s="68"/>
      <c r="N75" s="144"/>
      <c r="P75" s="74" t="s">
        <v>20</v>
      </c>
      <c r="R75" s="74"/>
      <c r="S75" s="203">
        <v>125</v>
      </c>
      <c r="T75" s="163"/>
      <c r="U75" s="163"/>
      <c r="V75" s="74" t="s">
        <v>100</v>
      </c>
      <c r="Y75" s="74" t="s">
        <v>165</v>
      </c>
      <c r="Z75" s="74"/>
      <c r="AA75" s="74"/>
      <c r="AB75" s="74"/>
      <c r="AC75" s="74"/>
      <c r="AD75" s="74"/>
      <c r="AE75" s="74"/>
      <c r="AH75" s="74" t="s">
        <v>166</v>
      </c>
      <c r="AI75" s="74"/>
      <c r="AJ75" s="75">
        <f>IF(L75=13,1.267*1000/S75,IF(L75=16,1.986*1000/S75,IF(L75=19,2.865*1000/S75,IF(L75=22,3.871*1000/S75,IF(L75=25,5.067*1000/S75,IF(L75=29,6.424*1000/S75,7.942*1000/S75))))))</f>
        <v>15.888</v>
      </c>
      <c r="AK75" s="153"/>
      <c r="AL75" s="153"/>
      <c r="AM75" s="153"/>
      <c r="AN75" s="74" t="s">
        <v>167</v>
      </c>
    </row>
    <row r="76" spans="4:40" s="2" customFormat="1" ht="21.75" customHeight="1">
      <c r="D76" s="74" t="s">
        <v>168</v>
      </c>
      <c r="E76" s="74"/>
      <c r="F76" s="74"/>
      <c r="G76" s="74"/>
      <c r="H76" s="74"/>
      <c r="I76" s="74"/>
      <c r="J76" s="74" t="s">
        <v>19</v>
      </c>
      <c r="K76" s="74"/>
      <c r="L76" s="73">
        <v>16</v>
      </c>
      <c r="M76" s="68"/>
      <c r="N76" s="144"/>
      <c r="P76" s="74" t="s">
        <v>20</v>
      </c>
      <c r="R76" s="74"/>
      <c r="S76" s="203">
        <v>250</v>
      </c>
      <c r="T76" s="163"/>
      <c r="U76" s="163"/>
      <c r="V76" s="74" t="s">
        <v>100</v>
      </c>
      <c r="X76" s="74"/>
      <c r="Y76" s="74" t="s">
        <v>169</v>
      </c>
      <c r="Z76" s="74"/>
      <c r="AA76" s="74"/>
      <c r="AB76" s="74"/>
      <c r="AC76" s="74"/>
      <c r="AD76" s="74"/>
      <c r="AE76" s="74"/>
      <c r="AH76" s="74" t="s">
        <v>170</v>
      </c>
      <c r="AI76" s="74"/>
      <c r="AJ76" s="75">
        <f>IF(L76=13,1.267*1000/S76,IF(L76=16,1.986*1000/S76,IF(L76=19,2.865*1000/S76,IF(L76=22,3.871*1000/S76,IF(L76=25,5.067*1000/S76,IF(L76=29,6.424*1000/S76,7.942*1000/S76))))))</f>
        <v>7.944</v>
      </c>
      <c r="AK76" s="153"/>
      <c r="AL76" s="153"/>
      <c r="AM76" s="153"/>
      <c r="AN76" s="74" t="s">
        <v>167</v>
      </c>
    </row>
    <row r="77" spans="3:13" s="74" customFormat="1" ht="16.5" customHeight="1">
      <c r="C77" s="74" t="s">
        <v>171</v>
      </c>
      <c r="K77" s="154"/>
      <c r="L77" s="154"/>
      <c r="M77" s="154"/>
    </row>
    <row r="78" spans="4:13" s="74" customFormat="1" ht="16.5" customHeight="1">
      <c r="D78" s="74" t="s">
        <v>172</v>
      </c>
      <c r="K78" s="154"/>
      <c r="L78" s="154"/>
      <c r="M78" s="154"/>
    </row>
    <row r="79" spans="5:13" s="74" customFormat="1" ht="16.5" customHeight="1">
      <c r="E79" s="74" t="str">
        <f>"= -"&amp;$AK$32&amp;"×("&amp;ROUND(AJ75,2)&amp;" + "&amp;ROUND(AJ76,2)&amp;")/100 + √[ {"&amp;$AK$32&amp;"×("&amp;ROUND(AJ75,2)&amp;" + "&amp;ROUND(AJ76,2)&amp;")/100}^2 + 2×"&amp;$AK$32&amp;"×("&amp;O71&amp;"×"&amp;ROUND(AJ75,2)&amp;" + "&amp;O72&amp;"×"&amp;ROUND(AJ76,2)&amp;")/100 ]"</f>
        <v>= -7×(15.89 + 7.94)/100 + √[ {7×(15.89 + 7.94)/100}^2 + 2×7×(19.25×15.89 + 5.75×7.94)/100 ]</v>
      </c>
      <c r="K79" s="154"/>
      <c r="L79" s="154"/>
      <c r="M79" s="154"/>
    </row>
    <row r="80" spans="5:13" s="74" customFormat="1" ht="16.5" customHeight="1">
      <c r="E80" s="74" t="s">
        <v>99</v>
      </c>
      <c r="F80" s="61">
        <f>-$AK$32*(AJ75+AJ76)/100+SQRT(($AK$32*(AJ75+AJ76)/100)^2+2*$AK$32*(O71*AJ75+O72*AJ76)/100)</f>
        <v>5.542592455243985</v>
      </c>
      <c r="G80" s="55"/>
      <c r="H80" s="55"/>
      <c r="I80" s="74" t="s">
        <v>155</v>
      </c>
      <c r="K80" s="154"/>
      <c r="L80" s="154"/>
      <c r="M80" s="154"/>
    </row>
    <row r="81" spans="3:13" s="74" customFormat="1" ht="16.5" customHeight="1">
      <c r="C81" s="74" t="s">
        <v>173</v>
      </c>
      <c r="K81" s="154"/>
      <c r="L81" s="154"/>
      <c r="M81" s="154"/>
    </row>
    <row r="82" spans="4:13" s="74" customFormat="1" ht="16.5" customHeight="1">
      <c r="D82" s="74" t="s">
        <v>174</v>
      </c>
      <c r="K82" s="154"/>
      <c r="L82" s="154"/>
      <c r="M82" s="154"/>
    </row>
    <row r="83" spans="5:13" s="74" customFormat="1" ht="16.5" customHeight="1">
      <c r="E83" s="74" t="str">
        <f>"= ( 100 × "&amp;ROUND(F80,2)&amp;" / 2 ) × ( "&amp;O71&amp;" - "&amp;ROUND(F80,2)&amp;" / 3 ) + "&amp;$AK$32&amp;"×"&amp;ROUND(AJ75,2)&amp;"×( "&amp;ROUND(F80,2)&amp;" - "&amp;O72&amp;" ) / "&amp;ROUND(F80,2)&amp;" ×( "&amp;O71&amp;" - "&amp;O72&amp;" )"</f>
        <v>= ( 100 × 5.54 / 2 ) × ( 19.25 - 5.54 / 3 ) + 7×15.89×( 5.54 - 5.75 ) / 5.54 ×( 19.25 - 5.75 )</v>
      </c>
      <c r="K83" s="154"/>
      <c r="L83" s="154"/>
      <c r="M83" s="154"/>
    </row>
    <row r="84" spans="5:13" s="74" customFormat="1" ht="16.5" customHeight="1">
      <c r="E84" s="74" t="s">
        <v>99</v>
      </c>
      <c r="F84" s="155">
        <f>(100*ROUND(F80,2)/2)*(O71-ROUND(F80,2)/3)+$AK$32*AJ76*(ROUND(F80,2)-O72)/ROUND(F80,2)*(O71-O72)</f>
        <v>4792.26689290012</v>
      </c>
      <c r="G84" s="155"/>
      <c r="H84" s="155"/>
      <c r="I84" s="155"/>
      <c r="J84" s="74" t="s">
        <v>175</v>
      </c>
      <c r="K84" s="154"/>
      <c r="L84" s="154"/>
      <c r="M84" s="154"/>
    </row>
    <row r="85" spans="3:13" s="74" customFormat="1" ht="16.5" customHeight="1">
      <c r="C85" s="74" t="s">
        <v>176</v>
      </c>
      <c r="K85" s="154"/>
      <c r="L85" s="154"/>
      <c r="M85" s="154"/>
    </row>
    <row r="86" spans="4:13" s="74" customFormat="1" ht="16.5" customHeight="1">
      <c r="D86" s="74" t="s">
        <v>177</v>
      </c>
      <c r="K86" s="154"/>
      <c r="L86" s="154"/>
      <c r="M86" s="154"/>
    </row>
    <row r="87" spans="4:13" s="74" customFormat="1" ht="16.5" customHeight="1">
      <c r="D87" s="137" t="str">
        <f>"= (1/"&amp;$AK$32&amp;")×( "&amp;ROUND(F80,2)&amp;" / ( "&amp;O71&amp;"- "&amp;ROUND(F80,2)&amp;" ))×"&amp;ROUND(F84,1)</f>
        <v>= (1/7)×( 5.54 / ( 19.25- 5.54 ))×4792.3</v>
      </c>
      <c r="K87" s="154"/>
      <c r="L87" s="154"/>
      <c r="M87" s="154"/>
    </row>
    <row r="88" spans="4:13" s="74" customFormat="1" ht="16.5" customHeight="1">
      <c r="D88" s="74" t="s">
        <v>99</v>
      </c>
      <c r="E88" s="155">
        <f>1/$AK$32*(ROUND(F80,2)/(O71-ROUND(F80,2)))*ROUND(F84,1)</f>
        <v>276.64209648848595</v>
      </c>
      <c r="F88" s="155"/>
      <c r="G88" s="155"/>
      <c r="H88" s="155"/>
      <c r="I88" s="74" t="s">
        <v>175</v>
      </c>
      <c r="K88" s="154"/>
      <c r="L88" s="154"/>
      <c r="M88" s="154"/>
    </row>
    <row r="89" spans="11:13" s="74" customFormat="1" ht="16.5" customHeight="1">
      <c r="K89" s="154"/>
      <c r="L89" s="154"/>
      <c r="M89" s="154"/>
    </row>
    <row r="90" spans="3:23" s="74" customFormat="1" ht="16.5" customHeight="1">
      <c r="C90" s="74" t="s">
        <v>178</v>
      </c>
      <c r="K90" s="76" t="s">
        <v>179</v>
      </c>
      <c r="L90" s="154"/>
      <c r="M90" s="154"/>
      <c r="W90" s="156"/>
    </row>
    <row r="91" spans="3:17" s="74" customFormat="1" ht="16.5" customHeight="1">
      <c r="C91" s="74" t="s">
        <v>180</v>
      </c>
      <c r="K91" s="74" t="s">
        <v>181</v>
      </c>
      <c r="L91" s="154"/>
      <c r="M91" s="154"/>
      <c r="Q91" s="74" t="s">
        <v>182</v>
      </c>
    </row>
    <row r="92" spans="11:13" s="74" customFormat="1" ht="16.5" customHeight="1">
      <c r="K92" s="154"/>
      <c r="L92" s="154"/>
      <c r="M92" s="154"/>
    </row>
    <row r="93" spans="1:42" s="74" customFormat="1" ht="16.5" customHeight="1">
      <c r="A93" s="3"/>
      <c r="B93" s="3"/>
      <c r="C93" s="168" t="s">
        <v>183</v>
      </c>
      <c r="D93" s="168"/>
      <c r="E93" s="168"/>
      <c r="F93" s="168"/>
      <c r="G93" s="168"/>
      <c r="H93" s="168"/>
      <c r="I93" s="168"/>
      <c r="J93" s="168"/>
      <c r="K93" s="168"/>
      <c r="L93" s="176" t="s">
        <v>184</v>
      </c>
      <c r="M93" s="177"/>
      <c r="N93" s="177"/>
      <c r="O93" s="177"/>
      <c r="P93" s="178"/>
      <c r="Q93" s="168" t="s">
        <v>185</v>
      </c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 t="s">
        <v>186</v>
      </c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72" t="s">
        <v>187</v>
      </c>
      <c r="AN93" s="173"/>
      <c r="AO93" s="173"/>
      <c r="AP93" s="174"/>
    </row>
    <row r="94" spans="1:42" s="74" customFormat="1" ht="16.5" customHeight="1">
      <c r="A94" s="3"/>
      <c r="B94" s="3"/>
      <c r="C94" s="168"/>
      <c r="D94" s="168"/>
      <c r="E94" s="168"/>
      <c r="F94" s="168"/>
      <c r="G94" s="168"/>
      <c r="H94" s="168"/>
      <c r="I94" s="168"/>
      <c r="J94" s="168"/>
      <c r="K94" s="168"/>
      <c r="L94" s="179" t="s">
        <v>188</v>
      </c>
      <c r="M94" s="180"/>
      <c r="N94" s="180"/>
      <c r="O94" s="180"/>
      <c r="P94" s="181"/>
      <c r="Q94" s="168" t="s">
        <v>189</v>
      </c>
      <c r="R94" s="168"/>
      <c r="S94" s="168"/>
      <c r="T94" s="168"/>
      <c r="U94" s="168" t="s">
        <v>187</v>
      </c>
      <c r="V94" s="168"/>
      <c r="W94" s="168"/>
      <c r="X94" s="168"/>
      <c r="Y94" s="168" t="s">
        <v>190</v>
      </c>
      <c r="Z94" s="168"/>
      <c r="AA94" s="168"/>
      <c r="AB94" s="168" t="s">
        <v>189</v>
      </c>
      <c r="AC94" s="168"/>
      <c r="AD94" s="168"/>
      <c r="AE94" s="168"/>
      <c r="AF94" s="168" t="s">
        <v>187</v>
      </c>
      <c r="AG94" s="168"/>
      <c r="AH94" s="168"/>
      <c r="AI94" s="168"/>
      <c r="AJ94" s="168" t="s">
        <v>190</v>
      </c>
      <c r="AK94" s="168"/>
      <c r="AL94" s="168"/>
      <c r="AM94" s="151" t="s">
        <v>191</v>
      </c>
      <c r="AN94" s="152"/>
      <c r="AO94" s="152"/>
      <c r="AP94" s="134"/>
    </row>
    <row r="95" spans="1:42" s="74" customFormat="1" ht="22.5" customHeight="1">
      <c r="A95" s="3"/>
      <c r="B95" s="3"/>
      <c r="C95" s="167" t="s">
        <v>192</v>
      </c>
      <c r="D95" s="167"/>
      <c r="E95" s="167"/>
      <c r="F95" s="167"/>
      <c r="G95" s="167"/>
      <c r="H95" s="167"/>
      <c r="I95" s="167"/>
      <c r="J95" s="167"/>
      <c r="K95" s="167"/>
      <c r="L95" s="182">
        <v>0</v>
      </c>
      <c r="M95" s="183"/>
      <c r="N95" s="183"/>
      <c r="O95" s="183"/>
      <c r="P95" s="184"/>
      <c r="Q95" s="168" t="s">
        <v>122</v>
      </c>
      <c r="R95" s="168"/>
      <c r="S95" s="168"/>
      <c r="T95" s="168"/>
      <c r="U95" s="168" t="s">
        <v>122</v>
      </c>
      <c r="V95" s="168"/>
      <c r="W95" s="168"/>
      <c r="X95" s="168"/>
      <c r="Y95" s="168" t="s">
        <v>122</v>
      </c>
      <c r="Z95" s="168"/>
      <c r="AA95" s="168"/>
      <c r="AB95" s="168" t="s">
        <v>122</v>
      </c>
      <c r="AC95" s="168"/>
      <c r="AD95" s="168"/>
      <c r="AE95" s="168"/>
      <c r="AF95" s="168" t="s">
        <v>122</v>
      </c>
      <c r="AG95" s="168"/>
      <c r="AH95" s="168"/>
      <c r="AI95" s="168"/>
      <c r="AJ95" s="168" t="s">
        <v>122</v>
      </c>
      <c r="AK95" s="168"/>
      <c r="AL95" s="168"/>
      <c r="AM95" s="168" t="s">
        <v>122</v>
      </c>
      <c r="AN95" s="168"/>
      <c r="AO95" s="168"/>
      <c r="AP95" s="168"/>
    </row>
    <row r="96" spans="1:42" s="74" customFormat="1" ht="22.5" customHeight="1">
      <c r="A96" s="3"/>
      <c r="B96" s="3"/>
      <c r="C96" s="167" t="s">
        <v>193</v>
      </c>
      <c r="D96" s="167"/>
      <c r="E96" s="167"/>
      <c r="F96" s="167"/>
      <c r="G96" s="167"/>
      <c r="H96" s="167"/>
      <c r="I96" s="167"/>
      <c r="J96" s="167"/>
      <c r="K96" s="167"/>
      <c r="L96" s="169">
        <f>AI28</f>
        <v>22.4</v>
      </c>
      <c r="M96" s="170"/>
      <c r="N96" s="170"/>
      <c r="O96" s="170"/>
      <c r="P96" s="171"/>
      <c r="Q96" s="150">
        <f>ABS(L96)/F84*1000</f>
        <v>4.67419709724144</v>
      </c>
      <c r="R96" s="150"/>
      <c r="S96" s="150"/>
      <c r="T96" s="150"/>
      <c r="U96" s="150">
        <f>$AC$33</f>
        <v>8</v>
      </c>
      <c r="V96" s="150"/>
      <c r="W96" s="150"/>
      <c r="X96" s="150"/>
      <c r="Y96" s="168" t="str">
        <f>IF(Q96&lt;=U96,"O.K.","N.G.")</f>
        <v>O.K.</v>
      </c>
      <c r="Z96" s="168"/>
      <c r="AA96" s="168"/>
      <c r="AB96" s="150">
        <f>ABS(L96)/E88*1000</f>
        <v>80.9710462880775</v>
      </c>
      <c r="AC96" s="150"/>
      <c r="AD96" s="150"/>
      <c r="AE96" s="150"/>
      <c r="AF96" s="232">
        <f>$U$34</f>
        <v>120</v>
      </c>
      <c r="AG96" s="232"/>
      <c r="AH96" s="232"/>
      <c r="AI96" s="232"/>
      <c r="AJ96" s="168" t="str">
        <f>IF(AB96&lt;=AF96,"O.K.","N.G.")</f>
        <v>O.K.</v>
      </c>
      <c r="AK96" s="168"/>
      <c r="AL96" s="168"/>
      <c r="AM96" s="150">
        <v>1</v>
      </c>
      <c r="AN96" s="150"/>
      <c r="AO96" s="150"/>
      <c r="AP96" s="150"/>
    </row>
    <row r="97" spans="3:42" ht="22.5" customHeight="1">
      <c r="C97" s="167" t="s">
        <v>194</v>
      </c>
      <c r="D97" s="167"/>
      <c r="E97" s="167"/>
      <c r="F97" s="167"/>
      <c r="G97" s="167"/>
      <c r="H97" s="167"/>
      <c r="I97" s="167"/>
      <c r="J97" s="167"/>
      <c r="K97" s="167"/>
      <c r="L97" s="169">
        <v>0</v>
      </c>
      <c r="M97" s="170"/>
      <c r="N97" s="170"/>
      <c r="O97" s="170"/>
      <c r="P97" s="171"/>
      <c r="Q97" s="168" t="s">
        <v>122</v>
      </c>
      <c r="R97" s="168"/>
      <c r="S97" s="168"/>
      <c r="T97" s="168"/>
      <c r="U97" s="168" t="s">
        <v>122</v>
      </c>
      <c r="V97" s="168"/>
      <c r="W97" s="168"/>
      <c r="X97" s="168"/>
      <c r="Y97" s="168" t="s">
        <v>122</v>
      </c>
      <c r="Z97" s="168"/>
      <c r="AA97" s="168"/>
      <c r="AB97" s="168" t="s">
        <v>122</v>
      </c>
      <c r="AC97" s="168"/>
      <c r="AD97" s="168"/>
      <c r="AE97" s="168"/>
      <c r="AF97" s="168" t="s">
        <v>122</v>
      </c>
      <c r="AG97" s="168"/>
      <c r="AH97" s="168"/>
      <c r="AI97" s="168"/>
      <c r="AJ97" s="168" t="s">
        <v>122</v>
      </c>
      <c r="AK97" s="168"/>
      <c r="AL97" s="168"/>
      <c r="AM97" s="168" t="s">
        <v>122</v>
      </c>
      <c r="AN97" s="168"/>
      <c r="AO97" s="168"/>
      <c r="AP97" s="168"/>
    </row>
    <row r="98" spans="3:42" ht="22.5" customHeight="1">
      <c r="C98" s="167" t="s">
        <v>195</v>
      </c>
      <c r="D98" s="167"/>
      <c r="E98" s="167"/>
      <c r="F98" s="167"/>
      <c r="G98" s="167"/>
      <c r="H98" s="167"/>
      <c r="I98" s="167"/>
      <c r="J98" s="167"/>
      <c r="K98" s="167"/>
      <c r="L98" s="169">
        <v>0</v>
      </c>
      <c r="M98" s="170"/>
      <c r="N98" s="170"/>
      <c r="O98" s="170"/>
      <c r="P98" s="171"/>
      <c r="Q98" s="168" t="s">
        <v>122</v>
      </c>
      <c r="R98" s="168"/>
      <c r="S98" s="168"/>
      <c r="T98" s="168"/>
      <c r="U98" s="168" t="s">
        <v>122</v>
      </c>
      <c r="V98" s="168"/>
      <c r="W98" s="168"/>
      <c r="X98" s="168"/>
      <c r="Y98" s="168" t="s">
        <v>122</v>
      </c>
      <c r="Z98" s="168"/>
      <c r="AA98" s="168"/>
      <c r="AB98" s="168" t="s">
        <v>122</v>
      </c>
      <c r="AC98" s="168"/>
      <c r="AD98" s="168"/>
      <c r="AE98" s="168"/>
      <c r="AF98" s="168" t="s">
        <v>122</v>
      </c>
      <c r="AG98" s="168"/>
      <c r="AH98" s="168"/>
      <c r="AI98" s="168"/>
      <c r="AJ98" s="168" t="s">
        <v>122</v>
      </c>
      <c r="AK98" s="168"/>
      <c r="AL98" s="168"/>
      <c r="AM98" s="168" t="s">
        <v>122</v>
      </c>
      <c r="AN98" s="168"/>
      <c r="AO98" s="168"/>
      <c r="AP98" s="168"/>
    </row>
  </sheetData>
  <mergeCells count="107">
    <mergeCell ref="S45:U45"/>
    <mergeCell ref="S75:U75"/>
    <mergeCell ref="S76:U76"/>
    <mergeCell ref="AK32:AL32"/>
    <mergeCell ref="Q62:AA62"/>
    <mergeCell ref="Q63:T63"/>
    <mergeCell ref="U63:X63"/>
    <mergeCell ref="Y63:AA63"/>
    <mergeCell ref="Q66:T66"/>
    <mergeCell ref="AJ65:AL65"/>
    <mergeCell ref="O41:Q41"/>
    <mergeCell ref="O42:Q42"/>
    <mergeCell ref="S44:U44"/>
    <mergeCell ref="L14:N14"/>
    <mergeCell ref="S14:U14"/>
    <mergeCell ref="H19:I19"/>
    <mergeCell ref="Q32:S32"/>
    <mergeCell ref="O4:R4"/>
    <mergeCell ref="AF4:AG4"/>
    <mergeCell ref="L13:N13"/>
    <mergeCell ref="S13:U13"/>
    <mergeCell ref="AJ63:AL63"/>
    <mergeCell ref="L93:P93"/>
    <mergeCell ref="L94:P94"/>
    <mergeCell ref="L95:P95"/>
    <mergeCell ref="AJ66:AL66"/>
    <mergeCell ref="I34:J34"/>
    <mergeCell ref="AB19:AD19"/>
    <mergeCell ref="AA7:AC7"/>
    <mergeCell ref="AB62:AL62"/>
    <mergeCell ref="L62:P62"/>
    <mergeCell ref="C62:K63"/>
    <mergeCell ref="L63:P63"/>
    <mergeCell ref="AB63:AE63"/>
    <mergeCell ref="AF63:AI63"/>
    <mergeCell ref="AJ64:AL64"/>
    <mergeCell ref="Q64:T64"/>
    <mergeCell ref="U64:X64"/>
    <mergeCell ref="Y64:AA64"/>
    <mergeCell ref="AB64:AE64"/>
    <mergeCell ref="AF64:AI64"/>
    <mergeCell ref="AB65:AE65"/>
    <mergeCell ref="L64:P64"/>
    <mergeCell ref="L65:P65"/>
    <mergeCell ref="L66:P66"/>
    <mergeCell ref="C66:K66"/>
    <mergeCell ref="C64:K64"/>
    <mergeCell ref="C65:K65"/>
    <mergeCell ref="U66:X66"/>
    <mergeCell ref="Q65:T65"/>
    <mergeCell ref="U65:X65"/>
    <mergeCell ref="Y66:AA66"/>
    <mergeCell ref="AB66:AE66"/>
    <mergeCell ref="AF66:AI66"/>
    <mergeCell ref="AM62:AP62"/>
    <mergeCell ref="AM63:AP63"/>
    <mergeCell ref="AF65:AI65"/>
    <mergeCell ref="AM66:AP66"/>
    <mergeCell ref="AM64:AP64"/>
    <mergeCell ref="AM65:AP65"/>
    <mergeCell ref="Y65:AA65"/>
    <mergeCell ref="Q93:AA93"/>
    <mergeCell ref="AB93:AL93"/>
    <mergeCell ref="AM93:AP93"/>
    <mergeCell ref="Q94:T94"/>
    <mergeCell ref="U94:X94"/>
    <mergeCell ref="Y94:AA94"/>
    <mergeCell ref="AB94:AE94"/>
    <mergeCell ref="AF94:AI94"/>
    <mergeCell ref="AJ94:AL94"/>
    <mergeCell ref="AM94:AP94"/>
    <mergeCell ref="C95:K95"/>
    <mergeCell ref="Q95:T95"/>
    <mergeCell ref="U95:X95"/>
    <mergeCell ref="Y95:AA95"/>
    <mergeCell ref="AB95:AE95"/>
    <mergeCell ref="AF95:AI95"/>
    <mergeCell ref="AJ95:AL95"/>
    <mergeCell ref="AM95:AP95"/>
    <mergeCell ref="C93:K94"/>
    <mergeCell ref="C96:K96"/>
    <mergeCell ref="Q96:T96"/>
    <mergeCell ref="U96:X96"/>
    <mergeCell ref="Y96:AA96"/>
    <mergeCell ref="L96:P96"/>
    <mergeCell ref="AB96:AE96"/>
    <mergeCell ref="AF96:AI96"/>
    <mergeCell ref="AJ96:AL96"/>
    <mergeCell ref="AM96:AP96"/>
    <mergeCell ref="C97:K97"/>
    <mergeCell ref="Q97:T97"/>
    <mergeCell ref="U97:X97"/>
    <mergeCell ref="Y97:AA97"/>
    <mergeCell ref="L97:P97"/>
    <mergeCell ref="AB97:AE97"/>
    <mergeCell ref="AF97:AI97"/>
    <mergeCell ref="AJ97:AL97"/>
    <mergeCell ref="AM97:AP97"/>
    <mergeCell ref="C98:K98"/>
    <mergeCell ref="Q98:T98"/>
    <mergeCell ref="U98:X98"/>
    <mergeCell ref="AM98:AP98"/>
    <mergeCell ref="Y98:AA98"/>
    <mergeCell ref="AB98:AE98"/>
    <mergeCell ref="AF98:AI98"/>
    <mergeCell ref="AJ98:AL98"/>
    <mergeCell ref="L98:P98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한길아이티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정계완</dc:creator>
  <cp:keywords/>
  <dc:description/>
  <cp:lastModifiedBy>Ishikawa</cp:lastModifiedBy>
  <cp:lastPrinted>2005-12-28T05:49:16Z</cp:lastPrinted>
  <dcterms:created xsi:type="dcterms:W3CDTF">2005-10-25T01:40:05Z</dcterms:created>
  <dcterms:modified xsi:type="dcterms:W3CDTF">2009-07-14T07:46:43Z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