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465" windowWidth="13680" windowHeight="8160" tabRatio="782" activeTab="2"/>
  </bookViews>
  <sheets>
    <sheet name="5.1 現場継手-非合成 (1~5)台形" sheetId="1" r:id="rId1"/>
    <sheet name="5.1 現場継手-非合成 (6~10)台形" sheetId="2" r:id="rId2"/>
    <sheet name="5.2 溶接部照査-非合成" sheetId="3" r:id="rId3"/>
  </sheets>
  <definedNames>
    <definedName name="_xlnm.Print_Area" localSheetId="0">'5.1 現場継手-非合成 (1~5)台形'!$A:$AT</definedName>
    <definedName name="_xlnm.Print_Area" localSheetId="1">'5.1 現場継手-非合成 (6~10)台形'!$A:$AT</definedName>
    <definedName name="_xlnm.Print_Area" localSheetId="2">'5.2 溶接部照査-非合成'!$A:$AK</definedName>
  </definedNames>
  <calcPr fullCalcOnLoad="1"/>
</workbook>
</file>

<file path=xl/sharedStrings.xml><?xml version="1.0" encoding="utf-8"?>
<sst xmlns="http://schemas.openxmlformats.org/spreadsheetml/2006/main" count="5147" uniqueCount="336">
  <si>
    <t xml:space="preserve"> 1) 圧縮フランジ</t>
  </si>
  <si>
    <t xml:space="preserve"> 3) 引張フランジ</t>
  </si>
  <si>
    <t>腹板の一部と縦リブのボルト孔引き分もフランジで負担させるものとする。</t>
  </si>
  <si>
    <r>
      <t xml:space="preserve">  引張側縦リブのボルト孔引き断面積 Ar</t>
    </r>
  </si>
  <si>
    <t>本 使用</t>
  </si>
  <si>
    <t>本 使用</t>
  </si>
  <si>
    <t>① ボルトの応力度計算</t>
  </si>
  <si>
    <t>従って, せん断力によるボルトの応力度は</t>
  </si>
  <si>
    <t xml:space="preserve"> · 曲げモーメントによるボルトの応力度</t>
  </si>
  <si>
    <t xml:space="preserve"> · せん断力によるボルトの応力度</t>
  </si>
  <si>
    <t xml:space="preserve">  · 曲げモーメントとせん断力の合計に対する照査</t>
  </si>
  <si>
    <t>( 腹板と鉛直線がとなす角度 )</t>
  </si>
  <si>
    <t>主桁の全幅 :</t>
  </si>
  <si>
    <t>主桁の高   :</t>
  </si>
  <si>
    <t>腹板の傾斜 :</t>
  </si>
  <si>
    <t>備考</t>
  </si>
  <si>
    <t>縦リブ1本の純断面積</t>
  </si>
  <si>
    <t>4) 腹板連結部の計算</t>
  </si>
  <si>
    <t>(上フランジの分担力)</t>
  </si>
  <si>
    <t>中立軸から下側縁端までの距離   ho =</t>
  </si>
  <si>
    <t>(下フランジの分担力)</t>
  </si>
  <si>
    <t>腹板分担の断面積</t>
  </si>
  <si>
    <t>主桁の総高く HT =</t>
  </si>
  <si>
    <t>腹板の厚さ   TW =</t>
  </si>
  <si>
    <t>中立軸から上側縁端までの距離   ho =</t>
  </si>
  <si>
    <t>腹板の断面二次モーメント</t>
  </si>
  <si>
    <t>片側腹板が負担するせん断力 : (Ss + Sv) / 2</t>
  </si>
  <si>
    <t>ねじりモーメントによる腹板のせん断力   : St = Mt  / ( 2 b )</t>
  </si>
  <si>
    <t>腹板に作用する曲げモーメント</t>
  </si>
  <si>
    <t>鋼材桁断面の断面二次モーメント,</t>
  </si>
  <si>
    <t>≒</t>
  </si>
  <si>
    <t xml:space="preserve">  =</t>
  </si>
  <si>
    <t>Σ=</t>
  </si>
  <si>
    <t>) =</t>
  </si>
  <si>
    <t>=</t>
  </si>
  <si>
    <t>)/ho</t>
  </si>
  <si>
    <t xml:space="preserve"> ×</t>
  </si>
  <si>
    <t>×(</t>
  </si>
  <si>
    <t>)²=</t>
  </si>
  <si>
    <t xml:space="preserve"> I = Io ＋ AY²=</t>
  </si>
  <si>
    <t xml:space="preserve"> ρa =</t>
  </si>
  <si>
    <t>×</t>
  </si>
  <si>
    <t>n =</t>
  </si>
  <si>
    <t>⇒</t>
  </si>
  <si>
    <t>ρa</t>
  </si>
  <si>
    <t>P</t>
  </si>
  <si>
    <t>－</t>
  </si>
  <si>
    <t>/</t>
  </si>
  <si>
    <t>＋</t>
  </si>
  <si>
    <t>ρs =</t>
  </si>
  <si>
    <t xml:space="preserve"> ρ =   (ρp²＋ρs²)  =     (</t>
  </si>
  <si>
    <t>Is</t>
  </si>
  <si>
    <t>Is  :</t>
  </si>
  <si>
    <t>Is =</t>
  </si>
  <si>
    <t>A</t>
  </si>
  <si>
    <t>-</t>
  </si>
  <si>
    <t>Σ</t>
  </si>
  <si>
    <t>Isw =</t>
  </si>
  <si>
    <t>Isw :</t>
  </si>
  <si>
    <t>Ysu =</t>
  </si>
  <si>
    <t>Ysl =</t>
  </si>
  <si>
    <t>·Ysu</t>
  </si>
  <si>
    <t xml:space="preserve">Isw </t>
  </si>
  <si>
    <t>·Ysl</t>
  </si>
  <si>
    <t>tu</t>
  </si>
  <si>
    <t>tl</t>
  </si>
  <si>
    <t>tw</t>
  </si>
  <si>
    <t>Smin</t>
  </si>
  <si>
    <t>Smax</t>
  </si>
  <si>
    <t>Suse</t>
  </si>
  <si>
    <t>s</t>
  </si>
  <si>
    <t>S ·Q</t>
  </si>
  <si>
    <t>＜</t>
  </si>
  <si>
    <t>N</t>
  </si>
  <si>
    <t>Iv·Σa</t>
  </si>
  <si>
    <t>y = Yvsu(l) - tu(l)/2</t>
  </si>
  <si>
    <t>a</t>
  </si>
  <si>
    <t>Σa :</t>
  </si>
  <si>
    <t>s   :</t>
  </si>
  <si>
    <t>Σa</t>
  </si>
  <si>
    <t>(mm)</t>
  </si>
  <si>
    <t>Rmax =</t>
  </si>
  <si>
    <t>PL -</t>
  </si>
  <si>
    <t>Σa·l</t>
  </si>
  <si>
    <t>mm</t>
  </si>
  <si>
    <t>B</t>
  </si>
  <si>
    <t>Q</t>
  </si>
  <si>
    <t>(</t>
  </si>
  <si>
    <t>/</t>
  </si>
  <si>
    <t>=</t>
  </si>
  <si>
    <t>SM490</t>
  </si>
  <si>
    <t>SS400</t>
  </si>
  <si>
    <t>SM400</t>
  </si>
  <si>
    <t>SMA400</t>
  </si>
  <si>
    <t>SM490Y</t>
  </si>
  <si>
    <t>SM520</t>
  </si>
  <si>
    <t>SMA490</t>
  </si>
  <si>
    <t>SM570</t>
  </si>
  <si>
    <t>SMA570</t>
  </si>
  <si>
    <t>40-75</t>
  </si>
  <si>
    <t>75-100</t>
  </si>
  <si>
    <t>mm²</t>
  </si>
  <si>
    <t>mm</t>
  </si>
  <si>
    <t>kN·m</t>
  </si>
  <si>
    <t>Y (mm)</t>
  </si>
  <si>
    <t>Bu =</t>
  </si>
  <si>
    <t>m</t>
  </si>
  <si>
    <t>Bl =</t>
  </si>
  <si>
    <t>H  =</t>
  </si>
  <si>
    <t>θ =</t>
  </si>
  <si>
    <t>ㅇ</t>
  </si>
  <si>
    <t>kN·m</t>
  </si>
  <si>
    <t>kN</t>
  </si>
  <si>
    <t>N</t>
  </si>
  <si>
    <t>Mw</t>
  </si>
  <si>
    <t>σs</t>
  </si>
  <si>
    <t>σs'</t>
  </si>
  <si>
    <t>σ1 =</t>
  </si>
  <si>
    <t>σ2 =</t>
  </si>
  <si>
    <t>σ3 =</t>
  </si>
  <si>
    <t>σ4 =</t>
  </si>
  <si>
    <t>σ5 =</t>
  </si>
  <si>
    <t>σ6 =</t>
  </si>
  <si>
    <t>σu =</t>
  </si>
  <si>
    <t>σl =</t>
  </si>
  <si>
    <t xml:space="preserve">∵ St= Mt ·(h t) / (2 b h t),   τt = Mt / ( 2· F· t ) ,  F = b h </t>
  </si>
  <si>
    <t>τ=</t>
  </si>
  <si>
    <t xml:space="preserve">τa </t>
  </si>
  <si>
    <t>τa :</t>
  </si>
  <si>
    <t>τ</t>
  </si>
  <si>
    <t>τa</t>
  </si>
  <si>
    <t>τa =</t>
  </si>
  <si>
    <t>SM400C-H</t>
  </si>
  <si>
    <t>SM490C-H</t>
  </si>
  <si>
    <t>SM520C-H</t>
  </si>
  <si>
    <t>SM570-H</t>
  </si>
  <si>
    <t>) / 2 ×</t>
  </si>
  <si>
    <t>×</t>
  </si>
  <si>
    <t>× 2</t>
  </si>
  <si>
    <t>) × 1.1</t>
  </si>
  <si>
    <t>-</t>
  </si>
  <si>
    <t>p =</t>
  </si>
  <si>
    <t>g =</t>
  </si>
  <si>
    <t>＋</t>
  </si>
  <si>
    <t>)</t>
  </si>
  <si>
    <t>N/mm²</t>
  </si>
  <si>
    <t>An =</t>
  </si>
  <si>
    <t xml:space="preserve"> 5.1  現場継手の設計</t>
  </si>
  <si>
    <t>σta =</t>
  </si>
  <si>
    <t>σca =</t>
  </si>
  <si>
    <t xml:space="preserve"> τa =</t>
  </si>
  <si>
    <t>n =</t>
  </si>
  <si>
    <t>Pf / ρa</t>
  </si>
  <si>
    <t>ρp = Pf / n =</t>
  </si>
  <si>
    <t>j =</t>
  </si>
  <si>
    <t>,</t>
  </si>
  <si>
    <t>Asn1 =</t>
  </si>
  <si>
    <t>Asn2 =</t>
  </si>
  <si>
    <t>Afn1 =</t>
  </si>
  <si>
    <t>Afn2 =</t>
  </si>
  <si>
    <t>Arn =</t>
  </si>
  <si>
    <t>Afw =</t>
  </si>
  <si>
    <t>ΣAn1 =</t>
  </si>
  <si>
    <t>ΣAn2 =</t>
  </si>
  <si>
    <t xml:space="preserve">σ1 = </t>
  </si>
  <si>
    <t xml:space="preserve"> Pf / ΣAn1 = </t>
  </si>
  <si>
    <t>σ2 =</t>
  </si>
  <si>
    <t xml:space="preserve"> Pf / ΣAn2   </t>
  </si>
  <si>
    <t>σu =</t>
  </si>
  <si>
    <t>Pfwu  =</t>
  </si>
  <si>
    <t>) /   2 ×</t>
  </si>
  <si>
    <t>) /</t>
  </si>
  <si>
    <t>σl =</t>
  </si>
  <si>
    <t>Pfwl  =</t>
  </si>
  <si>
    <t>総ねじりモーメント     : Mt =</t>
  </si>
  <si>
    <t>上フランジの応力度     : σu =</t>
  </si>
  <si>
    <t>下フランジの応力度     : σl =</t>
  </si>
  <si>
    <t>鋼 種 :</t>
  </si>
  <si>
    <t>[道路橋示方書 6.1.1]</t>
  </si>
  <si>
    <t>)は</t>
  </si>
  <si>
    <t>母材板厚:Tu=</t>
  </si>
  <si>
    <t>① 必要ボルト本数の決定</t>
  </si>
  <si>
    <t>作用力 Pf =</t>
  </si>
  <si>
    <t>は腹板計算參照 )</t>
  </si>
  <si>
    <t>必要断面積 : Asreq = Pf / σca =</t>
  </si>
  <si>
    <t>リブ幅  :</t>
  </si>
  <si>
    <t>リブ板厚:</t>
  </si>
  <si>
    <t>2) 圧縮部縦リブ連結部の計算</t>
  </si>
  <si>
    <t xml:space="preserve">必要断面積 : As = </t>
  </si>
  <si>
    <t>ボルト:H.T.B</t>
  </si>
  <si>
    <t>( リブボルトの孔径 Φ</t>
  </si>
  <si>
    <t>mm, リブの数</t>
  </si>
  <si>
    <t>③ ボルト応力度の照査</t>
  </si>
  <si>
    <t xml:space="preserve">  · 直応力度</t>
  </si>
  <si>
    <t>必要断面積 : Asreq = Pf / σta =</t>
  </si>
  <si>
    <t>④ 母材応力度の照査</t>
  </si>
  <si>
    <t>フランジの純断面積</t>
  </si>
  <si>
    <t>4) 引張部縦リブ連結部の計算</t>
  </si>
  <si>
    <t>縦リブの純断面積</t>
  </si>
  <si>
    <t>母材応力度</t>
  </si>
  <si>
    <t xml:space="preserve"> ( 腹板作用に対するフランジ負担力</t>
  </si>
  <si>
    <t>リブ間隔</t>
  </si>
  <si>
    <t>N/本</t>
  </si>
  <si>
    <t>本 )</t>
  </si>
  <si>
    <t>本</t>
  </si>
  <si>
    <t>ねじりモーメントによる腹板のせん断力   : St = Mt  / ( 2 h )</t>
  </si>
  <si>
    <t xml:space="preserve">  · ねじりによるせん断応力度</t>
  </si>
  <si>
    <t>作用総曲げモーメント   :  M =</t>
  </si>
  <si>
    <t>作用総せん断力         :  S =</t>
  </si>
  <si>
    <t>Iw'</t>
  </si>
  <si>
    <t>フランジ張出し幅</t>
  </si>
  <si>
    <t xml:space="preserve">∵ St= Mt ·(b tf) / (2 b h tf),   τt = Mt / ( 2· F· tf ) ,  F = b h </t>
  </si>
  <si>
    <t xml:space="preserve">  · ボルト1本に作用する力</t>
  </si>
  <si>
    <t>3 @ 800</t>
  </si>
  <si>
    <t xml:space="preserve">Iw' = </t>
  </si>
  <si>
    <t>Mw = Ms·</t>
  </si>
  <si>
    <t>Mw : 腹板に作用する合成前死荷重による曲げモーメント, Ms  =</t>
  </si>
  <si>
    <t>母材長:L =</t>
  </si>
  <si>
    <t>N/㎟</t>
  </si>
  <si>
    <t>σ₁·(ho -</t>
  </si>
  <si>
    <t>* 許容引張, 圧縮応力 (N/㎟)</t>
  </si>
  <si>
    <t>* 許容せん断応力 (N/㎟)</t>
  </si>
  <si>
    <t>N/㎟ を適用する。</t>
  </si>
  <si>
    <t>6 @ 400</t>
  </si>
  <si>
    <t>mm⁴</t>
  </si>
  <si>
    <t>t₁＞ S  ≥   2·t₂</t>
  </si>
  <si>
    <t>(N/㎟)</t>
  </si>
  <si>
    <r>
      <t>- 上側ボルト</t>
    </r>
    <r>
      <rPr>
        <sz val="9"/>
        <rFont val="굴림체"/>
        <family val="3"/>
      </rPr>
      <t>列</t>
    </r>
    <r>
      <rPr>
        <sz val="9"/>
        <rFont val="ＭＳ ゴシック"/>
        <family val="3"/>
      </rPr>
      <t>の照査</t>
    </r>
  </si>
  <si>
    <r>
      <t>第1</t>
    </r>
    <r>
      <rPr>
        <sz val="9"/>
        <rFont val="굴림체"/>
        <family val="3"/>
      </rPr>
      <t>列</t>
    </r>
    <r>
      <rPr>
        <sz val="9"/>
        <rFont val="ＭＳ ゴシック"/>
        <family val="3"/>
      </rPr>
      <t xml:space="preserve"> :</t>
    </r>
  </si>
  <si>
    <r>
      <t>- 下側ボルト</t>
    </r>
    <r>
      <rPr>
        <sz val="9"/>
        <rFont val="굴림체"/>
        <family val="3"/>
      </rPr>
      <t>列</t>
    </r>
    <r>
      <rPr>
        <sz val="9"/>
        <rFont val="ＭＳ ゴシック"/>
        <family val="3"/>
      </rPr>
      <t>の照査</t>
    </r>
  </si>
  <si>
    <r>
      <t>A (mm</t>
    </r>
    <r>
      <rPr>
        <vertAlign val="superscript"/>
        <sz val="9"/>
        <rFont val="ＭＳ ゴシック"/>
        <family val="3"/>
      </rPr>
      <t>2</t>
    </r>
    <r>
      <rPr>
        <sz val="9"/>
        <rFont val="ＭＳ ゴシック"/>
        <family val="3"/>
      </rPr>
      <t>)</t>
    </r>
  </si>
  <si>
    <r>
      <t>AY (mm</t>
    </r>
    <r>
      <rPr>
        <vertAlign val="superscript"/>
        <sz val="9"/>
        <rFont val="ＭＳ ゴシック"/>
        <family val="3"/>
      </rPr>
      <t>3</t>
    </r>
    <r>
      <rPr>
        <sz val="9"/>
        <rFont val="ＭＳ ゴシック"/>
        <family val="3"/>
      </rPr>
      <t>)</t>
    </r>
  </si>
  <si>
    <r>
      <t>AY²(mm</t>
    </r>
    <r>
      <rPr>
        <vertAlign val="superscript"/>
        <sz val="9"/>
        <rFont val="ＭＳ ゴシック"/>
        <family val="3"/>
      </rPr>
      <t>4</t>
    </r>
    <r>
      <rPr>
        <sz val="9"/>
        <rFont val="ＭＳ ゴシック"/>
        <family val="3"/>
      </rPr>
      <t>)</t>
    </r>
  </si>
  <si>
    <r>
      <t>Io (mm</t>
    </r>
    <r>
      <rPr>
        <vertAlign val="superscript"/>
        <sz val="9"/>
        <rFont val="ＭＳ ゴシック"/>
        <family val="3"/>
      </rPr>
      <t>4</t>
    </r>
    <r>
      <rPr>
        <sz val="9"/>
        <rFont val="ＭＳ ゴシック"/>
        <family val="3"/>
      </rPr>
      <t>)</t>
    </r>
  </si>
  <si>
    <t>鋼材桁断面の中立軸に対する連結板の総断面二次モーメント</t>
  </si>
  <si>
    <t>連結板の応力度</t>
  </si>
  <si>
    <t>Ysu,Ysl : 鋼材桁断面の中立軸から連結板の上、下縁までの距離</t>
  </si>
  <si>
    <t>σu : 連結板の上縁応力</t>
  </si>
  <si>
    <t>σl : 連結板の下縁応力</t>
  </si>
  <si>
    <t>② 連結板の決定</t>
  </si>
  <si>
    <t>使用連結板 :</t>
  </si>
  <si>
    <t>連結板の応力度σs = Pf / As</t>
  </si>
  <si>
    <t>連結板の順断面積 : 引張部フランジで縦リブのボルト孔引き分に対する控除も負担して、純断面積に1.1割増</t>
  </si>
  <si>
    <t>連結板の応力度 σs1 = Pf/ Asn1</t>
  </si>
  <si>
    <t xml:space="preserve">連結板の応力度 σs2 = Pf/ Asn2 × </t>
  </si>
  <si>
    <t>② 連結板の応力度計算</t>
  </si>
  <si>
    <t>連結板の断面二次モーメント</t>
  </si>
  <si>
    <t>∴連結部の作用応力度 (</t>
  </si>
  <si>
    <t>5.連結部の設計</t>
  </si>
  <si>
    <t>の連結</t>
  </si>
  <si>
    <r>
      <t>第2</t>
    </r>
    <r>
      <rPr>
        <sz val="9"/>
        <rFont val="돋움"/>
        <family val="2"/>
      </rPr>
      <t>列</t>
    </r>
    <r>
      <rPr>
        <sz val="9"/>
        <rFont val="ＭＳ ゴシック"/>
        <family val="3"/>
      </rPr>
      <t xml:space="preserve"> :</t>
    </r>
  </si>
  <si>
    <r>
      <t>第3</t>
    </r>
    <r>
      <rPr>
        <sz val="9"/>
        <rFont val="돋움"/>
        <family val="2"/>
      </rPr>
      <t>列</t>
    </r>
    <r>
      <rPr>
        <sz val="9"/>
        <rFont val="ＭＳ ゴシック"/>
        <family val="3"/>
      </rPr>
      <t xml:space="preserve"> :</t>
    </r>
  </si>
  <si>
    <r>
      <t>第4</t>
    </r>
    <r>
      <rPr>
        <sz val="9"/>
        <rFont val="돋움"/>
        <family val="2"/>
      </rPr>
      <t>列</t>
    </r>
    <r>
      <rPr>
        <sz val="9"/>
        <rFont val="ＭＳ ゴシック"/>
        <family val="3"/>
      </rPr>
      <t xml:space="preserve"> :</t>
    </r>
  </si>
  <si>
    <r>
      <t>第5</t>
    </r>
    <r>
      <rPr>
        <sz val="9"/>
        <rFont val="돋움"/>
        <family val="2"/>
      </rPr>
      <t>列</t>
    </r>
    <r>
      <rPr>
        <sz val="9"/>
        <rFont val="ＭＳ ゴシック"/>
        <family val="3"/>
      </rPr>
      <t xml:space="preserve"> :</t>
    </r>
  </si>
  <si>
    <t>ボルト列数(縦方向)</t>
  </si>
  <si>
    <t>第1列のボルト数</t>
  </si>
  <si>
    <t>第2列のボルト数</t>
  </si>
  <si>
    <t>AW</t>
  </si>
  <si>
    <t>ｴﾜｸ・- 2</t>
  </si>
  <si>
    <t>ｴﾜｸ・- 3</t>
  </si>
  <si>
    <t>ｴﾜｸ・- 4</t>
  </si>
  <si>
    <t>ｴﾜｸ・- 5</t>
  </si>
  <si>
    <t>断面1</t>
  </si>
  <si>
    <t>断面2</t>
  </si>
  <si>
    <t>断面3</t>
  </si>
  <si>
    <t>(1) J - 1    Girder2</t>
  </si>
  <si>
    <t>SMA490</t>
  </si>
  <si>
    <t>S</t>
  </si>
  <si>
    <t>(2) J - 2    Girder2</t>
  </si>
  <si>
    <t>(3) J - 3    Girder2</t>
  </si>
  <si>
    <t>(4) J - 4    Girder2</t>
  </si>
  <si>
    <t>(5) J - 5    Girder2</t>
  </si>
  <si>
    <t>(6) J - 6    Girder2</t>
  </si>
  <si>
    <t>(7) J - 7    Girder2</t>
  </si>
  <si>
    <t>(8) J - 8    Girder2</t>
  </si>
  <si>
    <t>5.2 溶接部の検討</t>
  </si>
  <si>
    <t xml:space="preserve">主要部材の応力を伝えるすみ肉溶接のサイズは６mm以上とし、 </t>
  </si>
  <si>
    <t>下式を満足する大きさとするのを標準とする。</t>
  </si>
  <si>
    <t>[道路橋示方書 6.2.5]</t>
  </si>
  <si>
    <t>t₁:  薄い方の母材の厚さ(mm)</t>
  </si>
  <si>
    <t>t₂:  厚い方の母材の厚さ(mm)</t>
  </si>
  <si>
    <t>S  : すみ肉溶接の サイズ(mm)</t>
  </si>
  <si>
    <t xml:space="preserve">  (1) フランジと腹板の溶接部の検討</t>
  </si>
  <si>
    <t>1) すみ肉溶接のサイズの検討</t>
  </si>
  <si>
    <t xml:space="preserve">tu : 上フランジの厚さ, </t>
  </si>
  <si>
    <t xml:space="preserve">tl : 下フランジの厚さ, </t>
  </si>
  <si>
    <t xml:space="preserve">tw : 腹板の厚さ </t>
  </si>
  <si>
    <t>(単位 : mm)</t>
  </si>
  <si>
    <t>区   分</t>
  </si>
  <si>
    <t>母材の使用厚</t>
  </si>
  <si>
    <t>上部フランジと腹板</t>
  </si>
  <si>
    <t>下部フランジと腹板</t>
  </si>
  <si>
    <t>判定</t>
  </si>
  <si>
    <t>ｴﾜｸ・- 1</t>
  </si>
  <si>
    <t>2) 溶接部の応力検討</t>
  </si>
  <si>
    <t>溶接部に生じるせん断応力度</t>
  </si>
  <si>
    <t>Ysu</t>
  </si>
  <si>
    <t>Ysl</t>
  </si>
  <si>
    <t xml:space="preserve">τ  : </t>
  </si>
  <si>
    <t xml:space="preserve">せん断応力度 (N/㎟) </t>
  </si>
  <si>
    <r>
      <t>許容せん断応力度 ( ☞ 道路橋示方書 3.3.2.1 )</t>
    </r>
    <r>
      <rPr>
        <vertAlign val="superscript"/>
        <sz val="9"/>
        <rFont val="ＭＳ ゴシック"/>
        <family val="3"/>
      </rPr>
      <t xml:space="preserve"> </t>
    </r>
  </si>
  <si>
    <r>
      <t>S</t>
    </r>
    <r>
      <rPr>
        <vertAlign val="subscript"/>
        <sz val="9"/>
        <rFont val="ＭＳ ゴシック"/>
        <family val="3"/>
      </rPr>
      <t xml:space="preserve">    </t>
    </r>
    <r>
      <rPr>
        <sz val="9"/>
        <rFont val="ＭＳ ゴシック"/>
        <family val="3"/>
      </rPr>
      <t>:</t>
    </r>
  </si>
  <si>
    <t xml:space="preserve">総作用せん断力 (N) </t>
  </si>
  <si>
    <r>
      <t>Q</t>
    </r>
    <r>
      <rPr>
        <vertAlign val="subscript"/>
        <sz val="9"/>
        <rFont val="ＭＳ ゴシック"/>
        <family val="3"/>
      </rPr>
      <t xml:space="preserve">   </t>
    </r>
    <r>
      <rPr>
        <sz val="9"/>
        <rFont val="ＭＳ ゴシック"/>
        <family val="3"/>
      </rPr>
      <t xml:space="preserve"> :</t>
    </r>
  </si>
  <si>
    <t>溶接線外側フランジの総断面の中立軸に関する</t>
  </si>
  <si>
    <r>
      <t>断面一次モーメント (mm</t>
    </r>
    <r>
      <rPr>
        <vertAlign val="superscript"/>
        <sz val="9"/>
        <rFont val="ＭＳ ゴシック"/>
        <family val="3"/>
      </rPr>
      <t>3</t>
    </r>
    <r>
      <rPr>
        <sz val="9"/>
        <rFont val="ＭＳ ゴシック"/>
        <family val="3"/>
      </rPr>
      <t>)</t>
    </r>
  </si>
  <si>
    <r>
      <t>= A(mm</t>
    </r>
    <r>
      <rPr>
        <vertAlign val="superscript"/>
        <sz val="9"/>
        <rFont val="ＭＳ ゴシック"/>
        <family val="3"/>
      </rPr>
      <t>2</t>
    </r>
    <r>
      <rPr>
        <sz val="9"/>
        <rFont val="ＭＳ ゴシック"/>
        <family val="3"/>
      </rPr>
      <t xml:space="preserve">)·y(mm) </t>
    </r>
  </si>
  <si>
    <r>
      <t>Iv</t>
    </r>
    <r>
      <rPr>
        <vertAlign val="subscript"/>
        <sz val="9"/>
        <rFont val="ＭＳ ゴシック"/>
        <family val="3"/>
      </rPr>
      <t xml:space="preserve"> </t>
    </r>
    <r>
      <rPr>
        <sz val="9"/>
        <rFont val="ＭＳ ゴシック"/>
        <family val="3"/>
      </rPr>
      <t xml:space="preserve"> :</t>
    </r>
  </si>
  <si>
    <r>
      <t>総断面の中立軸に関する断面2次モーメント (mm</t>
    </r>
    <r>
      <rPr>
        <vertAlign val="superscript"/>
        <sz val="9"/>
        <rFont val="ＭＳ ゴシック"/>
        <family val="3"/>
      </rPr>
      <t>4</t>
    </r>
    <r>
      <rPr>
        <sz val="9"/>
        <rFont val="ＭＳ ゴシック"/>
        <family val="3"/>
      </rPr>
      <t>)</t>
    </r>
  </si>
  <si>
    <t>すみ肉溶接ののど厚の合計(mm)</t>
  </si>
  <si>
    <t>= 4個所 ×s / √ 2</t>
  </si>
  <si>
    <t>すみ肉溶接のサイズ (mm)</t>
  </si>
  <si>
    <t>応力検討結果</t>
  </si>
  <si>
    <t xml:space="preserve"> ① 上フランジと腹板</t>
  </si>
  <si>
    <t>区　分</t>
  </si>
  <si>
    <t>Is</t>
  </si>
  <si>
    <t>(kN)</t>
  </si>
  <si>
    <t>(mm)</t>
  </si>
  <si>
    <r>
      <t>(mm</t>
    </r>
    <r>
      <rPr>
        <vertAlign val="superscript"/>
        <sz val="9"/>
        <rFont val="ＭＳ ゴシック"/>
        <family val="3"/>
      </rPr>
      <t>2</t>
    </r>
    <r>
      <rPr>
        <sz val="9"/>
        <rFont val="ＭＳ ゴシック"/>
        <family val="3"/>
      </rPr>
      <t>)</t>
    </r>
  </si>
  <si>
    <r>
      <t>(mm</t>
    </r>
    <r>
      <rPr>
        <vertAlign val="superscript"/>
        <sz val="9"/>
        <rFont val="ＭＳ ゴシック"/>
        <family val="3"/>
      </rPr>
      <t>3</t>
    </r>
    <r>
      <rPr>
        <sz val="9"/>
        <rFont val="ＭＳ ゴシック"/>
        <family val="3"/>
      </rPr>
      <t>)</t>
    </r>
  </si>
  <si>
    <r>
      <t>(mm</t>
    </r>
    <r>
      <rPr>
        <vertAlign val="superscript"/>
        <sz val="9"/>
        <rFont val="ＭＳ ゴシック"/>
        <family val="3"/>
      </rPr>
      <t>4</t>
    </r>
    <r>
      <rPr>
        <sz val="9"/>
        <rFont val="ＭＳ ゴシック"/>
        <family val="3"/>
      </rPr>
      <t>)</t>
    </r>
  </si>
  <si>
    <t>断面4</t>
  </si>
  <si>
    <t>断面5</t>
  </si>
  <si>
    <t xml:space="preserve"> ② 下フランジと腹板</t>
  </si>
  <si>
    <t xml:space="preserve">  (2) 支点部補剛材の溶接部検討</t>
  </si>
  <si>
    <t>·橋脚部</t>
  </si>
  <si>
    <t>kN</t>
  </si>
  <si>
    <t>すみ肉溶接のサイズ</t>
  </si>
  <si>
    <t>s =</t>
  </si>
  <si>
    <t>mm</t>
  </si>
  <si>
    <t>使用補剛材 :</t>
  </si>
  <si>
    <t>すみ肉溶接ののど厚 :</t>
  </si>
  <si>
    <t>a =</t>
  </si>
  <si>
    <t>s / √2</t>
  </si>
  <si>
    <t>=</t>
  </si>
  <si>
    <t>個所</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</si>
</sst>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00_);[Red]\(0.000\)"/>
    <numFmt numFmtId="186" formatCode="0.0_);[Red]\(0.0\)"/>
    <numFmt numFmtId="187" formatCode="0.000_ "/>
    <numFmt numFmtId="188" formatCode="0_ "/>
    <numFmt numFmtId="189" formatCode="_(&quot;$&quot;* #,##0_);_(&quot;$&quot;* \(#,##0\);_(&quot;$&quot;* &quot;-&quot;_);_(@_)"/>
    <numFmt numFmtId="190" formatCode="0.0"/>
    <numFmt numFmtId="191" formatCode="&quot;H&quot;0"/>
    <numFmt numFmtId="192" formatCode="0.00&quot; ㎠&quot;"/>
    <numFmt numFmtId="193" formatCode="&quot;T = &quot;0&quot; ㎝&quot;"/>
    <numFmt numFmtId="194" formatCode="0_);[Red]\(0\)"/>
    <numFmt numFmtId="195" formatCode="0.0_ "/>
    <numFmt numFmtId="196" formatCode="0.00_ "/>
    <numFmt numFmtId="197" formatCode="0&quot; ×&quot;"/>
    <numFmt numFmtId="198" formatCode="0&quot;²&quot;"/>
    <numFmt numFmtId="199" formatCode="&quot; = &quot;0.00"/>
    <numFmt numFmtId="200" formatCode="0&quot; EA&quot;"/>
    <numFmt numFmtId="201" formatCode="&quot;= &quot;0.0"/>
    <numFmt numFmtId="202" formatCode="&quot;(M&quot;0"/>
    <numFmt numFmtId="203" formatCode="&quot;n = &quot;0"/>
    <numFmt numFmtId="204" formatCode="0&quot;-PL&quot;"/>
    <numFmt numFmtId="205" formatCode="&quot; × &quot;0"/>
    <numFmt numFmtId="206" formatCode="0&quot;EA&quot;"/>
    <numFmt numFmtId="207" formatCode="0&quot;M/M&quot;"/>
    <numFmt numFmtId="208" formatCode="0&quot; × &quot;"/>
    <numFmt numFmtId="209" formatCode="&quot;=   &quot;0.0"/>
    <numFmt numFmtId="210" formatCode="0&quot; 면마찰&quot;"/>
    <numFmt numFmtId="211" formatCode="&quot;F&quot;0&quot;T)&quot;"/>
    <numFmt numFmtId="212" formatCode="0.00_);[Red]\(0.00\)"/>
    <numFmt numFmtId="213" formatCode="0.0&quot;²&quot;"/>
    <numFmt numFmtId="214" formatCode="0.0&quot; &quot;"/>
    <numFmt numFmtId="215" formatCode="0.0&quot; EA&quot;"/>
    <numFmt numFmtId="216" formatCode="0&quot; 열&quot;"/>
    <numFmt numFmtId="217" formatCode="&quot;=&quot;0"/>
    <numFmt numFmtId="218" formatCode="0&quot; T)&quot;"/>
    <numFmt numFmtId="219" formatCode="0.0\ "/>
    <numFmt numFmtId="220" formatCode="0.000\ "/>
    <numFmt numFmtId="221" formatCode="0\ "/>
    <numFmt numFmtId="222" formatCode="0.0000\ "/>
    <numFmt numFmtId="223" formatCode="0&quot; mm&quot;"/>
    <numFmt numFmtId="224" formatCode="0.000E+00"/>
    <numFmt numFmtId="225" formatCode="0.00000E+00"/>
    <numFmt numFmtId="226" formatCode="0&quot;³&quot;"/>
    <numFmt numFmtId="227" formatCode="0&quot; 面摩擦&quot;"/>
    <numFmt numFmtId="228" formatCode="0&quot; 列&quot;"/>
    <numFmt numFmtId="229" formatCode="0&quot; 本&quot;"/>
    <numFmt numFmtId="230" formatCode="0.0&quot; 本&quot;"/>
    <numFmt numFmtId="231" formatCode="0.00&quot; ㎟&quot;"/>
    <numFmt numFmtId="232" formatCode="0.0&quot; N&quot;"/>
    <numFmt numFmtId="233" formatCode="000\-000&quot; N&quot;"/>
    <numFmt numFmtId="234" formatCode="###0.000"/>
    <numFmt numFmtId="235" formatCode="###0.0"/>
    <numFmt numFmtId="236" formatCode="###0"/>
  </numFmts>
  <fonts count="24">
    <font>
      <sz val="11"/>
      <name val="돋움"/>
      <family val="2"/>
    </font>
    <font>
      <b/>
      <sz val="11"/>
      <name val="돋움"/>
      <family val="2"/>
    </font>
    <font>
      <i/>
      <sz val="11"/>
      <name val="돋움"/>
      <family val="2"/>
    </font>
    <font>
      <b/>
      <i/>
      <sz val="11"/>
      <name val="돋움"/>
      <family val="2"/>
    </font>
    <font>
      <sz val="12"/>
      <name val="바탕체"/>
      <family val="3"/>
    </font>
    <font>
      <sz val="10"/>
      <name val="바탕체"/>
      <family val="3"/>
    </font>
    <font>
      <sz val="10"/>
      <name val="Arial"/>
      <family val="2"/>
    </font>
    <font>
      <sz val="10"/>
      <name val="Times New Roman"/>
      <family val="1"/>
    </font>
    <font>
      <sz val="10"/>
      <name val="굴림체"/>
      <family val="3"/>
    </font>
    <font>
      <u val="single"/>
      <sz val="10"/>
      <color indexed="36"/>
      <name val="굴림체"/>
      <family val="3"/>
    </font>
    <font>
      <u val="single"/>
      <sz val="10"/>
      <color indexed="12"/>
      <name val="굴림체"/>
      <family val="3"/>
    </font>
    <font>
      <sz val="8"/>
      <name val="굴림체"/>
      <family val="3"/>
    </font>
    <font>
      <sz val="9"/>
      <name val="굴림체"/>
      <family val="3"/>
    </font>
    <font>
      <sz val="10.5"/>
      <name val="돋움체"/>
      <family val="3"/>
    </font>
    <font>
      <sz val="8"/>
      <name val="돋움"/>
      <family val="2"/>
    </font>
    <font>
      <sz val="9"/>
      <name val="ＭＳ ゴシック"/>
      <family val="3"/>
    </font>
    <font>
      <sz val="9"/>
      <name val="돋움"/>
      <family val="2"/>
    </font>
    <font>
      <b/>
      <sz val="9"/>
      <name val="ＭＳ ゴシック"/>
      <family val="3"/>
    </font>
    <font>
      <sz val="7"/>
      <name val="ＭＳ ゴシック"/>
      <family val="3"/>
    </font>
    <font>
      <vertAlign val="superscript"/>
      <sz val="9"/>
      <name val="ＭＳ ゴシック"/>
      <family val="3"/>
    </font>
    <font>
      <vertAlign val="superscript"/>
      <sz val="9"/>
      <name val="돋움체"/>
      <family val="3"/>
    </font>
    <font>
      <u val="single"/>
      <sz val="10"/>
      <name val="ＭＳ ゴシック"/>
      <family val="3"/>
    </font>
    <font>
      <vertAlign val="subscript"/>
      <sz val="9"/>
      <name val="ＭＳ ゴシック"/>
      <family val="3"/>
    </font>
    <font>
      <sz val="8"/>
      <name val="ＭＳ ゴシック"/>
      <family val="3"/>
    </font>
  </fonts>
  <fills count="2">
    <fill>
      <patternFill/>
    </fill>
    <fill>
      <patternFill patternType="gray125"/>
    </fill>
  </fills>
  <borders count="18">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double"/>
      <bottom style="double"/>
    </border>
    <border>
      <left>
        <color indexed="63"/>
      </left>
      <right style="thin"/>
      <top style="double"/>
      <bottom style="double"/>
    </border>
    <border>
      <left style="thin"/>
      <right>
        <color indexed="63"/>
      </right>
      <top style="thin"/>
      <bottom>
        <color indexed="63"/>
      </bottom>
    </border>
    <border>
      <left>
        <color indexed="63"/>
      </left>
      <right style="thin"/>
      <top style="thin"/>
      <bottom>
        <color indexed="63"/>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2" fontId="8" fillId="0" borderId="0">
      <alignment/>
      <protection locked="0"/>
    </xf>
    <xf numFmtId="41" fontId="6" fillId="0" borderId="0" applyFont="0" applyFill="0" applyBorder="0" applyAlignment="0" applyProtection="0"/>
    <xf numFmtId="191" fontId="8" fillId="0" borderId="0">
      <alignment/>
      <protection locked="0"/>
    </xf>
    <xf numFmtId="192" fontId="8" fillId="0" borderId="0">
      <alignment/>
      <protection locked="0"/>
    </xf>
    <xf numFmtId="189" fontId="6" fillId="0" borderId="0" applyFont="0" applyFill="0" applyBorder="0" applyAlignment="0" applyProtection="0"/>
    <xf numFmtId="191" fontId="8" fillId="0" borderId="0">
      <alignment/>
      <protection locked="0"/>
    </xf>
    <xf numFmtId="192" fontId="8" fillId="0" borderId="0">
      <alignment/>
      <protection locked="0"/>
    </xf>
    <xf numFmtId="192" fontId="8" fillId="0" borderId="0">
      <alignment/>
      <protection locked="0"/>
    </xf>
    <xf numFmtId="192" fontId="8" fillId="0" borderId="0">
      <alignment/>
      <protection locked="0"/>
    </xf>
    <xf numFmtId="192" fontId="8" fillId="0" borderId="0">
      <alignment/>
      <protection locked="0"/>
    </xf>
    <xf numFmtId="0" fontId="7" fillId="0" borderId="0">
      <alignment/>
      <protection/>
    </xf>
    <xf numFmtId="192" fontId="8" fillId="0" borderId="0">
      <alignment/>
      <protection locked="0"/>
    </xf>
    <xf numFmtId="192" fontId="8" fillId="0" borderId="1">
      <alignment/>
      <protection locked="0"/>
    </xf>
    <xf numFmtId="9" fontId="0" fillId="0" borderId="0" applyFont="0" applyFill="0" applyBorder="0" applyAlignment="0" applyProtection="0"/>
    <xf numFmtId="0" fontId="1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9" fillId="0" borderId="0" applyNumberFormat="0" applyFill="0" applyBorder="0" applyAlignment="0" applyProtection="0"/>
    <xf numFmtId="41" fontId="4" fillId="0" borderId="0" applyFont="0" applyFill="0" applyBorder="0" applyAlignment="0" applyProtection="0"/>
    <xf numFmtId="193" fontId="8" fillId="0" borderId="0" applyFont="0" applyFill="0" applyBorder="0" applyAlignment="0" applyProtection="0"/>
    <xf numFmtId="0" fontId="5" fillId="0" borderId="0">
      <alignment/>
      <protection/>
    </xf>
    <xf numFmtId="0" fontId="8" fillId="0" borderId="0">
      <alignment/>
      <protection/>
    </xf>
    <xf numFmtId="0" fontId="13" fillId="0" borderId="0">
      <alignment/>
      <protection/>
    </xf>
    <xf numFmtId="0" fontId="8" fillId="0" borderId="0">
      <alignment/>
      <protection/>
    </xf>
  </cellStyleXfs>
  <cellXfs count="260">
    <xf numFmtId="0" fontId="0" fillId="0" borderId="0" xfId="0" applyAlignment="1">
      <alignment/>
    </xf>
    <xf numFmtId="0" fontId="12" fillId="0" borderId="0" xfId="38" applyFont="1" applyFill="1" applyAlignment="1">
      <alignment vertical="center"/>
      <protection/>
    </xf>
    <xf numFmtId="0" fontId="17" fillId="0" borderId="0" xfId="38" applyFont="1" applyFill="1" applyAlignment="1" quotePrefix="1">
      <alignment horizontal="left" vertical="center"/>
      <protection/>
    </xf>
    <xf numFmtId="0" fontId="17" fillId="0" borderId="0" xfId="38" applyFont="1" applyFill="1" applyAlignment="1">
      <alignment vertical="center"/>
      <protection/>
    </xf>
    <xf numFmtId="0" fontId="15" fillId="0" borderId="0" xfId="38" applyFont="1" applyFill="1" applyAlignment="1" quotePrefix="1">
      <alignment horizontal="left" vertical="center"/>
      <protection/>
    </xf>
    <xf numFmtId="0" fontId="15" fillId="0" borderId="0" xfId="38" applyFont="1" applyFill="1" applyAlignment="1">
      <alignment vertical="center"/>
      <protection/>
    </xf>
    <xf numFmtId="195" fontId="15" fillId="0" borderId="0" xfId="38" applyNumberFormat="1" applyFont="1" applyFill="1" applyAlignment="1">
      <alignment horizontal="center" vertical="center"/>
      <protection/>
    </xf>
    <xf numFmtId="1" fontId="15" fillId="0" borderId="0" xfId="38" applyNumberFormat="1" applyFont="1" applyFill="1" applyAlignment="1">
      <alignment horizontal="center" vertical="center"/>
      <protection/>
    </xf>
    <xf numFmtId="0" fontId="15" fillId="0" borderId="0" xfId="38" applyFont="1" applyFill="1" applyAlignment="1">
      <alignment horizontal="center" vertical="center"/>
      <protection/>
    </xf>
    <xf numFmtId="190" fontId="15" fillId="0" borderId="0" xfId="38" applyNumberFormat="1" applyFont="1" applyFill="1" applyAlignment="1">
      <alignment horizontal="center" vertical="center"/>
      <protection/>
    </xf>
    <xf numFmtId="0" fontId="15" fillId="0" borderId="0" xfId="37" applyFont="1" applyFill="1" applyAlignment="1">
      <alignment vertical="center"/>
      <protection/>
    </xf>
    <xf numFmtId="190" fontId="15" fillId="0" borderId="0" xfId="37" applyNumberFormat="1" applyFont="1" applyFill="1" applyAlignment="1">
      <alignment horizontal="centerContinuous" vertical="center"/>
      <protection/>
    </xf>
    <xf numFmtId="0" fontId="15" fillId="0" borderId="0" xfId="40" applyFont="1" applyFill="1" applyBorder="1" applyAlignment="1">
      <alignment horizontal="left" vertical="center"/>
      <protection/>
    </xf>
    <xf numFmtId="0" fontId="15" fillId="0" borderId="0" xfId="38" applyFont="1" applyFill="1" applyBorder="1" applyAlignment="1">
      <alignment horizontal="center" vertical="center"/>
      <protection/>
    </xf>
    <xf numFmtId="0" fontId="15" fillId="0" borderId="0" xfId="38" applyFont="1" applyFill="1" applyBorder="1" applyAlignment="1">
      <alignment vertical="center"/>
      <protection/>
    </xf>
    <xf numFmtId="1" fontId="15" fillId="0" borderId="0" xfId="38" applyNumberFormat="1" applyFont="1" applyFill="1" applyBorder="1" applyAlignment="1">
      <alignment horizontal="center" vertical="center"/>
      <protection/>
    </xf>
    <xf numFmtId="190" fontId="15" fillId="0" borderId="0" xfId="38" applyNumberFormat="1" applyFont="1" applyFill="1" applyBorder="1" applyAlignment="1">
      <alignment horizontal="center" vertical="center"/>
      <protection/>
    </xf>
    <xf numFmtId="0" fontId="15" fillId="0" borderId="0" xfId="38" applyFont="1" applyFill="1" applyAlignment="1" quotePrefix="1">
      <alignment vertical="center"/>
      <protection/>
    </xf>
    <xf numFmtId="0" fontId="15" fillId="0" borderId="0" xfId="38" applyFont="1" applyFill="1" applyAlignment="1">
      <alignment horizontal="left" vertical="center"/>
      <protection/>
    </xf>
    <xf numFmtId="0" fontId="15" fillId="0" borderId="2" xfId="38" applyFont="1" applyFill="1" applyBorder="1" applyAlignment="1">
      <alignment vertical="center"/>
      <protection/>
    </xf>
    <xf numFmtId="185" fontId="15" fillId="0" borderId="0" xfId="38" applyNumberFormat="1" applyFont="1" applyFill="1" applyAlignment="1">
      <alignment horizontal="center" vertical="center"/>
      <protection/>
    </xf>
    <xf numFmtId="0" fontId="15" fillId="0" borderId="0" xfId="38" applyFont="1" applyFill="1" applyAlignment="1" quotePrefix="1">
      <alignment horizontal="center" vertical="center"/>
      <protection/>
    </xf>
    <xf numFmtId="186" fontId="15" fillId="0" borderId="0" xfId="38" applyNumberFormat="1" applyFont="1" applyFill="1" applyAlignment="1">
      <alignment horizontal="center" vertical="center"/>
      <protection/>
    </xf>
    <xf numFmtId="190" fontId="15" fillId="0" borderId="0" xfId="38" applyNumberFormat="1" applyFont="1" applyFill="1" applyAlignment="1">
      <alignment vertical="center"/>
      <protection/>
    </xf>
    <xf numFmtId="190" fontId="15" fillId="0" borderId="0" xfId="38" applyNumberFormat="1" applyFont="1" applyFill="1" applyAlignment="1">
      <alignment horizontal="centerContinuous" vertical="center"/>
      <protection/>
    </xf>
    <xf numFmtId="0" fontId="15" fillId="0" borderId="0" xfId="38" applyFont="1" applyFill="1" applyAlignment="1">
      <alignment horizontal="centerContinuous" vertical="center"/>
      <protection/>
    </xf>
    <xf numFmtId="213" fontId="15" fillId="0" borderId="0" xfId="38" applyNumberFormat="1" applyFont="1" applyFill="1" applyAlignment="1">
      <alignment horizontal="center" vertical="center"/>
      <protection/>
    </xf>
    <xf numFmtId="198" fontId="15" fillId="0" borderId="0" xfId="38" applyNumberFormat="1" applyFont="1" applyFill="1" applyAlignment="1">
      <alignment vertical="center"/>
      <protection/>
    </xf>
    <xf numFmtId="194" fontId="15" fillId="0" borderId="0" xfId="38" applyNumberFormat="1" applyFont="1" applyFill="1" applyAlignment="1">
      <alignment horizontal="center" vertical="center"/>
      <protection/>
    </xf>
    <xf numFmtId="0" fontId="18" fillId="0" borderId="0" xfId="38" applyFont="1" applyFill="1" applyAlignment="1">
      <alignment horizontal="center" vertical="center"/>
      <protection/>
    </xf>
    <xf numFmtId="0" fontId="15" fillId="0" borderId="0" xfId="38" applyFont="1" applyFill="1" applyAlignment="1">
      <alignment vertical="top" textRotation="90"/>
      <protection/>
    </xf>
    <xf numFmtId="0" fontId="18" fillId="0" borderId="0" xfId="38" applyFont="1" applyFill="1" applyAlignment="1">
      <alignment vertical="center"/>
      <protection/>
    </xf>
    <xf numFmtId="0" fontId="18" fillId="0" borderId="0" xfId="38" applyFont="1" applyFill="1" applyAlignment="1">
      <alignment horizontal="left" textRotation="90"/>
      <protection/>
    </xf>
    <xf numFmtId="0" fontId="18" fillId="0" borderId="0" xfId="38" applyFont="1" applyFill="1" applyAlignment="1">
      <alignment horizontal="left" vertical="center" textRotation="90"/>
      <protection/>
    </xf>
    <xf numFmtId="0" fontId="15" fillId="0" borderId="0" xfId="38" applyFont="1" applyFill="1" applyBorder="1" applyAlignment="1" quotePrefix="1">
      <alignment horizontal="center" vertical="center"/>
      <protection/>
    </xf>
    <xf numFmtId="200" fontId="15" fillId="0" borderId="0" xfId="38" applyNumberFormat="1" applyFont="1" applyFill="1" applyBorder="1" applyAlignment="1">
      <alignment horizontal="center" vertical="center"/>
      <protection/>
    </xf>
    <xf numFmtId="0" fontId="15" fillId="0" borderId="0" xfId="38" applyFont="1" applyFill="1" applyBorder="1" applyAlignment="1">
      <alignment horizontal="left" vertical="center"/>
      <protection/>
    </xf>
    <xf numFmtId="0" fontId="15" fillId="0" borderId="0" xfId="38" applyFont="1" applyFill="1" applyBorder="1" applyAlignment="1" quotePrefix="1">
      <alignment horizontal="left" vertical="center"/>
      <protection/>
    </xf>
    <xf numFmtId="0" fontId="15" fillId="0" borderId="0" xfId="38" applyFont="1" applyFill="1" applyAlignment="1">
      <alignment horizontal="right" vertical="center"/>
      <protection/>
    </xf>
    <xf numFmtId="195" fontId="15" fillId="0" borderId="0" xfId="38" applyNumberFormat="1" applyFont="1" applyFill="1" applyAlignment="1">
      <alignment horizontal="centerContinuous" vertical="center"/>
      <protection/>
    </xf>
    <xf numFmtId="187" fontId="15" fillId="0" borderId="0" xfId="38" applyNumberFormat="1" applyFont="1" applyFill="1" applyAlignment="1">
      <alignment horizontal="center" vertical="center"/>
      <protection/>
    </xf>
    <xf numFmtId="2" fontId="15" fillId="0" borderId="0" xfId="38" applyNumberFormat="1" applyFont="1" applyFill="1" applyAlignment="1">
      <alignment horizontal="center" vertical="center"/>
      <protection/>
    </xf>
    <xf numFmtId="188" fontId="15" fillId="0" borderId="0" xfId="38" applyNumberFormat="1" applyFont="1" applyFill="1" applyBorder="1" applyAlignment="1">
      <alignment horizontal="centerContinuous" vertical="center"/>
      <protection/>
    </xf>
    <xf numFmtId="188" fontId="15" fillId="0" borderId="0" xfId="38" applyNumberFormat="1" applyFont="1" applyFill="1" applyAlignment="1">
      <alignment horizontal="centerContinuous" vertical="center"/>
      <protection/>
    </xf>
    <xf numFmtId="184" fontId="15" fillId="0" borderId="0" xfId="38" applyNumberFormat="1" applyFont="1" applyFill="1" applyAlignment="1">
      <alignment vertical="center"/>
      <protection/>
    </xf>
    <xf numFmtId="195" fontId="15" fillId="0" borderId="0" xfId="38" applyNumberFormat="1" applyFont="1" applyFill="1" applyBorder="1" applyAlignment="1">
      <alignment horizontal="center" vertical="center"/>
      <protection/>
    </xf>
    <xf numFmtId="0" fontId="15" fillId="0" borderId="0" xfId="38" applyFont="1" applyFill="1" applyBorder="1" applyAlignment="1" quotePrefix="1">
      <alignment vertical="center"/>
      <protection/>
    </xf>
    <xf numFmtId="0" fontId="15" fillId="0" borderId="0" xfId="37" applyFont="1" applyFill="1" applyAlignment="1" quotePrefix="1">
      <alignment horizontal="center" vertical="center"/>
      <protection/>
    </xf>
    <xf numFmtId="195" fontId="15" fillId="0" borderId="2" xfId="38" applyNumberFormat="1" applyFont="1" applyFill="1" applyBorder="1" applyAlignment="1">
      <alignment horizontal="center" vertical="center"/>
      <protection/>
    </xf>
    <xf numFmtId="195" fontId="15" fillId="0" borderId="0" xfId="38" applyNumberFormat="1" applyFont="1" applyFill="1" applyAlignment="1">
      <alignment horizontal="left" vertical="center"/>
      <protection/>
    </xf>
    <xf numFmtId="194" fontId="15" fillId="0" borderId="0" xfId="38" applyNumberFormat="1" applyFont="1" applyFill="1" applyAlignment="1">
      <alignment horizontal="centerContinuous" vertical="center"/>
      <protection/>
    </xf>
    <xf numFmtId="185" fontId="15" fillId="0" borderId="0" xfId="38" applyNumberFormat="1" applyFont="1" applyFill="1" applyAlignment="1">
      <alignment horizontal="centerContinuous" vertical="center"/>
      <protection/>
    </xf>
    <xf numFmtId="184" fontId="15" fillId="0" borderId="0" xfId="38" applyNumberFormat="1" applyFont="1" applyFill="1" applyAlignment="1">
      <alignment horizontal="left" vertical="center"/>
      <protection/>
    </xf>
    <xf numFmtId="184" fontId="15" fillId="0" borderId="0" xfId="38" applyNumberFormat="1" applyFont="1" applyFill="1" applyAlignment="1">
      <alignment horizontal="center" vertical="center"/>
      <protection/>
    </xf>
    <xf numFmtId="185" fontId="18" fillId="0" borderId="0" xfId="38" applyNumberFormat="1" applyFont="1" applyFill="1" applyAlignment="1">
      <alignment vertical="center"/>
      <protection/>
    </xf>
    <xf numFmtId="184" fontId="15" fillId="0" borderId="0" xfId="37" applyNumberFormat="1" applyFont="1" applyFill="1" applyAlignment="1">
      <alignment horizontal="centerContinuous" vertical="center"/>
      <protection/>
    </xf>
    <xf numFmtId="0" fontId="15" fillId="0" borderId="0" xfId="37" applyFont="1" applyFill="1" applyAlignment="1">
      <alignment horizontal="centerContinuous" vertical="center"/>
      <protection/>
    </xf>
    <xf numFmtId="0" fontId="15" fillId="0" borderId="0" xfId="37" applyFont="1" applyFill="1" applyAlignment="1">
      <alignment horizontal="centerContinuous"/>
      <protection/>
    </xf>
    <xf numFmtId="0" fontId="15" fillId="0" borderId="0" xfId="37" applyFont="1" applyFill="1" applyAlignment="1" quotePrefix="1">
      <alignment vertical="center"/>
      <protection/>
    </xf>
    <xf numFmtId="0" fontId="15" fillId="0" borderId="0" xfId="37" applyFont="1" applyFill="1" applyAlignment="1">
      <alignment horizontal="center" vertical="center"/>
      <protection/>
    </xf>
    <xf numFmtId="184" fontId="15" fillId="0" borderId="0" xfId="37" applyNumberFormat="1" applyFont="1" applyFill="1" applyAlignment="1">
      <alignment horizontal="left" vertical="center"/>
      <protection/>
    </xf>
    <xf numFmtId="207" fontId="15" fillId="0" borderId="0" xfId="38" applyNumberFormat="1" applyFont="1" applyFill="1" applyBorder="1" applyAlignment="1">
      <alignment horizontal="left" vertical="center"/>
      <protection/>
    </xf>
    <xf numFmtId="207" fontId="15" fillId="0" borderId="0" xfId="38" applyNumberFormat="1" applyFont="1" applyFill="1" applyAlignment="1">
      <alignment horizontal="center" vertical="center"/>
      <protection/>
    </xf>
    <xf numFmtId="186" fontId="15" fillId="0" borderId="0" xfId="38" applyNumberFormat="1" applyFont="1" applyFill="1" applyAlignment="1">
      <alignment horizontal="centerContinuous" vertical="center"/>
      <protection/>
    </xf>
    <xf numFmtId="207" fontId="15" fillId="0" borderId="0" xfId="38" applyNumberFormat="1" applyFont="1" applyFill="1" applyAlignment="1">
      <alignment vertical="center"/>
      <protection/>
    </xf>
    <xf numFmtId="206" fontId="15" fillId="0" borderId="0" xfId="38" applyNumberFormat="1" applyFont="1" applyFill="1" applyAlignment="1" quotePrefix="1">
      <alignment horizontal="center" vertical="center"/>
      <protection/>
    </xf>
    <xf numFmtId="229" fontId="15" fillId="0" borderId="0" xfId="38" applyNumberFormat="1" applyFont="1" applyFill="1" applyAlignment="1">
      <alignment horizontal="centerContinuous" vertical="center"/>
      <protection/>
    </xf>
    <xf numFmtId="207" fontId="15" fillId="0" borderId="0" xfId="38" applyNumberFormat="1" applyFont="1" applyFill="1" applyAlignment="1">
      <alignment horizontal="centerContinuous" vertical="center"/>
      <protection/>
    </xf>
    <xf numFmtId="207" fontId="15" fillId="0" borderId="0" xfId="38" applyNumberFormat="1" applyFont="1" applyFill="1" applyBorder="1" applyAlignment="1">
      <alignment horizontal="center" vertical="center"/>
      <protection/>
    </xf>
    <xf numFmtId="200" fontId="15" fillId="0" borderId="0" xfId="38" applyNumberFormat="1" applyFont="1" applyFill="1" applyAlignment="1">
      <alignment horizontal="center" vertical="center"/>
      <protection/>
    </xf>
    <xf numFmtId="2" fontId="15" fillId="0" borderId="0" xfId="38" applyNumberFormat="1" applyFont="1" applyFill="1" applyAlignment="1">
      <alignment vertical="center"/>
      <protection/>
    </xf>
    <xf numFmtId="186" fontId="15" fillId="0" borderId="0" xfId="38" applyNumberFormat="1" applyFont="1" applyFill="1" applyBorder="1" applyAlignment="1">
      <alignment horizontal="center" vertical="center"/>
      <protection/>
    </xf>
    <xf numFmtId="0" fontId="17" fillId="0" borderId="0" xfId="0" applyFont="1" applyFill="1" applyAlignment="1">
      <alignment vertical="center"/>
    </xf>
    <xf numFmtId="190" fontId="15" fillId="0" borderId="3" xfId="38" applyNumberFormat="1" applyFont="1" applyFill="1" applyBorder="1" applyAlignment="1">
      <alignment horizontal="center" vertical="center"/>
      <protection/>
    </xf>
    <xf numFmtId="0" fontId="15" fillId="0" borderId="3" xfId="38" applyFont="1" applyFill="1" applyBorder="1" applyAlignment="1">
      <alignment horizontal="center" vertical="center"/>
      <protection/>
    </xf>
    <xf numFmtId="0" fontId="15" fillId="0" borderId="1" xfId="38" applyFont="1" applyFill="1" applyBorder="1" applyAlignment="1">
      <alignment horizontal="center" vertical="center"/>
      <protection/>
    </xf>
    <xf numFmtId="0" fontId="15" fillId="0" borderId="4" xfId="38" applyFont="1" applyFill="1" applyBorder="1" applyAlignment="1">
      <alignment horizontal="center" vertical="center"/>
      <protection/>
    </xf>
    <xf numFmtId="0" fontId="15" fillId="0" borderId="5" xfId="38" applyFont="1" applyFill="1" applyBorder="1" applyAlignment="1">
      <alignment horizontal="center" vertical="center"/>
      <protection/>
    </xf>
    <xf numFmtId="2" fontId="15" fillId="0" borderId="3" xfId="38" applyNumberFormat="1" applyFont="1" applyFill="1" applyBorder="1" applyAlignment="1">
      <alignment horizontal="center" vertical="center"/>
      <protection/>
    </xf>
    <xf numFmtId="188" fontId="15" fillId="0" borderId="3" xfId="38" applyNumberFormat="1" applyFont="1" applyFill="1" applyBorder="1" applyAlignment="1">
      <alignment horizontal="center" vertical="center"/>
      <protection/>
    </xf>
    <xf numFmtId="2" fontId="15" fillId="0" borderId="0" xfId="38" applyNumberFormat="1" applyFont="1" applyFill="1" applyAlignment="1">
      <alignment horizontal="center" vertical="center"/>
      <protection/>
    </xf>
    <xf numFmtId="188" fontId="15" fillId="0" borderId="6" xfId="38" applyNumberFormat="1" applyFont="1" applyFill="1" applyBorder="1" applyAlignment="1">
      <alignment horizontal="center" vertical="center"/>
      <protection/>
    </xf>
    <xf numFmtId="188" fontId="15" fillId="0" borderId="2" xfId="38" applyNumberFormat="1" applyFont="1" applyFill="1" applyBorder="1" applyAlignment="1">
      <alignment horizontal="center" vertical="center"/>
      <protection/>
    </xf>
    <xf numFmtId="188" fontId="15" fillId="0" borderId="7" xfId="38" applyNumberFormat="1" applyFont="1" applyFill="1" applyBorder="1" applyAlignment="1">
      <alignment horizontal="center" vertical="center"/>
      <protection/>
    </xf>
    <xf numFmtId="194" fontId="15" fillId="0" borderId="8" xfId="38" applyNumberFormat="1" applyFont="1" applyFill="1" applyBorder="1" applyAlignment="1">
      <alignment horizontal="center" vertical="center"/>
      <protection/>
    </xf>
    <xf numFmtId="188" fontId="15" fillId="0" borderId="8" xfId="38" applyNumberFormat="1" applyFont="1" applyFill="1" applyBorder="1" applyAlignment="1">
      <alignment horizontal="center" vertical="center"/>
      <protection/>
    </xf>
    <xf numFmtId="0" fontId="15" fillId="0" borderId="9" xfId="38" applyFont="1" applyFill="1" applyBorder="1" applyAlignment="1">
      <alignment horizontal="center" vertical="center"/>
      <protection/>
    </xf>
    <xf numFmtId="190" fontId="15" fillId="0" borderId="6" xfId="38" applyNumberFormat="1" applyFont="1" applyFill="1" applyBorder="1" applyAlignment="1">
      <alignment horizontal="center" vertical="center"/>
      <protection/>
    </xf>
    <xf numFmtId="2" fontId="15" fillId="0" borderId="6" xfId="38" applyNumberFormat="1" applyFont="1" applyFill="1" applyBorder="1" applyAlignment="1">
      <alignment horizontal="center" vertical="center"/>
      <protection/>
    </xf>
    <xf numFmtId="190" fontId="15" fillId="0" borderId="0" xfId="38" applyNumberFormat="1" applyFont="1" applyFill="1" applyAlignment="1">
      <alignment horizontal="center" vertical="center"/>
      <protection/>
    </xf>
    <xf numFmtId="194" fontId="15" fillId="0" borderId="0" xfId="38" applyNumberFormat="1" applyFont="1" applyFill="1" applyAlignment="1">
      <alignment horizontal="center" vertical="center"/>
      <protection/>
    </xf>
    <xf numFmtId="190" fontId="15" fillId="0" borderId="0" xfId="37" applyNumberFormat="1" applyFont="1" applyFill="1" applyAlignment="1">
      <alignment horizontal="center" vertical="center"/>
      <protection/>
    </xf>
    <xf numFmtId="0" fontId="15" fillId="0" borderId="0" xfId="38" applyFont="1" applyFill="1" applyAlignment="1">
      <alignment horizontal="center" vertical="center"/>
      <protection/>
    </xf>
    <xf numFmtId="0" fontId="15" fillId="0" borderId="8" xfId="38" applyFont="1" applyFill="1" applyBorder="1" applyAlignment="1">
      <alignment horizontal="center" vertical="center"/>
      <protection/>
    </xf>
    <xf numFmtId="186" fontId="15" fillId="0" borderId="8" xfId="38" applyNumberFormat="1" applyFont="1" applyFill="1" applyBorder="1" applyAlignment="1">
      <alignment horizontal="center" vertical="center"/>
      <protection/>
    </xf>
    <xf numFmtId="0" fontId="15" fillId="0" borderId="0" xfId="38" applyFont="1" applyFill="1" applyBorder="1" applyAlignment="1">
      <alignment horizontal="center" vertical="center"/>
      <protection/>
    </xf>
    <xf numFmtId="184" fontId="15" fillId="0" borderId="0" xfId="38" applyNumberFormat="1" applyFont="1" applyFill="1" applyAlignment="1">
      <alignment horizontal="center" vertical="center"/>
      <protection/>
    </xf>
    <xf numFmtId="0" fontId="15" fillId="0" borderId="2" xfId="38" applyFont="1" applyFill="1" applyBorder="1" applyAlignment="1">
      <alignment horizontal="center" vertical="center"/>
      <protection/>
    </xf>
    <xf numFmtId="184" fontId="15" fillId="0" borderId="2" xfId="38" applyNumberFormat="1" applyFont="1" applyFill="1" applyBorder="1" applyAlignment="1">
      <alignment horizontal="center" vertical="center"/>
      <protection/>
    </xf>
    <xf numFmtId="225" fontId="15" fillId="0" borderId="0" xfId="38" applyNumberFormat="1" applyFont="1" applyFill="1" applyAlignment="1">
      <alignment horizontal="center" vertical="center"/>
      <protection/>
    </xf>
    <xf numFmtId="186" fontId="15" fillId="0" borderId="0" xfId="38" applyNumberFormat="1" applyFont="1" applyFill="1" applyAlignment="1">
      <alignment horizontal="center" vertical="center"/>
      <protection/>
    </xf>
    <xf numFmtId="225" fontId="15" fillId="0" borderId="2" xfId="38" applyNumberFormat="1" applyFont="1" applyFill="1" applyBorder="1" applyAlignment="1">
      <alignment horizontal="center" vertical="center"/>
      <protection/>
    </xf>
    <xf numFmtId="195" fontId="15" fillId="0" borderId="0" xfId="38" applyNumberFormat="1" applyFont="1" applyFill="1" applyAlignment="1">
      <alignment horizontal="center" vertical="center"/>
      <protection/>
    </xf>
    <xf numFmtId="0" fontId="15" fillId="0" borderId="0" xfId="38" applyFont="1" applyFill="1" applyAlignment="1">
      <alignment horizontal="left" vertical="center"/>
      <protection/>
    </xf>
    <xf numFmtId="213" fontId="15" fillId="0" borderId="0" xfId="38" applyNumberFormat="1" applyFont="1" applyFill="1" applyAlignment="1">
      <alignment horizontal="center" vertical="center"/>
      <protection/>
    </xf>
    <xf numFmtId="190" fontId="15" fillId="0" borderId="2" xfId="38" applyNumberFormat="1" applyFont="1" applyFill="1" applyBorder="1" applyAlignment="1">
      <alignment horizontal="center" vertical="center"/>
      <protection/>
    </xf>
    <xf numFmtId="0" fontId="15" fillId="0" borderId="0" xfId="38" applyFont="1" applyFill="1" applyAlignment="1" quotePrefix="1">
      <alignment horizontal="center" vertical="center"/>
      <protection/>
    </xf>
    <xf numFmtId="185" fontId="15" fillId="0" borderId="0" xfId="38" applyNumberFormat="1" applyFont="1" applyFill="1" applyBorder="1" applyAlignment="1">
      <alignment horizontal="center" vertical="center"/>
      <protection/>
    </xf>
    <xf numFmtId="190" fontId="15" fillId="0" borderId="0" xfId="38" applyNumberFormat="1" applyFont="1" applyFill="1" applyBorder="1" applyAlignment="1">
      <alignment horizontal="center" vertical="center"/>
      <protection/>
    </xf>
    <xf numFmtId="187" fontId="15" fillId="0" borderId="0" xfId="38" applyNumberFormat="1" applyFont="1" applyFill="1" applyBorder="1" applyAlignment="1">
      <alignment horizontal="center" vertical="center"/>
      <protection/>
    </xf>
    <xf numFmtId="0" fontId="15" fillId="0" borderId="0" xfId="37" applyFont="1" applyFill="1" applyAlignment="1">
      <alignment horizontal="center" vertical="center"/>
      <protection/>
    </xf>
    <xf numFmtId="0" fontId="15" fillId="0" borderId="0" xfId="37" applyFont="1" applyFill="1" applyAlignment="1" quotePrefix="1">
      <alignment horizontal="center" vertical="center"/>
      <protection/>
    </xf>
    <xf numFmtId="188" fontId="15" fillId="0" borderId="0" xfId="38" applyNumberFormat="1" applyFont="1" applyFill="1" applyAlignment="1">
      <alignment horizontal="center" vertical="center"/>
      <protection/>
    </xf>
    <xf numFmtId="230" fontId="15" fillId="0" borderId="0" xfId="38" applyNumberFormat="1" applyFont="1" applyFill="1" applyAlignment="1">
      <alignment horizontal="center" vertical="center"/>
      <protection/>
    </xf>
    <xf numFmtId="1" fontId="15" fillId="0" borderId="0" xfId="38" applyNumberFormat="1" applyFont="1" applyFill="1" applyBorder="1" applyAlignment="1">
      <alignment horizontal="center" vertical="center"/>
      <protection/>
    </xf>
    <xf numFmtId="196" fontId="15" fillId="0" borderId="0" xfId="38" applyNumberFormat="1" applyFont="1" applyFill="1" applyBorder="1" applyAlignment="1">
      <alignment horizontal="center" vertical="center"/>
      <protection/>
    </xf>
    <xf numFmtId="214" fontId="15" fillId="0" borderId="0" xfId="38" applyNumberFormat="1" applyFont="1" applyFill="1" applyAlignment="1">
      <alignment horizontal="center" vertical="center"/>
      <protection/>
    </xf>
    <xf numFmtId="194" fontId="15" fillId="0" borderId="2" xfId="38" applyNumberFormat="1" applyFont="1" applyFill="1" applyBorder="1" applyAlignment="1">
      <alignment horizontal="center" vertical="center"/>
      <protection/>
    </xf>
    <xf numFmtId="195" fontId="15" fillId="0" borderId="2" xfId="38" applyNumberFormat="1" applyFont="1" applyFill="1" applyBorder="1" applyAlignment="1">
      <alignment horizontal="center" vertical="center"/>
      <protection/>
    </xf>
    <xf numFmtId="198" fontId="15" fillId="0" borderId="0" xfId="38" applyNumberFormat="1" applyFont="1" applyFill="1" applyAlignment="1">
      <alignment horizontal="center" vertical="center"/>
      <protection/>
    </xf>
    <xf numFmtId="195" fontId="15" fillId="0" borderId="0" xfId="38" applyNumberFormat="1" applyFont="1" applyFill="1" applyBorder="1" applyAlignment="1">
      <alignment horizontal="center" vertical="center"/>
      <protection/>
    </xf>
    <xf numFmtId="229" fontId="15" fillId="0" borderId="0" xfId="38" applyNumberFormat="1" applyFont="1" applyFill="1" applyBorder="1" applyAlignment="1">
      <alignment horizontal="center" vertical="center"/>
      <protection/>
    </xf>
    <xf numFmtId="229" fontId="15" fillId="0" borderId="0" xfId="38" applyNumberFormat="1" applyFont="1" applyFill="1" applyAlignment="1">
      <alignment horizontal="center" vertical="center"/>
      <protection/>
    </xf>
    <xf numFmtId="187" fontId="15" fillId="0" borderId="0" xfId="38" applyNumberFormat="1" applyFont="1" applyFill="1" applyAlignment="1">
      <alignment horizontal="center" vertical="center"/>
      <protection/>
    </xf>
    <xf numFmtId="1" fontId="15" fillId="0" borderId="0" xfId="38" applyNumberFormat="1" applyFont="1" applyFill="1" applyAlignment="1">
      <alignment horizontal="center" vertical="center"/>
      <protection/>
    </xf>
    <xf numFmtId="228" fontId="15" fillId="0" borderId="0" xfId="38" applyNumberFormat="1" applyFont="1" applyFill="1" applyAlignment="1">
      <alignment horizontal="center" vertical="center"/>
      <protection/>
    </xf>
    <xf numFmtId="197" fontId="15" fillId="0" borderId="0" xfId="38" applyNumberFormat="1" applyFont="1" applyFill="1" applyAlignment="1">
      <alignment horizontal="center" vertical="center"/>
      <protection/>
    </xf>
    <xf numFmtId="205" fontId="15" fillId="0" borderId="0" xfId="38" applyNumberFormat="1" applyFont="1" applyFill="1" applyAlignment="1">
      <alignment horizontal="center" vertical="center"/>
      <protection/>
    </xf>
    <xf numFmtId="231" fontId="15" fillId="0" borderId="0" xfId="38" applyNumberFormat="1" applyFont="1" applyFill="1" applyAlignment="1">
      <alignment horizontal="left" vertical="center"/>
      <protection/>
    </xf>
    <xf numFmtId="232" fontId="15" fillId="0" borderId="0" xfId="38" applyNumberFormat="1" applyFont="1" applyFill="1" applyAlignment="1">
      <alignment horizontal="left" vertical="center"/>
      <protection/>
    </xf>
    <xf numFmtId="199" fontId="15" fillId="0" borderId="0" xfId="38" applyNumberFormat="1" applyFont="1" applyFill="1" applyAlignment="1">
      <alignment horizontal="center" vertical="center"/>
      <protection/>
    </xf>
    <xf numFmtId="201" fontId="15" fillId="0" borderId="0" xfId="38" applyNumberFormat="1" applyFont="1" applyFill="1" applyAlignment="1">
      <alignment horizontal="center" vertical="center"/>
      <protection/>
    </xf>
    <xf numFmtId="1" fontId="15" fillId="0" borderId="2" xfId="38" applyNumberFormat="1" applyFont="1" applyFill="1" applyBorder="1" applyAlignment="1">
      <alignment horizontal="center" vertical="center"/>
      <protection/>
    </xf>
    <xf numFmtId="200" fontId="15" fillId="0" borderId="0" xfId="38" applyNumberFormat="1" applyFont="1" applyFill="1" applyAlignment="1">
      <alignment horizontal="center" vertical="center"/>
      <protection/>
    </xf>
    <xf numFmtId="185" fontId="15" fillId="0" borderId="0" xfId="38" applyNumberFormat="1" applyFont="1" applyFill="1" applyAlignment="1">
      <alignment horizontal="center" vertical="center"/>
      <protection/>
    </xf>
    <xf numFmtId="221" fontId="15" fillId="0" borderId="10" xfId="0" applyNumberFormat="1" applyFont="1" applyFill="1" applyBorder="1" applyAlignment="1">
      <alignment horizontal="center" vertical="center"/>
    </xf>
    <xf numFmtId="221" fontId="15" fillId="0" borderId="11" xfId="0" applyNumberFormat="1" applyFont="1" applyFill="1" applyBorder="1" applyAlignment="1">
      <alignment horizontal="center" vertical="center"/>
    </xf>
    <xf numFmtId="221" fontId="15" fillId="0" borderId="12" xfId="0" applyNumberFormat="1" applyFont="1" applyFill="1" applyBorder="1" applyAlignment="1">
      <alignment horizontal="center" vertical="center"/>
    </xf>
    <xf numFmtId="220" fontId="15" fillId="0" borderId="10" xfId="0" applyNumberFormat="1" applyFont="1" applyFill="1" applyBorder="1" applyAlignment="1">
      <alignment horizontal="center" vertical="center"/>
    </xf>
    <xf numFmtId="220" fontId="15" fillId="0" borderId="11" xfId="0" applyNumberFormat="1" applyFont="1" applyFill="1" applyBorder="1" applyAlignment="1">
      <alignment horizontal="center" vertical="center"/>
    </xf>
    <xf numFmtId="220" fontId="15" fillId="0" borderId="12" xfId="0" applyNumberFormat="1" applyFont="1" applyFill="1" applyBorder="1" applyAlignment="1">
      <alignment horizontal="center" vertical="center"/>
    </xf>
    <xf numFmtId="222" fontId="15" fillId="0" borderId="2" xfId="0" applyNumberFormat="1" applyFont="1" applyFill="1" applyBorder="1" applyAlignment="1">
      <alignment horizontal="left" vertical="center"/>
    </xf>
    <xf numFmtId="209" fontId="15" fillId="0" borderId="0" xfId="38" applyNumberFormat="1" applyFont="1" applyFill="1" applyAlignment="1">
      <alignment horizontal="center" vertical="center"/>
      <protection/>
    </xf>
    <xf numFmtId="220" fontId="15" fillId="0" borderId="2" xfId="0" applyNumberFormat="1" applyFont="1" applyFill="1" applyBorder="1" applyAlignment="1">
      <alignment horizontal="left" vertical="center"/>
    </xf>
    <xf numFmtId="227" fontId="15" fillId="0" borderId="0" xfId="38" applyNumberFormat="1" applyFont="1" applyFill="1" applyAlignment="1">
      <alignment horizontal="center" vertical="center"/>
      <protection/>
    </xf>
    <xf numFmtId="234" fontId="15" fillId="0" borderId="0" xfId="38" applyNumberFormat="1" applyFont="1" applyFill="1" applyAlignment="1">
      <alignment horizontal="left" vertical="center"/>
      <protection/>
    </xf>
    <xf numFmtId="234" fontId="15" fillId="0" borderId="0" xfId="38" applyNumberFormat="1" applyFont="1" applyFill="1" applyAlignment="1">
      <alignment horizontal="center" vertical="center"/>
      <protection/>
    </xf>
    <xf numFmtId="219" fontId="15" fillId="0" borderId="0" xfId="0" applyNumberFormat="1" applyFont="1" applyFill="1" applyAlignment="1">
      <alignment vertical="center"/>
    </xf>
    <xf numFmtId="212" fontId="15" fillId="0" borderId="0" xfId="0" applyNumberFormat="1" applyFont="1" applyFill="1" applyBorder="1" applyAlignment="1">
      <alignment horizontal="center" vertical="center"/>
    </xf>
    <xf numFmtId="219" fontId="20" fillId="0" borderId="0" xfId="0" applyNumberFormat="1" applyFont="1" applyFill="1" applyAlignment="1">
      <alignment vertical="center"/>
    </xf>
    <xf numFmtId="235" fontId="15" fillId="0" borderId="0" xfId="38" applyNumberFormat="1" applyFont="1" applyFill="1" applyAlignment="1">
      <alignment horizontal="center" vertical="center"/>
      <protection/>
    </xf>
    <xf numFmtId="0" fontId="15" fillId="0" borderId="0" xfId="38" applyFont="1" applyFill="1" applyAlignment="1">
      <alignment vertical="top"/>
      <protection/>
    </xf>
    <xf numFmtId="220" fontId="15" fillId="0" borderId="0" xfId="0" applyNumberFormat="1" applyFont="1" applyFill="1" applyAlignment="1">
      <alignment vertical="center"/>
    </xf>
    <xf numFmtId="234" fontId="15" fillId="0" borderId="0" xfId="0" applyNumberFormat="1" applyFont="1" applyFill="1" applyAlignment="1">
      <alignment horizontal="right" vertical="center"/>
    </xf>
    <xf numFmtId="202" fontId="15" fillId="0" borderId="0" xfId="38" applyNumberFormat="1" applyFont="1" applyFill="1" applyAlignment="1">
      <alignment horizontal="center" vertical="center"/>
      <protection/>
    </xf>
    <xf numFmtId="0" fontId="15" fillId="0" borderId="0" xfId="38" applyNumberFormat="1" applyFont="1" applyFill="1" applyAlignment="1">
      <alignment horizontal="right" vertical="center"/>
      <protection/>
    </xf>
    <xf numFmtId="218" fontId="15" fillId="0" borderId="0" xfId="38" applyNumberFormat="1" applyFont="1" applyFill="1" applyAlignment="1">
      <alignment horizontal="left" vertical="center"/>
      <protection/>
    </xf>
    <xf numFmtId="220" fontId="15" fillId="0" borderId="10" xfId="0" applyNumberFormat="1" applyFont="1" applyFill="1" applyBorder="1" applyAlignment="1">
      <alignment horizontal="center" vertical="center" wrapText="1"/>
    </xf>
    <xf numFmtId="220" fontId="15" fillId="0" borderId="11" xfId="0" applyNumberFormat="1" applyFont="1" applyFill="1" applyBorder="1" applyAlignment="1">
      <alignment horizontal="center" vertical="center" wrapText="1"/>
    </xf>
    <xf numFmtId="220" fontId="15" fillId="0" borderId="12" xfId="0" applyNumberFormat="1" applyFont="1" applyFill="1" applyBorder="1" applyAlignment="1">
      <alignment horizontal="center" vertical="center" wrapText="1"/>
    </xf>
    <xf numFmtId="202" fontId="15" fillId="0" borderId="0" xfId="38" applyNumberFormat="1" applyFont="1" applyFill="1" applyAlignment="1">
      <alignment horizontal="center" vertical="center"/>
      <protection/>
    </xf>
    <xf numFmtId="221" fontId="15" fillId="0" borderId="13" xfId="0" applyNumberFormat="1" applyFont="1" applyFill="1" applyBorder="1" applyAlignment="1">
      <alignment horizontal="center" vertical="center"/>
    </xf>
    <xf numFmtId="220" fontId="15" fillId="0" borderId="13" xfId="0" applyNumberFormat="1" applyFont="1" applyFill="1" applyBorder="1" applyAlignment="1" quotePrefix="1">
      <alignment horizontal="center" vertical="center"/>
    </xf>
    <xf numFmtId="236" fontId="15" fillId="0" borderId="0" xfId="38" applyNumberFormat="1" applyFont="1" applyFill="1" applyAlignment="1">
      <alignment horizontal="center" vertical="center"/>
      <protection/>
    </xf>
    <xf numFmtId="203" fontId="15" fillId="0" borderId="0" xfId="38" applyNumberFormat="1" applyFont="1" applyFill="1" applyAlignment="1">
      <alignment horizontal="center" vertical="center"/>
      <protection/>
    </xf>
    <xf numFmtId="204" fontId="15" fillId="0" borderId="0" xfId="38" applyNumberFormat="1" applyFont="1" applyFill="1" applyAlignment="1">
      <alignment horizontal="center" vertical="center"/>
      <protection/>
    </xf>
    <xf numFmtId="0" fontId="18" fillId="0" borderId="0" xfId="38" applyFont="1" applyFill="1" applyAlignment="1">
      <alignment/>
      <protection/>
    </xf>
    <xf numFmtId="0" fontId="18" fillId="0" borderId="0" xfId="38" applyFont="1" applyFill="1" applyAlignment="1">
      <alignment horizontal="left" vertical="top" textRotation="90"/>
      <protection/>
    </xf>
    <xf numFmtId="203" fontId="15" fillId="0" borderId="0" xfId="38" applyNumberFormat="1" applyFont="1" applyFill="1" applyBorder="1" applyAlignment="1">
      <alignment horizontal="center" vertical="center"/>
      <protection/>
    </xf>
    <xf numFmtId="236" fontId="15" fillId="0" borderId="0" xfId="38" applyNumberFormat="1" applyFont="1" applyFill="1" applyAlignment="1">
      <alignment horizontal="center" vertical="center"/>
      <protection/>
    </xf>
    <xf numFmtId="203" fontId="15" fillId="0" borderId="0" xfId="38" applyNumberFormat="1" applyFont="1" applyFill="1" applyAlignment="1">
      <alignment horizontal="center" vertical="center"/>
      <protection/>
    </xf>
    <xf numFmtId="223" fontId="15" fillId="0" borderId="0" xfId="38" applyNumberFormat="1" applyFont="1" applyFill="1" applyAlignment="1">
      <alignment horizontal="center" vertical="center"/>
      <protection/>
    </xf>
    <xf numFmtId="0" fontId="18" fillId="0" borderId="0" xfId="38" applyFont="1" applyFill="1" applyAlignment="1" quotePrefix="1">
      <alignment horizontal="left" vertical="center" textRotation="90"/>
      <protection/>
    </xf>
    <xf numFmtId="217" fontId="18" fillId="0" borderId="0" xfId="38" applyNumberFormat="1" applyFont="1" applyFill="1" applyAlignment="1">
      <alignment horizontal="left" vertical="center" textRotation="90"/>
      <protection/>
    </xf>
    <xf numFmtId="0" fontId="21" fillId="0" borderId="0" xfId="29" applyFont="1" applyFill="1" applyAlignment="1">
      <alignment vertical="center"/>
    </xf>
    <xf numFmtId="235" fontId="15" fillId="0" borderId="0" xfId="37" applyNumberFormat="1" applyFont="1" applyFill="1" applyAlignment="1">
      <alignment horizontal="center" vertical="center"/>
      <protection/>
    </xf>
    <xf numFmtId="186" fontId="15" fillId="0" borderId="2" xfId="38" applyNumberFormat="1" applyFont="1" applyFill="1" applyBorder="1" applyAlignment="1">
      <alignment horizontal="center" vertical="center"/>
      <protection/>
    </xf>
    <xf numFmtId="204" fontId="15" fillId="0" borderId="5" xfId="38" applyNumberFormat="1" applyFont="1" applyFill="1" applyBorder="1" applyAlignment="1">
      <alignment horizontal="center" vertical="center"/>
      <protection/>
    </xf>
    <xf numFmtId="204" fontId="15" fillId="0" borderId="1" xfId="38" applyNumberFormat="1" applyFont="1" applyFill="1" applyBorder="1" applyAlignment="1">
      <alignment horizontal="center" vertical="center"/>
      <protection/>
    </xf>
    <xf numFmtId="208" fontId="15" fillId="0" borderId="1" xfId="38" applyNumberFormat="1" applyFont="1" applyFill="1" applyBorder="1" applyAlignment="1">
      <alignment horizontal="right" vertical="center"/>
      <protection/>
    </xf>
    <xf numFmtId="236" fontId="15" fillId="0" borderId="14" xfId="38" applyNumberFormat="1" applyFont="1" applyFill="1" applyBorder="1" applyAlignment="1">
      <alignment horizontal="center" vertical="center"/>
      <protection/>
    </xf>
    <xf numFmtId="236" fontId="15" fillId="0" borderId="15" xfId="38" applyNumberFormat="1" applyFont="1" applyFill="1" applyBorder="1" applyAlignment="1">
      <alignment horizontal="center" vertical="center"/>
      <protection/>
    </xf>
    <xf numFmtId="188" fontId="15" fillId="0" borderId="1" xfId="38" applyNumberFormat="1" applyFont="1" applyFill="1" applyBorder="1" applyAlignment="1">
      <alignment horizontal="center" vertical="center"/>
      <protection/>
    </xf>
    <xf numFmtId="188" fontId="15" fillId="0" borderId="4" xfId="38" applyNumberFormat="1" applyFont="1" applyFill="1" applyBorder="1" applyAlignment="1">
      <alignment horizontal="center" vertical="center"/>
      <protection/>
    </xf>
    <xf numFmtId="0" fontId="21" fillId="0" borderId="0" xfId="29" applyFont="1" applyFill="1" applyAlignment="1">
      <alignment vertical="center"/>
    </xf>
    <xf numFmtId="0" fontId="21" fillId="0" borderId="0" xfId="29" applyFont="1" applyFill="1" applyAlignment="1">
      <alignment vertical="center"/>
    </xf>
    <xf numFmtId="0" fontId="21" fillId="0" borderId="0" xfId="29" applyFont="1" applyFill="1" applyAlignment="1">
      <alignment vertical="center"/>
    </xf>
    <xf numFmtId="0" fontId="21" fillId="0" borderId="0" xfId="29" applyFont="1" applyFill="1" applyAlignment="1">
      <alignment vertical="center"/>
    </xf>
    <xf numFmtId="0" fontId="21" fillId="0" borderId="0" xfId="29" applyFont="1" applyFill="1" applyAlignment="1">
      <alignment vertical="center"/>
    </xf>
    <xf numFmtId="0" fontId="21" fillId="0" borderId="0" xfId="29" applyFont="1" applyFill="1" applyAlignment="1">
      <alignment vertical="center"/>
    </xf>
    <xf numFmtId="0" fontId="21" fillId="0" borderId="0" xfId="29" applyFont="1" applyFill="1" applyAlignment="1">
      <alignment vertical="center"/>
    </xf>
    <xf numFmtId="0" fontId="15" fillId="0" borderId="0" xfId="0" applyFont="1" applyFill="1" applyAlignment="1">
      <alignment vertical="center"/>
    </xf>
    <xf numFmtId="0" fontId="15" fillId="0" borderId="13" xfId="0" applyFont="1" applyFill="1" applyBorder="1" applyAlignment="1">
      <alignment horizontal="center" vertical="center"/>
    </xf>
    <xf numFmtId="188" fontId="15" fillId="0" borderId="13" xfId="0" applyNumberFormat="1" applyFont="1" applyFill="1" applyBorder="1" applyAlignment="1">
      <alignment horizontal="center" vertical="center"/>
    </xf>
    <xf numFmtId="195" fontId="15" fillId="0" borderId="13" xfId="0" applyNumberFormat="1" applyFont="1" applyFill="1" applyBorder="1" applyAlignment="1">
      <alignment horizontal="center" vertical="center"/>
    </xf>
    <xf numFmtId="0" fontId="15" fillId="0" borderId="0" xfId="39" applyFont="1" applyFill="1" applyAlignment="1">
      <alignment vertical="center"/>
      <protection/>
    </xf>
    <xf numFmtId="0" fontId="15" fillId="0" borderId="0" xfId="0" applyFont="1" applyFill="1" applyAlignment="1">
      <alignment vertical="top" textRotation="90"/>
    </xf>
    <xf numFmtId="0" fontId="15" fillId="0" borderId="0" xfId="0" applyFont="1" applyFill="1" applyAlignment="1">
      <alignment horizontal="center" vertical="top"/>
    </xf>
    <xf numFmtId="0" fontId="15" fillId="0" borderId="0" xfId="0" applyFont="1" applyFill="1" applyAlignment="1">
      <alignment horizontal="center" vertical="center" textRotation="90"/>
    </xf>
    <xf numFmtId="0" fontId="15" fillId="0" borderId="0" xfId="39" applyFont="1" applyFill="1" applyAlignment="1">
      <alignment horizontal="center" vertical="center"/>
      <protection/>
    </xf>
    <xf numFmtId="0" fontId="15" fillId="0" borderId="2" xfId="39" applyFont="1" applyFill="1" applyBorder="1" applyAlignment="1">
      <alignment horizontal="center" vertical="center"/>
      <protection/>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5" fillId="0" borderId="8" xfId="39" applyFont="1" applyFill="1" applyBorder="1" applyAlignment="1">
      <alignment horizontal="center" vertical="center"/>
      <protection/>
    </xf>
    <xf numFmtId="0" fontId="15" fillId="0" borderId="0" xfId="39" applyFont="1" applyFill="1" applyAlignment="1">
      <alignment horizontal="left" vertical="center"/>
      <protection/>
    </xf>
    <xf numFmtId="0" fontId="15" fillId="0" borderId="0" xfId="0" applyFont="1" applyFill="1" applyAlignment="1">
      <alignment textRotation="90"/>
    </xf>
    <xf numFmtId="188" fontId="15" fillId="0" borderId="0" xfId="0" applyNumberFormat="1" applyFont="1" applyFill="1" applyAlignment="1">
      <alignment horizontal="center"/>
    </xf>
    <xf numFmtId="0" fontId="15" fillId="0" borderId="0" xfId="0" applyFont="1" applyFill="1" applyAlignment="1">
      <alignment vertical="top"/>
    </xf>
    <xf numFmtId="0" fontId="15" fillId="0" borderId="0" xfId="0" applyFont="1" applyFill="1" applyAlignment="1">
      <alignment/>
    </xf>
    <xf numFmtId="0" fontId="15" fillId="0" borderId="0" xfId="39" applyFont="1" applyFill="1" applyAlignment="1" quotePrefix="1">
      <alignment horizontal="left" vertical="center"/>
      <protection/>
    </xf>
    <xf numFmtId="0" fontId="15" fillId="0" borderId="0" xfId="0" applyFont="1" applyFill="1" applyAlignment="1">
      <alignment horizontal="right" vertical="top" textRotation="90"/>
    </xf>
    <xf numFmtId="0" fontId="15" fillId="0" borderId="0" xfId="0" applyFont="1" applyFill="1" applyAlignment="1">
      <alignment horizontal="right"/>
    </xf>
    <xf numFmtId="0" fontId="15" fillId="0" borderId="0" xfId="0" applyFont="1" applyFill="1" applyAlignment="1" quotePrefix="1">
      <alignment vertical="center"/>
    </xf>
    <xf numFmtId="0" fontId="15" fillId="0" borderId="0" xfId="0" applyFont="1" applyFill="1" applyAlignment="1">
      <alignment horizontal="center" vertical="center"/>
    </xf>
    <xf numFmtId="0" fontId="15" fillId="0" borderId="1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6" xfId="39" applyFont="1" applyFill="1" applyBorder="1" applyAlignment="1">
      <alignment horizontal="center" vertical="center"/>
      <protection/>
    </xf>
    <xf numFmtId="0" fontId="15" fillId="0" borderId="17" xfId="39" applyFont="1" applyFill="1" applyBorder="1" applyAlignment="1">
      <alignment horizontal="center" vertical="center"/>
      <protection/>
    </xf>
    <xf numFmtId="0" fontId="15"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23" fillId="0" borderId="9" xfId="39" applyFont="1" applyFill="1" applyBorder="1" applyAlignment="1">
      <alignment horizontal="center" vertical="center"/>
      <protection/>
    </xf>
    <xf numFmtId="0" fontId="23" fillId="0" borderId="2" xfId="39" applyFont="1" applyFill="1" applyBorder="1" applyAlignment="1">
      <alignment horizontal="center" vertical="center"/>
      <protection/>
    </xf>
    <xf numFmtId="0" fontId="23" fillId="0" borderId="7" xfId="39" applyFont="1" applyFill="1" applyBorder="1" applyAlignment="1">
      <alignment horizontal="center" vertical="center"/>
      <protection/>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190" fontId="15" fillId="0" borderId="6" xfId="0" applyNumberFormat="1" applyFont="1" applyFill="1" applyBorder="1" applyAlignment="1">
      <alignment horizontal="center" vertical="center"/>
    </xf>
    <xf numFmtId="188" fontId="15" fillId="0" borderId="6" xfId="0" applyNumberFormat="1" applyFont="1" applyFill="1" applyBorder="1" applyAlignment="1">
      <alignment horizontal="center" vertical="center"/>
    </xf>
    <xf numFmtId="188" fontId="15" fillId="0" borderId="9" xfId="0" applyNumberFormat="1" applyFont="1" applyFill="1" applyBorder="1" applyAlignment="1">
      <alignment horizontal="center" vertical="center"/>
    </xf>
    <xf numFmtId="188" fontId="15" fillId="0" borderId="2" xfId="0" applyNumberFormat="1" applyFont="1" applyFill="1" applyBorder="1" applyAlignment="1">
      <alignment horizontal="center" vertical="center"/>
    </xf>
    <xf numFmtId="188" fontId="15" fillId="0" borderId="7" xfId="0" applyNumberFormat="1" applyFont="1" applyFill="1" applyBorder="1" applyAlignment="1">
      <alignment horizontal="center" vertical="center"/>
    </xf>
    <xf numFmtId="11" fontId="15" fillId="0" borderId="10" xfId="0" applyNumberFormat="1" applyFont="1" applyFill="1" applyBorder="1" applyAlignment="1">
      <alignment horizontal="center" vertical="center"/>
    </xf>
    <xf numFmtId="11" fontId="15" fillId="0" borderId="11" xfId="0" applyNumberFormat="1" applyFont="1" applyFill="1" applyBorder="1" applyAlignment="1">
      <alignment horizontal="center" vertical="center"/>
    </xf>
    <xf numFmtId="11" fontId="15" fillId="0" borderId="12" xfId="0" applyNumberFormat="1" applyFont="1" applyFill="1" applyBorder="1" applyAlignment="1">
      <alignment horizontal="center" vertical="center"/>
    </xf>
    <xf numFmtId="224" fontId="15" fillId="0" borderId="6" xfId="0" applyNumberFormat="1" applyFont="1" applyFill="1" applyBorder="1" applyAlignment="1">
      <alignment horizontal="center" vertical="center"/>
    </xf>
    <xf numFmtId="0" fontId="15" fillId="0" borderId="6" xfId="0" applyFont="1" applyFill="1" applyBorder="1" applyAlignment="1">
      <alignment horizontal="center" vertical="center"/>
    </xf>
    <xf numFmtId="188" fontId="15" fillId="0" borderId="10" xfId="0" applyNumberFormat="1" applyFont="1" applyFill="1" applyBorder="1" applyAlignment="1">
      <alignment horizontal="center" vertical="center"/>
    </xf>
    <xf numFmtId="188" fontId="15" fillId="0" borderId="12" xfId="0" applyNumberFormat="1" applyFont="1" applyFill="1" applyBorder="1" applyAlignment="1">
      <alignment horizontal="center" vertical="center"/>
    </xf>
    <xf numFmtId="195" fontId="15" fillId="0" borderId="6" xfId="0" applyNumberFormat="1" applyFont="1" applyFill="1" applyBorder="1" applyAlignment="1">
      <alignment horizontal="center" vertical="center"/>
    </xf>
    <xf numFmtId="234" fontId="15" fillId="0" borderId="0" xfId="0" applyNumberFormat="1" applyFont="1" applyFill="1" applyAlignment="1">
      <alignment horizontal="center" vertical="center"/>
    </xf>
    <xf numFmtId="236" fontId="15" fillId="0" borderId="0" xfId="0" applyNumberFormat="1" applyFont="1" applyFill="1" applyAlignment="1">
      <alignment horizontal="center" vertical="center"/>
    </xf>
    <xf numFmtId="236" fontId="15" fillId="0" borderId="0" xfId="0" applyNumberFormat="1"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left"/>
    </xf>
    <xf numFmtId="2" fontId="15" fillId="0" borderId="0" xfId="0" applyNumberFormat="1" applyFont="1" applyFill="1" applyAlignment="1">
      <alignment horizontal="centerContinuous" vertical="center"/>
    </xf>
    <xf numFmtId="0" fontId="15" fillId="0" borderId="0" xfId="0" applyFont="1" applyFill="1" applyAlignment="1">
      <alignment horizontal="centerContinuous" vertical="center"/>
    </xf>
    <xf numFmtId="0" fontId="15" fillId="0" borderId="2" xfId="0" applyFont="1" applyFill="1" applyBorder="1" applyAlignment="1">
      <alignment vertical="center"/>
    </xf>
    <xf numFmtId="187"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8" fillId="0" borderId="2" xfId="0" applyFont="1" applyFill="1" applyBorder="1" applyAlignment="1">
      <alignment horizontal="left" vertical="top"/>
    </xf>
    <xf numFmtId="187" fontId="15" fillId="0" borderId="0" xfId="0" applyNumberFormat="1" applyFont="1" applyFill="1" applyAlignment="1">
      <alignment horizontal="center" vertical="center"/>
    </xf>
    <xf numFmtId="0" fontId="15" fillId="0" borderId="0" xfId="39" applyFont="1" applyFill="1" applyBorder="1" applyAlignment="1">
      <alignment horizontal="center" vertical="center"/>
      <protection/>
    </xf>
    <xf numFmtId="0" fontId="15" fillId="0" borderId="0" xfId="0" applyFont="1" applyFill="1" applyBorder="1" applyAlignment="1">
      <alignment horizontal="center" vertical="center"/>
    </xf>
    <xf numFmtId="0" fontId="15" fillId="0" borderId="0" xfId="0" applyFont="1" applyFill="1" applyAlignment="1">
      <alignment horizontal="left" vertical="center"/>
    </xf>
    <xf numFmtId="195" fontId="15" fillId="0" borderId="0" xfId="0" applyNumberFormat="1" applyFont="1" applyFill="1" applyBorder="1" applyAlignment="1">
      <alignment horizontal="center" vertical="center"/>
    </xf>
    <xf numFmtId="187" fontId="15" fillId="0" borderId="0" xfId="0" applyNumberFormat="1" applyFont="1" applyFill="1" applyAlignment="1">
      <alignment horizontal="center" vertical="center"/>
    </xf>
    <xf numFmtId="0" fontId="15" fillId="0" borderId="0" xfId="39" applyFont="1" applyFill="1" applyBorder="1" applyAlignment="1">
      <alignment horizontal="center" vertical="center"/>
      <protection/>
    </xf>
    <xf numFmtId="0" fontId="15" fillId="0" borderId="0" xfId="39" applyFont="1" applyFill="1" applyBorder="1" applyAlignment="1">
      <alignment horizontal="left" vertical="center"/>
      <protection/>
    </xf>
  </cellXfs>
  <cellStyles count="27">
    <cellStyle name="Normal" xfId="0"/>
    <cellStyle name="Comma" xfId="15"/>
    <cellStyle name="Comma [0]_laroux" xfId="16"/>
    <cellStyle name="Comma_단면특성 (정) (2)" xfId="17"/>
    <cellStyle name="Currency" xfId="18"/>
    <cellStyle name="Currency [0]_laroux" xfId="19"/>
    <cellStyle name="Currency_단면특성 (정) (2)" xfId="20"/>
    <cellStyle name="Date" xfId="21"/>
    <cellStyle name="Fixed" xfId="22"/>
    <cellStyle name="Heading1" xfId="23"/>
    <cellStyle name="Heading2" xfId="24"/>
    <cellStyle name="Normal_Certs Q2" xfId="25"/>
    <cellStyle name="Percent" xfId="26"/>
    <cellStyle name="Total" xfId="27"/>
    <cellStyle name="Percent" xfId="28"/>
    <cellStyle name="Hyperlink" xfId="29"/>
    <cellStyle name="Comma [0]" xfId="30"/>
    <cellStyle name="Comma" xfId="31"/>
    <cellStyle name="Currency [0]" xfId="32"/>
    <cellStyle name="Currency" xfId="33"/>
    <cellStyle name="Followed Hyperlink" xfId="34"/>
    <cellStyle name="콤마 [0]_12월전화" xfId="35"/>
    <cellStyle name="콤마_12월전화" xfId="36"/>
    <cellStyle name="표준_Sp" xfId="37"/>
    <cellStyle name="표준_splice" xfId="38"/>
    <cellStyle name="표준_WELD" xfId="39"/>
    <cellStyle name="표준_상-보청천교-stb"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Program Files\Hangil IT\ASteelBox\_tmpw40.wmf" TargetMode="External" /><Relationship Id="rId2" Type="http://schemas.openxmlformats.org/officeDocument/2006/relationships/image" Target="file://C:\Program Files\Hangil IT\ASteelBox\_tmpw41.wmf" TargetMode="External" /><Relationship Id="rId3" Type="http://schemas.openxmlformats.org/officeDocument/2006/relationships/image" Target="file://C:\Program Files\Hangil IT\ASteelBox\_tmpw42.wmf" TargetMode="External" /><Relationship Id="rId4" Type="http://schemas.openxmlformats.org/officeDocument/2006/relationships/image" Target="file://C:\Program Files\Hangil IT\ASteelBox\_tmpw43.wmf" TargetMode="External" /><Relationship Id="rId5" Type="http://schemas.openxmlformats.org/officeDocument/2006/relationships/image" Target="file://C:\Program Files\Hangil IT\ASteelBox\_tmpw44.wmf" TargetMode="External" /><Relationship Id="rId6" Type="http://schemas.openxmlformats.org/officeDocument/2006/relationships/image" Target="file://C:\Program Files\Hangil IT\ASteelBox\_tmpw45.wmf" TargetMode="External" /><Relationship Id="rId7" Type="http://schemas.openxmlformats.org/officeDocument/2006/relationships/image" Target="file://C:\Program Files\Hangil IT\ASteelBox\_tmpw46.wmf" TargetMode="External" /><Relationship Id="rId8" Type="http://schemas.openxmlformats.org/officeDocument/2006/relationships/image" Target="file://C:\Program Files\Hangil IT\ASteelBox\_tmpw47.wmf" TargetMode="External" /><Relationship Id="rId9" Type="http://schemas.openxmlformats.org/officeDocument/2006/relationships/image" Target="file://C:\Program Files\Hangil IT\ASteelBox\_tmpw48.wmf" TargetMode="External" /><Relationship Id="rId10" Type="http://schemas.openxmlformats.org/officeDocument/2006/relationships/image" Target="file://C:\Program Files\Hangil IT\ASteelBox\_tmpw49.wmf" TargetMode="External" /><Relationship Id="rId11" Type="http://schemas.openxmlformats.org/officeDocument/2006/relationships/image" Target="file://C:\Program Files\Hangil IT\ASteelBox\_tmpw50.wmf" TargetMode="External" /><Relationship Id="rId12" Type="http://schemas.openxmlformats.org/officeDocument/2006/relationships/image" Target="file://C:\Program Files\Hangil IT\ASteelBox\_tmpw51.wmf" TargetMode="External" /><Relationship Id="rId13" Type="http://schemas.openxmlformats.org/officeDocument/2006/relationships/image" Target="file://C:\Program Files\Hangil IT\ASteelBox\_tmpw52.wmf" TargetMode="External" /><Relationship Id="rId14" Type="http://schemas.openxmlformats.org/officeDocument/2006/relationships/image" Target="file://C:\Program Files\Hangil IT\ASteelBox\_tmpw53.wmf" TargetMode="External" /><Relationship Id="rId15" Type="http://schemas.openxmlformats.org/officeDocument/2006/relationships/image" Target="file://C:\Program Files\Hangil IT\ASteelBox\_tmpw54.wmf" TargetMode="External" /><Relationship Id="rId16" Type="http://schemas.openxmlformats.org/officeDocument/2006/relationships/image" Target="file://C:\Program Files\Hangil IT\ASteelBox\_tmpw55.wmf" TargetMode="External" /><Relationship Id="rId17" Type="http://schemas.openxmlformats.org/officeDocument/2006/relationships/image" Target="file://C:\Program Files\Hangil IT\ASteelBox\_tmpw56.wmf" TargetMode="External" /><Relationship Id="rId18" Type="http://schemas.openxmlformats.org/officeDocument/2006/relationships/image" Target="file://C:\Program Files\Hangil IT\ASteelBox\_tmpw57.wmf" TargetMode="External" /><Relationship Id="rId19" Type="http://schemas.openxmlformats.org/officeDocument/2006/relationships/image" Target="file://C:\Program Files\Hangil IT\ASteelBox\_tmpw58.wmf" TargetMode="External" /><Relationship Id="rId20" Type="http://schemas.openxmlformats.org/officeDocument/2006/relationships/image" Target="file://C:\Program Files\Hangil IT\ASteelBox\_tmpw59.wmf" TargetMode="External" /><Relationship Id="rId21" Type="http://schemas.openxmlformats.org/officeDocument/2006/relationships/image" Target="file://C:\Program Files\Hangil IT\ASteelBox\_tmpw60.wmf" TargetMode="External" /><Relationship Id="rId22" Type="http://schemas.openxmlformats.org/officeDocument/2006/relationships/image" Target="file://C:\Program Files\Hangil IT\ASteelBox\_tmpw61.wmf" TargetMode="External" /><Relationship Id="rId23" Type="http://schemas.openxmlformats.org/officeDocument/2006/relationships/image" Target="file://C:\Program Files\Hangil IT\ASteelBox\_tmpw62.wmf" TargetMode="External" /><Relationship Id="rId24" Type="http://schemas.openxmlformats.org/officeDocument/2006/relationships/image" Target="file://C:\Program Files\Hangil IT\ASteelBox\_tmpw63.wmf" TargetMode="External" /><Relationship Id="rId25" Type="http://schemas.openxmlformats.org/officeDocument/2006/relationships/image" Target="file://C:\Program Files\Hangil IT\ASteelBox\_tmpw64.wm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 Files\Hangil IT\ASteelBox\_tmpw65.wmf" TargetMode="External" /><Relationship Id="rId2" Type="http://schemas.openxmlformats.org/officeDocument/2006/relationships/image" Target="file://C:\Program Files\Hangil IT\ASteelBox\_tmpw66.wmf" TargetMode="External" /><Relationship Id="rId3" Type="http://schemas.openxmlformats.org/officeDocument/2006/relationships/image" Target="file://C:\Program Files\Hangil IT\ASteelBox\_tmpw67.wmf" TargetMode="External" /><Relationship Id="rId4" Type="http://schemas.openxmlformats.org/officeDocument/2006/relationships/image" Target="file://C:\Program Files\Hangil IT\ASteelBox\_tmpw68.wmf" TargetMode="External" /><Relationship Id="rId5" Type="http://schemas.openxmlformats.org/officeDocument/2006/relationships/image" Target="file://C:\Program Files\Hangil IT\ASteelBox\_tmpw69.wmf" TargetMode="External" /><Relationship Id="rId6" Type="http://schemas.openxmlformats.org/officeDocument/2006/relationships/image" Target="file://C:\Program Files\Hangil IT\ASteelBox\_tmpw70.wmf" TargetMode="External" /><Relationship Id="rId7" Type="http://schemas.openxmlformats.org/officeDocument/2006/relationships/image" Target="file://C:\Program Files\Hangil IT\ASteelBox\_tmpw71.wmf" TargetMode="External" /><Relationship Id="rId8" Type="http://schemas.openxmlformats.org/officeDocument/2006/relationships/image" Target="file://C:\Program Files\Hangil IT\ASteelBox\_tmpw72.wmf" TargetMode="External" /><Relationship Id="rId9" Type="http://schemas.openxmlformats.org/officeDocument/2006/relationships/image" Target="file://C:\Program Files\Hangil IT\ASteelBox\_tmpw73.wmf" TargetMode="External" /><Relationship Id="rId10" Type="http://schemas.openxmlformats.org/officeDocument/2006/relationships/image" Target="file://C:\Program Files\Hangil IT\ASteelBox\_tmpw74.wmf" TargetMode="External" /><Relationship Id="rId11" Type="http://schemas.openxmlformats.org/officeDocument/2006/relationships/image" Target="file://C:\Program Files\Hangil IT\ASteelBox\_tmpw75.wmf" TargetMode="External" /><Relationship Id="rId12" Type="http://schemas.openxmlformats.org/officeDocument/2006/relationships/image" Target="file://C:\Program Files\Hangil IT\ASteelBox\_tmpw76.wmf" TargetMode="External" /><Relationship Id="rId13" Type="http://schemas.openxmlformats.org/officeDocument/2006/relationships/image" Target="file://C:\Program Files\Hangil IT\ASteelBox\_tmpw77.wmf" TargetMode="External" /><Relationship Id="rId14" Type="http://schemas.openxmlformats.org/officeDocument/2006/relationships/image" Target="file://C:\Program Files\Hangil IT\ASteelBox\_tmpw78.wmf" TargetMode="External" /><Relationship Id="rId15" Type="http://schemas.openxmlformats.org/officeDocument/2006/relationships/image" Target="file://C:\Program Files\Hangil IT\ASteelBox\_tmpw79.wm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198</xdr:row>
      <xdr:rowOff>133350</xdr:rowOff>
    </xdr:from>
    <xdr:to>
      <xdr:col>23</xdr:col>
      <xdr:colOff>95250</xdr:colOff>
      <xdr:row>199</xdr:row>
      <xdr:rowOff>180975</xdr:rowOff>
    </xdr:to>
    <xdr:sp>
      <xdr:nvSpPr>
        <xdr:cNvPr id="1" name="AutoShape 1"/>
        <xdr:cNvSpPr>
          <a:spLocks/>
        </xdr:cNvSpPr>
      </xdr:nvSpPr>
      <xdr:spPr>
        <a:xfrm>
          <a:off x="3524250" y="623697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198</xdr:row>
      <xdr:rowOff>142875</xdr:rowOff>
    </xdr:from>
    <xdr:to>
      <xdr:col>5</xdr:col>
      <xdr:colOff>104775</xdr:colOff>
      <xdr:row>199</xdr:row>
      <xdr:rowOff>171450</xdr:rowOff>
    </xdr:to>
    <xdr:sp>
      <xdr:nvSpPr>
        <xdr:cNvPr id="2" name="AutoShape 2"/>
        <xdr:cNvSpPr>
          <a:spLocks/>
        </xdr:cNvSpPr>
      </xdr:nvSpPr>
      <xdr:spPr>
        <a:xfrm>
          <a:off x="790575" y="623792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202</xdr:row>
      <xdr:rowOff>28575</xdr:rowOff>
    </xdr:from>
    <xdr:to>
      <xdr:col>11</xdr:col>
      <xdr:colOff>66675</xdr:colOff>
      <xdr:row>202</xdr:row>
      <xdr:rowOff>295275</xdr:rowOff>
    </xdr:to>
    <xdr:grpSp>
      <xdr:nvGrpSpPr>
        <xdr:cNvPr id="3" name="Group 3"/>
        <xdr:cNvGrpSpPr>
          <a:grpSpLocks/>
        </xdr:cNvGrpSpPr>
      </xdr:nvGrpSpPr>
      <xdr:grpSpPr>
        <a:xfrm>
          <a:off x="828675" y="63522225"/>
          <a:ext cx="914400" cy="266700"/>
          <a:chOff x="87" y="1884"/>
          <a:chExt cx="96" cy="28"/>
        </a:xfrm>
        <a:solidFill>
          <a:srgbClr val="FFFFFF"/>
        </a:solidFill>
      </xdr:grpSpPr>
      <xdr:sp>
        <xdr:nvSpPr>
          <xdr:cNvPr id="4" name="Line 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 name="Line 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 name="Line 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202</xdr:row>
      <xdr:rowOff>28575</xdr:rowOff>
    </xdr:from>
    <xdr:to>
      <xdr:col>24</xdr:col>
      <xdr:colOff>85725</xdr:colOff>
      <xdr:row>202</xdr:row>
      <xdr:rowOff>285750</xdr:rowOff>
    </xdr:to>
    <xdr:grpSp>
      <xdr:nvGrpSpPr>
        <xdr:cNvPr id="7" name="Group 7"/>
        <xdr:cNvGrpSpPr>
          <a:grpSpLocks/>
        </xdr:cNvGrpSpPr>
      </xdr:nvGrpSpPr>
      <xdr:grpSpPr>
        <a:xfrm>
          <a:off x="1990725" y="63522225"/>
          <a:ext cx="1752600" cy="257175"/>
          <a:chOff x="209" y="1884"/>
          <a:chExt cx="184" cy="27"/>
        </a:xfrm>
        <a:solidFill>
          <a:srgbClr val="FFFFFF"/>
        </a:solidFill>
      </xdr:grpSpPr>
      <xdr:sp>
        <xdr:nvSpPr>
          <xdr:cNvPr id="8" name="Line 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 name="Line 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 name="Line 1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198</xdr:row>
      <xdr:rowOff>133350</xdr:rowOff>
    </xdr:from>
    <xdr:to>
      <xdr:col>23</xdr:col>
      <xdr:colOff>95250</xdr:colOff>
      <xdr:row>199</xdr:row>
      <xdr:rowOff>180975</xdr:rowOff>
    </xdr:to>
    <xdr:sp>
      <xdr:nvSpPr>
        <xdr:cNvPr id="11" name="AutoShape 11"/>
        <xdr:cNvSpPr>
          <a:spLocks/>
        </xdr:cNvSpPr>
      </xdr:nvSpPr>
      <xdr:spPr>
        <a:xfrm>
          <a:off x="3524250" y="623697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198</xdr:row>
      <xdr:rowOff>142875</xdr:rowOff>
    </xdr:from>
    <xdr:to>
      <xdr:col>5</xdr:col>
      <xdr:colOff>104775</xdr:colOff>
      <xdr:row>199</xdr:row>
      <xdr:rowOff>171450</xdr:rowOff>
    </xdr:to>
    <xdr:sp>
      <xdr:nvSpPr>
        <xdr:cNvPr id="12" name="AutoShape 12"/>
        <xdr:cNvSpPr>
          <a:spLocks/>
        </xdr:cNvSpPr>
      </xdr:nvSpPr>
      <xdr:spPr>
        <a:xfrm>
          <a:off x="790575" y="623792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202</xdr:row>
      <xdr:rowOff>28575</xdr:rowOff>
    </xdr:from>
    <xdr:to>
      <xdr:col>11</xdr:col>
      <xdr:colOff>66675</xdr:colOff>
      <xdr:row>202</xdr:row>
      <xdr:rowOff>295275</xdr:rowOff>
    </xdr:to>
    <xdr:grpSp>
      <xdr:nvGrpSpPr>
        <xdr:cNvPr id="13" name="Group 13"/>
        <xdr:cNvGrpSpPr>
          <a:grpSpLocks/>
        </xdr:cNvGrpSpPr>
      </xdr:nvGrpSpPr>
      <xdr:grpSpPr>
        <a:xfrm>
          <a:off x="828675" y="63522225"/>
          <a:ext cx="914400" cy="266700"/>
          <a:chOff x="87" y="1884"/>
          <a:chExt cx="96" cy="28"/>
        </a:xfrm>
        <a:solidFill>
          <a:srgbClr val="FFFFFF"/>
        </a:solidFill>
      </xdr:grpSpPr>
      <xdr:sp>
        <xdr:nvSpPr>
          <xdr:cNvPr id="14" name="Line 1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 name="Line 1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 name="Line 1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202</xdr:row>
      <xdr:rowOff>28575</xdr:rowOff>
    </xdr:from>
    <xdr:to>
      <xdr:col>24</xdr:col>
      <xdr:colOff>85725</xdr:colOff>
      <xdr:row>202</xdr:row>
      <xdr:rowOff>285750</xdr:rowOff>
    </xdr:to>
    <xdr:grpSp>
      <xdr:nvGrpSpPr>
        <xdr:cNvPr id="17" name="Group 17"/>
        <xdr:cNvGrpSpPr>
          <a:grpSpLocks/>
        </xdr:cNvGrpSpPr>
      </xdr:nvGrpSpPr>
      <xdr:grpSpPr>
        <a:xfrm>
          <a:off x="1990725" y="63522225"/>
          <a:ext cx="1752600" cy="257175"/>
          <a:chOff x="209" y="1884"/>
          <a:chExt cx="184" cy="27"/>
        </a:xfrm>
        <a:solidFill>
          <a:srgbClr val="FFFFFF"/>
        </a:solidFill>
      </xdr:grpSpPr>
      <xdr:sp>
        <xdr:nvSpPr>
          <xdr:cNvPr id="18" name="Line 1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 name="Line 1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 name="Line 2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198</xdr:row>
      <xdr:rowOff>133350</xdr:rowOff>
    </xdr:from>
    <xdr:to>
      <xdr:col>23</xdr:col>
      <xdr:colOff>95250</xdr:colOff>
      <xdr:row>199</xdr:row>
      <xdr:rowOff>180975</xdr:rowOff>
    </xdr:to>
    <xdr:sp>
      <xdr:nvSpPr>
        <xdr:cNvPr id="21" name="AutoShape 21"/>
        <xdr:cNvSpPr>
          <a:spLocks/>
        </xdr:cNvSpPr>
      </xdr:nvSpPr>
      <xdr:spPr>
        <a:xfrm>
          <a:off x="3524250" y="623697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198</xdr:row>
      <xdr:rowOff>142875</xdr:rowOff>
    </xdr:from>
    <xdr:to>
      <xdr:col>5</xdr:col>
      <xdr:colOff>104775</xdr:colOff>
      <xdr:row>199</xdr:row>
      <xdr:rowOff>171450</xdr:rowOff>
    </xdr:to>
    <xdr:sp>
      <xdr:nvSpPr>
        <xdr:cNvPr id="22" name="AutoShape 22"/>
        <xdr:cNvSpPr>
          <a:spLocks/>
        </xdr:cNvSpPr>
      </xdr:nvSpPr>
      <xdr:spPr>
        <a:xfrm>
          <a:off x="790575" y="623792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202</xdr:row>
      <xdr:rowOff>28575</xdr:rowOff>
    </xdr:from>
    <xdr:to>
      <xdr:col>11</xdr:col>
      <xdr:colOff>66675</xdr:colOff>
      <xdr:row>202</xdr:row>
      <xdr:rowOff>295275</xdr:rowOff>
    </xdr:to>
    <xdr:grpSp>
      <xdr:nvGrpSpPr>
        <xdr:cNvPr id="23" name="Group 23"/>
        <xdr:cNvGrpSpPr>
          <a:grpSpLocks/>
        </xdr:cNvGrpSpPr>
      </xdr:nvGrpSpPr>
      <xdr:grpSpPr>
        <a:xfrm>
          <a:off x="828675" y="63522225"/>
          <a:ext cx="914400" cy="266700"/>
          <a:chOff x="87" y="1884"/>
          <a:chExt cx="96" cy="28"/>
        </a:xfrm>
        <a:solidFill>
          <a:srgbClr val="FFFFFF"/>
        </a:solidFill>
      </xdr:grpSpPr>
      <xdr:sp>
        <xdr:nvSpPr>
          <xdr:cNvPr id="24" name="Line 2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 name="Line 2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 name="Line 2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202</xdr:row>
      <xdr:rowOff>28575</xdr:rowOff>
    </xdr:from>
    <xdr:to>
      <xdr:col>24</xdr:col>
      <xdr:colOff>85725</xdr:colOff>
      <xdr:row>202</xdr:row>
      <xdr:rowOff>285750</xdr:rowOff>
    </xdr:to>
    <xdr:grpSp>
      <xdr:nvGrpSpPr>
        <xdr:cNvPr id="27" name="Group 27"/>
        <xdr:cNvGrpSpPr>
          <a:grpSpLocks/>
        </xdr:cNvGrpSpPr>
      </xdr:nvGrpSpPr>
      <xdr:grpSpPr>
        <a:xfrm>
          <a:off x="1990725" y="63522225"/>
          <a:ext cx="1752600" cy="257175"/>
          <a:chOff x="209" y="1884"/>
          <a:chExt cx="184" cy="27"/>
        </a:xfrm>
        <a:solidFill>
          <a:srgbClr val="FFFFFF"/>
        </a:solidFill>
      </xdr:grpSpPr>
      <xdr:sp>
        <xdr:nvSpPr>
          <xdr:cNvPr id="28" name="Line 2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 name="Line 2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 name="Line 3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46</xdr:row>
      <xdr:rowOff>133350</xdr:rowOff>
    </xdr:from>
    <xdr:to>
      <xdr:col>14</xdr:col>
      <xdr:colOff>95250</xdr:colOff>
      <xdr:row>47</xdr:row>
      <xdr:rowOff>180975</xdr:rowOff>
    </xdr:to>
    <xdr:sp>
      <xdr:nvSpPr>
        <xdr:cNvPr id="31" name="AutoShape 115"/>
        <xdr:cNvSpPr>
          <a:spLocks/>
        </xdr:cNvSpPr>
      </xdr:nvSpPr>
      <xdr:spPr>
        <a:xfrm>
          <a:off x="2152650" y="145923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46</xdr:row>
      <xdr:rowOff>142875</xdr:rowOff>
    </xdr:from>
    <xdr:to>
      <xdr:col>5</xdr:col>
      <xdr:colOff>104775</xdr:colOff>
      <xdr:row>47</xdr:row>
      <xdr:rowOff>171450</xdr:rowOff>
    </xdr:to>
    <xdr:sp>
      <xdr:nvSpPr>
        <xdr:cNvPr id="32" name="AutoShape 116"/>
        <xdr:cNvSpPr>
          <a:spLocks/>
        </xdr:cNvSpPr>
      </xdr:nvSpPr>
      <xdr:spPr>
        <a:xfrm>
          <a:off x="790575" y="146018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50</xdr:row>
      <xdr:rowOff>28575</xdr:rowOff>
    </xdr:from>
    <xdr:to>
      <xdr:col>11</xdr:col>
      <xdr:colOff>66675</xdr:colOff>
      <xdr:row>50</xdr:row>
      <xdr:rowOff>295275</xdr:rowOff>
    </xdr:to>
    <xdr:grpSp>
      <xdr:nvGrpSpPr>
        <xdr:cNvPr id="33" name="Group 117"/>
        <xdr:cNvGrpSpPr>
          <a:grpSpLocks/>
        </xdr:cNvGrpSpPr>
      </xdr:nvGrpSpPr>
      <xdr:grpSpPr>
        <a:xfrm>
          <a:off x="828675" y="15744825"/>
          <a:ext cx="914400" cy="266700"/>
          <a:chOff x="87" y="1884"/>
          <a:chExt cx="96" cy="28"/>
        </a:xfrm>
        <a:solidFill>
          <a:srgbClr val="FFFFFF"/>
        </a:solidFill>
      </xdr:grpSpPr>
      <xdr:sp>
        <xdr:nvSpPr>
          <xdr:cNvPr id="34" name="Line 11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 name="Line 11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 name="Line 12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50</xdr:row>
      <xdr:rowOff>28575</xdr:rowOff>
    </xdr:from>
    <xdr:to>
      <xdr:col>24</xdr:col>
      <xdr:colOff>85725</xdr:colOff>
      <xdr:row>50</xdr:row>
      <xdr:rowOff>285750</xdr:rowOff>
    </xdr:to>
    <xdr:grpSp>
      <xdr:nvGrpSpPr>
        <xdr:cNvPr id="37" name="Group 121"/>
        <xdr:cNvGrpSpPr>
          <a:grpSpLocks/>
        </xdr:cNvGrpSpPr>
      </xdr:nvGrpSpPr>
      <xdr:grpSpPr>
        <a:xfrm>
          <a:off x="1990725" y="15744825"/>
          <a:ext cx="1752600" cy="257175"/>
          <a:chOff x="209" y="1884"/>
          <a:chExt cx="184" cy="27"/>
        </a:xfrm>
        <a:solidFill>
          <a:srgbClr val="FFFFFF"/>
        </a:solidFill>
      </xdr:grpSpPr>
      <xdr:sp>
        <xdr:nvSpPr>
          <xdr:cNvPr id="38" name="Line 12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 name="Line 12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 name="Line 12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112</xdr:row>
      <xdr:rowOff>133350</xdr:rowOff>
    </xdr:from>
    <xdr:to>
      <xdr:col>14</xdr:col>
      <xdr:colOff>95250</xdr:colOff>
      <xdr:row>113</xdr:row>
      <xdr:rowOff>180975</xdr:rowOff>
    </xdr:to>
    <xdr:sp>
      <xdr:nvSpPr>
        <xdr:cNvPr id="41" name="AutoShape 135"/>
        <xdr:cNvSpPr>
          <a:spLocks/>
        </xdr:cNvSpPr>
      </xdr:nvSpPr>
      <xdr:spPr>
        <a:xfrm>
          <a:off x="2152650" y="353377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112</xdr:row>
      <xdr:rowOff>142875</xdr:rowOff>
    </xdr:from>
    <xdr:to>
      <xdr:col>5</xdr:col>
      <xdr:colOff>104775</xdr:colOff>
      <xdr:row>113</xdr:row>
      <xdr:rowOff>171450</xdr:rowOff>
    </xdr:to>
    <xdr:sp>
      <xdr:nvSpPr>
        <xdr:cNvPr id="42" name="AutoShape 136"/>
        <xdr:cNvSpPr>
          <a:spLocks/>
        </xdr:cNvSpPr>
      </xdr:nvSpPr>
      <xdr:spPr>
        <a:xfrm>
          <a:off x="790575" y="353472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116</xdr:row>
      <xdr:rowOff>28575</xdr:rowOff>
    </xdr:from>
    <xdr:to>
      <xdr:col>11</xdr:col>
      <xdr:colOff>66675</xdr:colOff>
      <xdr:row>116</xdr:row>
      <xdr:rowOff>295275</xdr:rowOff>
    </xdr:to>
    <xdr:grpSp>
      <xdr:nvGrpSpPr>
        <xdr:cNvPr id="43" name="Group 137"/>
        <xdr:cNvGrpSpPr>
          <a:grpSpLocks/>
        </xdr:cNvGrpSpPr>
      </xdr:nvGrpSpPr>
      <xdr:grpSpPr>
        <a:xfrm>
          <a:off x="828675" y="36490275"/>
          <a:ext cx="914400" cy="266700"/>
          <a:chOff x="87" y="1884"/>
          <a:chExt cx="96" cy="28"/>
        </a:xfrm>
        <a:solidFill>
          <a:srgbClr val="FFFFFF"/>
        </a:solidFill>
      </xdr:grpSpPr>
      <xdr:sp>
        <xdr:nvSpPr>
          <xdr:cNvPr id="44" name="Line 13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5" name="Line 13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 name="Line 14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116</xdr:row>
      <xdr:rowOff>28575</xdr:rowOff>
    </xdr:from>
    <xdr:to>
      <xdr:col>24</xdr:col>
      <xdr:colOff>85725</xdr:colOff>
      <xdr:row>116</xdr:row>
      <xdr:rowOff>285750</xdr:rowOff>
    </xdr:to>
    <xdr:grpSp>
      <xdr:nvGrpSpPr>
        <xdr:cNvPr id="47" name="Group 141"/>
        <xdr:cNvGrpSpPr>
          <a:grpSpLocks/>
        </xdr:cNvGrpSpPr>
      </xdr:nvGrpSpPr>
      <xdr:grpSpPr>
        <a:xfrm>
          <a:off x="1990725" y="36490275"/>
          <a:ext cx="1752600" cy="257175"/>
          <a:chOff x="209" y="1884"/>
          <a:chExt cx="184" cy="27"/>
        </a:xfrm>
        <a:solidFill>
          <a:srgbClr val="FFFFFF"/>
        </a:solidFill>
      </xdr:grpSpPr>
      <xdr:sp>
        <xdr:nvSpPr>
          <xdr:cNvPr id="48" name="Line 14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9" name="Line 14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0" name="Line 14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431</xdr:row>
      <xdr:rowOff>133350</xdr:rowOff>
    </xdr:from>
    <xdr:to>
      <xdr:col>23</xdr:col>
      <xdr:colOff>95250</xdr:colOff>
      <xdr:row>432</xdr:row>
      <xdr:rowOff>180975</xdr:rowOff>
    </xdr:to>
    <xdr:sp>
      <xdr:nvSpPr>
        <xdr:cNvPr id="51" name="AutoShape 155"/>
        <xdr:cNvSpPr>
          <a:spLocks/>
        </xdr:cNvSpPr>
      </xdr:nvSpPr>
      <xdr:spPr>
        <a:xfrm>
          <a:off x="3524250" y="1356074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431</xdr:row>
      <xdr:rowOff>142875</xdr:rowOff>
    </xdr:from>
    <xdr:to>
      <xdr:col>5</xdr:col>
      <xdr:colOff>104775</xdr:colOff>
      <xdr:row>432</xdr:row>
      <xdr:rowOff>171450</xdr:rowOff>
    </xdr:to>
    <xdr:sp>
      <xdr:nvSpPr>
        <xdr:cNvPr id="52" name="AutoShape 156"/>
        <xdr:cNvSpPr>
          <a:spLocks/>
        </xdr:cNvSpPr>
      </xdr:nvSpPr>
      <xdr:spPr>
        <a:xfrm>
          <a:off x="790575" y="1356169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435</xdr:row>
      <xdr:rowOff>28575</xdr:rowOff>
    </xdr:from>
    <xdr:to>
      <xdr:col>11</xdr:col>
      <xdr:colOff>66675</xdr:colOff>
      <xdr:row>435</xdr:row>
      <xdr:rowOff>295275</xdr:rowOff>
    </xdr:to>
    <xdr:grpSp>
      <xdr:nvGrpSpPr>
        <xdr:cNvPr id="53" name="Group 157"/>
        <xdr:cNvGrpSpPr>
          <a:grpSpLocks/>
        </xdr:cNvGrpSpPr>
      </xdr:nvGrpSpPr>
      <xdr:grpSpPr>
        <a:xfrm>
          <a:off x="828675" y="136759950"/>
          <a:ext cx="914400" cy="266700"/>
          <a:chOff x="87" y="1884"/>
          <a:chExt cx="96" cy="28"/>
        </a:xfrm>
        <a:solidFill>
          <a:srgbClr val="FFFFFF"/>
        </a:solidFill>
      </xdr:grpSpPr>
      <xdr:sp>
        <xdr:nvSpPr>
          <xdr:cNvPr id="54" name="Line 15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5" name="Line 15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6" name="Line 16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435</xdr:row>
      <xdr:rowOff>28575</xdr:rowOff>
    </xdr:from>
    <xdr:to>
      <xdr:col>24</xdr:col>
      <xdr:colOff>85725</xdr:colOff>
      <xdr:row>435</xdr:row>
      <xdr:rowOff>285750</xdr:rowOff>
    </xdr:to>
    <xdr:grpSp>
      <xdr:nvGrpSpPr>
        <xdr:cNvPr id="57" name="Group 161"/>
        <xdr:cNvGrpSpPr>
          <a:grpSpLocks/>
        </xdr:cNvGrpSpPr>
      </xdr:nvGrpSpPr>
      <xdr:grpSpPr>
        <a:xfrm>
          <a:off x="1990725" y="136759950"/>
          <a:ext cx="1752600" cy="257175"/>
          <a:chOff x="209" y="1884"/>
          <a:chExt cx="184" cy="27"/>
        </a:xfrm>
        <a:solidFill>
          <a:srgbClr val="FFFFFF"/>
        </a:solidFill>
      </xdr:grpSpPr>
      <xdr:sp>
        <xdr:nvSpPr>
          <xdr:cNvPr id="58" name="Line 16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9" name="Line 16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0" name="Line 16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431</xdr:row>
      <xdr:rowOff>133350</xdr:rowOff>
    </xdr:from>
    <xdr:to>
      <xdr:col>23</xdr:col>
      <xdr:colOff>95250</xdr:colOff>
      <xdr:row>432</xdr:row>
      <xdr:rowOff>180975</xdr:rowOff>
    </xdr:to>
    <xdr:sp>
      <xdr:nvSpPr>
        <xdr:cNvPr id="61" name="AutoShape 165"/>
        <xdr:cNvSpPr>
          <a:spLocks/>
        </xdr:cNvSpPr>
      </xdr:nvSpPr>
      <xdr:spPr>
        <a:xfrm>
          <a:off x="3524250" y="1356074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431</xdr:row>
      <xdr:rowOff>142875</xdr:rowOff>
    </xdr:from>
    <xdr:to>
      <xdr:col>5</xdr:col>
      <xdr:colOff>104775</xdr:colOff>
      <xdr:row>432</xdr:row>
      <xdr:rowOff>171450</xdr:rowOff>
    </xdr:to>
    <xdr:sp>
      <xdr:nvSpPr>
        <xdr:cNvPr id="62" name="AutoShape 166"/>
        <xdr:cNvSpPr>
          <a:spLocks/>
        </xdr:cNvSpPr>
      </xdr:nvSpPr>
      <xdr:spPr>
        <a:xfrm>
          <a:off x="790575" y="1356169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435</xdr:row>
      <xdr:rowOff>28575</xdr:rowOff>
    </xdr:from>
    <xdr:to>
      <xdr:col>11</xdr:col>
      <xdr:colOff>66675</xdr:colOff>
      <xdr:row>435</xdr:row>
      <xdr:rowOff>295275</xdr:rowOff>
    </xdr:to>
    <xdr:grpSp>
      <xdr:nvGrpSpPr>
        <xdr:cNvPr id="63" name="Group 167"/>
        <xdr:cNvGrpSpPr>
          <a:grpSpLocks/>
        </xdr:cNvGrpSpPr>
      </xdr:nvGrpSpPr>
      <xdr:grpSpPr>
        <a:xfrm>
          <a:off x="828675" y="136759950"/>
          <a:ext cx="914400" cy="266700"/>
          <a:chOff x="87" y="1884"/>
          <a:chExt cx="96" cy="28"/>
        </a:xfrm>
        <a:solidFill>
          <a:srgbClr val="FFFFFF"/>
        </a:solidFill>
      </xdr:grpSpPr>
      <xdr:sp>
        <xdr:nvSpPr>
          <xdr:cNvPr id="64" name="Line 16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5" name="Line 16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6" name="Line 17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435</xdr:row>
      <xdr:rowOff>28575</xdr:rowOff>
    </xdr:from>
    <xdr:to>
      <xdr:col>24</xdr:col>
      <xdr:colOff>85725</xdr:colOff>
      <xdr:row>435</xdr:row>
      <xdr:rowOff>285750</xdr:rowOff>
    </xdr:to>
    <xdr:grpSp>
      <xdr:nvGrpSpPr>
        <xdr:cNvPr id="67" name="Group 171"/>
        <xdr:cNvGrpSpPr>
          <a:grpSpLocks/>
        </xdr:cNvGrpSpPr>
      </xdr:nvGrpSpPr>
      <xdr:grpSpPr>
        <a:xfrm>
          <a:off x="1990725" y="136759950"/>
          <a:ext cx="1752600" cy="257175"/>
          <a:chOff x="209" y="1884"/>
          <a:chExt cx="184" cy="27"/>
        </a:xfrm>
        <a:solidFill>
          <a:srgbClr val="FFFFFF"/>
        </a:solidFill>
      </xdr:grpSpPr>
      <xdr:sp>
        <xdr:nvSpPr>
          <xdr:cNvPr id="68" name="Line 17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9" name="Line 17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0" name="Line 17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431</xdr:row>
      <xdr:rowOff>133350</xdr:rowOff>
    </xdr:from>
    <xdr:to>
      <xdr:col>23</xdr:col>
      <xdr:colOff>95250</xdr:colOff>
      <xdr:row>432</xdr:row>
      <xdr:rowOff>180975</xdr:rowOff>
    </xdr:to>
    <xdr:sp>
      <xdr:nvSpPr>
        <xdr:cNvPr id="71" name="AutoShape 175"/>
        <xdr:cNvSpPr>
          <a:spLocks/>
        </xdr:cNvSpPr>
      </xdr:nvSpPr>
      <xdr:spPr>
        <a:xfrm>
          <a:off x="3524250" y="1356074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431</xdr:row>
      <xdr:rowOff>142875</xdr:rowOff>
    </xdr:from>
    <xdr:to>
      <xdr:col>5</xdr:col>
      <xdr:colOff>104775</xdr:colOff>
      <xdr:row>432</xdr:row>
      <xdr:rowOff>171450</xdr:rowOff>
    </xdr:to>
    <xdr:sp>
      <xdr:nvSpPr>
        <xdr:cNvPr id="72" name="AutoShape 176"/>
        <xdr:cNvSpPr>
          <a:spLocks/>
        </xdr:cNvSpPr>
      </xdr:nvSpPr>
      <xdr:spPr>
        <a:xfrm>
          <a:off x="790575" y="1356169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435</xdr:row>
      <xdr:rowOff>28575</xdr:rowOff>
    </xdr:from>
    <xdr:to>
      <xdr:col>11</xdr:col>
      <xdr:colOff>66675</xdr:colOff>
      <xdr:row>435</xdr:row>
      <xdr:rowOff>295275</xdr:rowOff>
    </xdr:to>
    <xdr:grpSp>
      <xdr:nvGrpSpPr>
        <xdr:cNvPr id="73" name="Group 177"/>
        <xdr:cNvGrpSpPr>
          <a:grpSpLocks/>
        </xdr:cNvGrpSpPr>
      </xdr:nvGrpSpPr>
      <xdr:grpSpPr>
        <a:xfrm>
          <a:off x="828675" y="136759950"/>
          <a:ext cx="914400" cy="266700"/>
          <a:chOff x="87" y="1884"/>
          <a:chExt cx="96" cy="28"/>
        </a:xfrm>
        <a:solidFill>
          <a:srgbClr val="FFFFFF"/>
        </a:solidFill>
      </xdr:grpSpPr>
      <xdr:sp>
        <xdr:nvSpPr>
          <xdr:cNvPr id="74" name="Line 17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5" name="Line 17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6" name="Line 18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435</xdr:row>
      <xdr:rowOff>28575</xdr:rowOff>
    </xdr:from>
    <xdr:to>
      <xdr:col>24</xdr:col>
      <xdr:colOff>85725</xdr:colOff>
      <xdr:row>435</xdr:row>
      <xdr:rowOff>285750</xdr:rowOff>
    </xdr:to>
    <xdr:grpSp>
      <xdr:nvGrpSpPr>
        <xdr:cNvPr id="77" name="Group 181"/>
        <xdr:cNvGrpSpPr>
          <a:grpSpLocks/>
        </xdr:cNvGrpSpPr>
      </xdr:nvGrpSpPr>
      <xdr:grpSpPr>
        <a:xfrm>
          <a:off x="1990725" y="136759950"/>
          <a:ext cx="1752600" cy="257175"/>
          <a:chOff x="209" y="1884"/>
          <a:chExt cx="184" cy="27"/>
        </a:xfrm>
        <a:solidFill>
          <a:srgbClr val="FFFFFF"/>
        </a:solidFill>
      </xdr:grpSpPr>
      <xdr:sp>
        <xdr:nvSpPr>
          <xdr:cNvPr id="78" name="Line 18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9" name="Line 18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0" name="Line 18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431</xdr:row>
      <xdr:rowOff>133350</xdr:rowOff>
    </xdr:from>
    <xdr:to>
      <xdr:col>23</xdr:col>
      <xdr:colOff>95250</xdr:colOff>
      <xdr:row>432</xdr:row>
      <xdr:rowOff>180975</xdr:rowOff>
    </xdr:to>
    <xdr:sp>
      <xdr:nvSpPr>
        <xdr:cNvPr id="81" name="AutoShape 185"/>
        <xdr:cNvSpPr>
          <a:spLocks/>
        </xdr:cNvSpPr>
      </xdr:nvSpPr>
      <xdr:spPr>
        <a:xfrm>
          <a:off x="3524250" y="1356074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431</xdr:row>
      <xdr:rowOff>142875</xdr:rowOff>
    </xdr:from>
    <xdr:to>
      <xdr:col>5</xdr:col>
      <xdr:colOff>104775</xdr:colOff>
      <xdr:row>432</xdr:row>
      <xdr:rowOff>171450</xdr:rowOff>
    </xdr:to>
    <xdr:sp>
      <xdr:nvSpPr>
        <xdr:cNvPr id="82" name="AutoShape 186"/>
        <xdr:cNvSpPr>
          <a:spLocks/>
        </xdr:cNvSpPr>
      </xdr:nvSpPr>
      <xdr:spPr>
        <a:xfrm>
          <a:off x="790575" y="1356169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435</xdr:row>
      <xdr:rowOff>28575</xdr:rowOff>
    </xdr:from>
    <xdr:to>
      <xdr:col>11</xdr:col>
      <xdr:colOff>66675</xdr:colOff>
      <xdr:row>435</xdr:row>
      <xdr:rowOff>295275</xdr:rowOff>
    </xdr:to>
    <xdr:grpSp>
      <xdr:nvGrpSpPr>
        <xdr:cNvPr id="83" name="Group 187"/>
        <xdr:cNvGrpSpPr>
          <a:grpSpLocks/>
        </xdr:cNvGrpSpPr>
      </xdr:nvGrpSpPr>
      <xdr:grpSpPr>
        <a:xfrm>
          <a:off x="828675" y="136759950"/>
          <a:ext cx="914400" cy="266700"/>
          <a:chOff x="87" y="1884"/>
          <a:chExt cx="96" cy="28"/>
        </a:xfrm>
        <a:solidFill>
          <a:srgbClr val="FFFFFF"/>
        </a:solidFill>
      </xdr:grpSpPr>
      <xdr:sp>
        <xdr:nvSpPr>
          <xdr:cNvPr id="84" name="Line 18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5" name="Line 18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6" name="Line 19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435</xdr:row>
      <xdr:rowOff>28575</xdr:rowOff>
    </xdr:from>
    <xdr:to>
      <xdr:col>24</xdr:col>
      <xdr:colOff>85725</xdr:colOff>
      <xdr:row>435</xdr:row>
      <xdr:rowOff>285750</xdr:rowOff>
    </xdr:to>
    <xdr:grpSp>
      <xdr:nvGrpSpPr>
        <xdr:cNvPr id="87" name="Group 191"/>
        <xdr:cNvGrpSpPr>
          <a:grpSpLocks/>
        </xdr:cNvGrpSpPr>
      </xdr:nvGrpSpPr>
      <xdr:grpSpPr>
        <a:xfrm>
          <a:off x="1990725" y="136759950"/>
          <a:ext cx="1752600" cy="257175"/>
          <a:chOff x="209" y="1884"/>
          <a:chExt cx="184" cy="27"/>
        </a:xfrm>
        <a:solidFill>
          <a:srgbClr val="FFFFFF"/>
        </a:solidFill>
      </xdr:grpSpPr>
      <xdr:sp>
        <xdr:nvSpPr>
          <xdr:cNvPr id="88" name="Line 19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9" name="Line 19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0" name="Line 19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279</xdr:row>
      <xdr:rowOff>133350</xdr:rowOff>
    </xdr:from>
    <xdr:to>
      <xdr:col>14</xdr:col>
      <xdr:colOff>95250</xdr:colOff>
      <xdr:row>280</xdr:row>
      <xdr:rowOff>180975</xdr:rowOff>
    </xdr:to>
    <xdr:sp>
      <xdr:nvSpPr>
        <xdr:cNvPr id="91" name="AutoShape 269"/>
        <xdr:cNvSpPr>
          <a:spLocks/>
        </xdr:cNvSpPr>
      </xdr:nvSpPr>
      <xdr:spPr>
        <a:xfrm>
          <a:off x="2152650" y="878300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279</xdr:row>
      <xdr:rowOff>142875</xdr:rowOff>
    </xdr:from>
    <xdr:to>
      <xdr:col>5</xdr:col>
      <xdr:colOff>104775</xdr:colOff>
      <xdr:row>280</xdr:row>
      <xdr:rowOff>171450</xdr:rowOff>
    </xdr:to>
    <xdr:sp>
      <xdr:nvSpPr>
        <xdr:cNvPr id="92" name="AutoShape 270"/>
        <xdr:cNvSpPr>
          <a:spLocks/>
        </xdr:cNvSpPr>
      </xdr:nvSpPr>
      <xdr:spPr>
        <a:xfrm>
          <a:off x="790575" y="878395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283</xdr:row>
      <xdr:rowOff>28575</xdr:rowOff>
    </xdr:from>
    <xdr:to>
      <xdr:col>11</xdr:col>
      <xdr:colOff>66675</xdr:colOff>
      <xdr:row>283</xdr:row>
      <xdr:rowOff>295275</xdr:rowOff>
    </xdr:to>
    <xdr:grpSp>
      <xdr:nvGrpSpPr>
        <xdr:cNvPr id="93" name="Group 271"/>
        <xdr:cNvGrpSpPr>
          <a:grpSpLocks/>
        </xdr:cNvGrpSpPr>
      </xdr:nvGrpSpPr>
      <xdr:grpSpPr>
        <a:xfrm>
          <a:off x="828675" y="88982550"/>
          <a:ext cx="914400" cy="266700"/>
          <a:chOff x="87" y="1884"/>
          <a:chExt cx="96" cy="28"/>
        </a:xfrm>
        <a:solidFill>
          <a:srgbClr val="FFFFFF"/>
        </a:solidFill>
      </xdr:grpSpPr>
      <xdr:sp>
        <xdr:nvSpPr>
          <xdr:cNvPr id="94" name="Line 27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5" name="Line 27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6" name="Line 27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283</xdr:row>
      <xdr:rowOff>28575</xdr:rowOff>
    </xdr:from>
    <xdr:to>
      <xdr:col>24</xdr:col>
      <xdr:colOff>85725</xdr:colOff>
      <xdr:row>283</xdr:row>
      <xdr:rowOff>285750</xdr:rowOff>
    </xdr:to>
    <xdr:grpSp>
      <xdr:nvGrpSpPr>
        <xdr:cNvPr id="97" name="Group 275"/>
        <xdr:cNvGrpSpPr>
          <a:grpSpLocks/>
        </xdr:cNvGrpSpPr>
      </xdr:nvGrpSpPr>
      <xdr:grpSpPr>
        <a:xfrm>
          <a:off x="1990725" y="88982550"/>
          <a:ext cx="1752600" cy="257175"/>
          <a:chOff x="209" y="1884"/>
          <a:chExt cx="184" cy="27"/>
        </a:xfrm>
        <a:solidFill>
          <a:srgbClr val="FFFFFF"/>
        </a:solidFill>
      </xdr:grpSpPr>
      <xdr:sp>
        <xdr:nvSpPr>
          <xdr:cNvPr id="98" name="Line 27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9" name="Line 27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0" name="Line 27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279</xdr:row>
      <xdr:rowOff>133350</xdr:rowOff>
    </xdr:from>
    <xdr:to>
      <xdr:col>14</xdr:col>
      <xdr:colOff>95250</xdr:colOff>
      <xdr:row>280</xdr:row>
      <xdr:rowOff>180975</xdr:rowOff>
    </xdr:to>
    <xdr:sp>
      <xdr:nvSpPr>
        <xdr:cNvPr id="101" name="AutoShape 279"/>
        <xdr:cNvSpPr>
          <a:spLocks/>
        </xdr:cNvSpPr>
      </xdr:nvSpPr>
      <xdr:spPr>
        <a:xfrm>
          <a:off x="2152650" y="878300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279</xdr:row>
      <xdr:rowOff>142875</xdr:rowOff>
    </xdr:from>
    <xdr:to>
      <xdr:col>5</xdr:col>
      <xdr:colOff>104775</xdr:colOff>
      <xdr:row>280</xdr:row>
      <xdr:rowOff>171450</xdr:rowOff>
    </xdr:to>
    <xdr:sp>
      <xdr:nvSpPr>
        <xdr:cNvPr id="102" name="AutoShape 280"/>
        <xdr:cNvSpPr>
          <a:spLocks/>
        </xdr:cNvSpPr>
      </xdr:nvSpPr>
      <xdr:spPr>
        <a:xfrm>
          <a:off x="790575" y="878395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283</xdr:row>
      <xdr:rowOff>28575</xdr:rowOff>
    </xdr:from>
    <xdr:to>
      <xdr:col>11</xdr:col>
      <xdr:colOff>66675</xdr:colOff>
      <xdr:row>283</xdr:row>
      <xdr:rowOff>295275</xdr:rowOff>
    </xdr:to>
    <xdr:grpSp>
      <xdr:nvGrpSpPr>
        <xdr:cNvPr id="103" name="Group 281"/>
        <xdr:cNvGrpSpPr>
          <a:grpSpLocks/>
        </xdr:cNvGrpSpPr>
      </xdr:nvGrpSpPr>
      <xdr:grpSpPr>
        <a:xfrm>
          <a:off x="828675" y="88982550"/>
          <a:ext cx="914400" cy="266700"/>
          <a:chOff x="87" y="1884"/>
          <a:chExt cx="96" cy="28"/>
        </a:xfrm>
        <a:solidFill>
          <a:srgbClr val="FFFFFF"/>
        </a:solidFill>
      </xdr:grpSpPr>
      <xdr:sp>
        <xdr:nvSpPr>
          <xdr:cNvPr id="104" name="Line 28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5" name="Line 28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6" name="Line 28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283</xdr:row>
      <xdr:rowOff>28575</xdr:rowOff>
    </xdr:from>
    <xdr:to>
      <xdr:col>24</xdr:col>
      <xdr:colOff>85725</xdr:colOff>
      <xdr:row>283</xdr:row>
      <xdr:rowOff>285750</xdr:rowOff>
    </xdr:to>
    <xdr:grpSp>
      <xdr:nvGrpSpPr>
        <xdr:cNvPr id="107" name="Group 285"/>
        <xdr:cNvGrpSpPr>
          <a:grpSpLocks/>
        </xdr:cNvGrpSpPr>
      </xdr:nvGrpSpPr>
      <xdr:grpSpPr>
        <a:xfrm>
          <a:off x="1990725" y="88982550"/>
          <a:ext cx="1752600" cy="257175"/>
          <a:chOff x="209" y="1884"/>
          <a:chExt cx="184" cy="27"/>
        </a:xfrm>
        <a:solidFill>
          <a:srgbClr val="FFFFFF"/>
        </a:solidFill>
      </xdr:grpSpPr>
      <xdr:sp>
        <xdr:nvSpPr>
          <xdr:cNvPr id="108" name="Line 28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9" name="Line 28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0" name="Line 28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345</xdr:row>
      <xdr:rowOff>133350</xdr:rowOff>
    </xdr:from>
    <xdr:to>
      <xdr:col>14</xdr:col>
      <xdr:colOff>95250</xdr:colOff>
      <xdr:row>346</xdr:row>
      <xdr:rowOff>180975</xdr:rowOff>
    </xdr:to>
    <xdr:sp>
      <xdr:nvSpPr>
        <xdr:cNvPr id="111" name="AutoShape 289"/>
        <xdr:cNvSpPr>
          <a:spLocks/>
        </xdr:cNvSpPr>
      </xdr:nvSpPr>
      <xdr:spPr>
        <a:xfrm>
          <a:off x="2152650" y="1085754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345</xdr:row>
      <xdr:rowOff>142875</xdr:rowOff>
    </xdr:from>
    <xdr:to>
      <xdr:col>5</xdr:col>
      <xdr:colOff>104775</xdr:colOff>
      <xdr:row>346</xdr:row>
      <xdr:rowOff>171450</xdr:rowOff>
    </xdr:to>
    <xdr:sp>
      <xdr:nvSpPr>
        <xdr:cNvPr id="112" name="AutoShape 290"/>
        <xdr:cNvSpPr>
          <a:spLocks/>
        </xdr:cNvSpPr>
      </xdr:nvSpPr>
      <xdr:spPr>
        <a:xfrm>
          <a:off x="790575" y="1085850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349</xdr:row>
      <xdr:rowOff>28575</xdr:rowOff>
    </xdr:from>
    <xdr:to>
      <xdr:col>11</xdr:col>
      <xdr:colOff>66675</xdr:colOff>
      <xdr:row>349</xdr:row>
      <xdr:rowOff>295275</xdr:rowOff>
    </xdr:to>
    <xdr:grpSp>
      <xdr:nvGrpSpPr>
        <xdr:cNvPr id="113" name="Group 291"/>
        <xdr:cNvGrpSpPr>
          <a:grpSpLocks/>
        </xdr:cNvGrpSpPr>
      </xdr:nvGrpSpPr>
      <xdr:grpSpPr>
        <a:xfrm>
          <a:off x="828675" y="109728000"/>
          <a:ext cx="914400" cy="266700"/>
          <a:chOff x="87" y="1884"/>
          <a:chExt cx="96" cy="28"/>
        </a:xfrm>
        <a:solidFill>
          <a:srgbClr val="FFFFFF"/>
        </a:solidFill>
      </xdr:grpSpPr>
      <xdr:sp>
        <xdr:nvSpPr>
          <xdr:cNvPr id="114" name="Line 29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5" name="Line 29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6" name="Line 29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349</xdr:row>
      <xdr:rowOff>28575</xdr:rowOff>
    </xdr:from>
    <xdr:to>
      <xdr:col>24</xdr:col>
      <xdr:colOff>85725</xdr:colOff>
      <xdr:row>349</xdr:row>
      <xdr:rowOff>285750</xdr:rowOff>
    </xdr:to>
    <xdr:grpSp>
      <xdr:nvGrpSpPr>
        <xdr:cNvPr id="117" name="Group 295"/>
        <xdr:cNvGrpSpPr>
          <a:grpSpLocks/>
        </xdr:cNvGrpSpPr>
      </xdr:nvGrpSpPr>
      <xdr:grpSpPr>
        <a:xfrm>
          <a:off x="1990725" y="109728000"/>
          <a:ext cx="1752600" cy="257175"/>
          <a:chOff x="209" y="1884"/>
          <a:chExt cx="184" cy="27"/>
        </a:xfrm>
        <a:solidFill>
          <a:srgbClr val="FFFFFF"/>
        </a:solidFill>
      </xdr:grpSpPr>
      <xdr:sp>
        <xdr:nvSpPr>
          <xdr:cNvPr id="118" name="Line 29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9" name="Line 29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0" name="Line 29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345</xdr:row>
      <xdr:rowOff>133350</xdr:rowOff>
    </xdr:from>
    <xdr:to>
      <xdr:col>14</xdr:col>
      <xdr:colOff>95250</xdr:colOff>
      <xdr:row>346</xdr:row>
      <xdr:rowOff>180975</xdr:rowOff>
    </xdr:to>
    <xdr:sp>
      <xdr:nvSpPr>
        <xdr:cNvPr id="121" name="AutoShape 299"/>
        <xdr:cNvSpPr>
          <a:spLocks/>
        </xdr:cNvSpPr>
      </xdr:nvSpPr>
      <xdr:spPr>
        <a:xfrm>
          <a:off x="2152650" y="1085754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345</xdr:row>
      <xdr:rowOff>142875</xdr:rowOff>
    </xdr:from>
    <xdr:to>
      <xdr:col>5</xdr:col>
      <xdr:colOff>104775</xdr:colOff>
      <xdr:row>346</xdr:row>
      <xdr:rowOff>171450</xdr:rowOff>
    </xdr:to>
    <xdr:sp>
      <xdr:nvSpPr>
        <xdr:cNvPr id="122" name="AutoShape 300"/>
        <xdr:cNvSpPr>
          <a:spLocks/>
        </xdr:cNvSpPr>
      </xdr:nvSpPr>
      <xdr:spPr>
        <a:xfrm>
          <a:off x="790575" y="1085850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349</xdr:row>
      <xdr:rowOff>28575</xdr:rowOff>
    </xdr:from>
    <xdr:to>
      <xdr:col>11</xdr:col>
      <xdr:colOff>66675</xdr:colOff>
      <xdr:row>349</xdr:row>
      <xdr:rowOff>295275</xdr:rowOff>
    </xdr:to>
    <xdr:grpSp>
      <xdr:nvGrpSpPr>
        <xdr:cNvPr id="123" name="Group 301"/>
        <xdr:cNvGrpSpPr>
          <a:grpSpLocks/>
        </xdr:cNvGrpSpPr>
      </xdr:nvGrpSpPr>
      <xdr:grpSpPr>
        <a:xfrm>
          <a:off x="828675" y="109728000"/>
          <a:ext cx="914400" cy="266700"/>
          <a:chOff x="87" y="1884"/>
          <a:chExt cx="96" cy="28"/>
        </a:xfrm>
        <a:solidFill>
          <a:srgbClr val="FFFFFF"/>
        </a:solidFill>
      </xdr:grpSpPr>
      <xdr:sp>
        <xdr:nvSpPr>
          <xdr:cNvPr id="124" name="Line 30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5" name="Line 30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6" name="Line 30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349</xdr:row>
      <xdr:rowOff>28575</xdr:rowOff>
    </xdr:from>
    <xdr:to>
      <xdr:col>24</xdr:col>
      <xdr:colOff>85725</xdr:colOff>
      <xdr:row>349</xdr:row>
      <xdr:rowOff>285750</xdr:rowOff>
    </xdr:to>
    <xdr:grpSp>
      <xdr:nvGrpSpPr>
        <xdr:cNvPr id="127" name="Group 305"/>
        <xdr:cNvGrpSpPr>
          <a:grpSpLocks/>
        </xdr:cNvGrpSpPr>
      </xdr:nvGrpSpPr>
      <xdr:grpSpPr>
        <a:xfrm>
          <a:off x="1990725" y="109728000"/>
          <a:ext cx="1752600" cy="257175"/>
          <a:chOff x="209" y="1884"/>
          <a:chExt cx="184" cy="27"/>
        </a:xfrm>
        <a:solidFill>
          <a:srgbClr val="FFFFFF"/>
        </a:solidFill>
      </xdr:grpSpPr>
      <xdr:sp>
        <xdr:nvSpPr>
          <xdr:cNvPr id="128" name="Line 30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9" name="Line 30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0" name="Line 30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664</xdr:row>
      <xdr:rowOff>133350</xdr:rowOff>
    </xdr:from>
    <xdr:to>
      <xdr:col>23</xdr:col>
      <xdr:colOff>95250</xdr:colOff>
      <xdr:row>665</xdr:row>
      <xdr:rowOff>180975</xdr:rowOff>
    </xdr:to>
    <xdr:sp>
      <xdr:nvSpPr>
        <xdr:cNvPr id="131" name="AutoShape 309"/>
        <xdr:cNvSpPr>
          <a:spLocks/>
        </xdr:cNvSpPr>
      </xdr:nvSpPr>
      <xdr:spPr>
        <a:xfrm>
          <a:off x="3524250" y="2088451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664</xdr:row>
      <xdr:rowOff>142875</xdr:rowOff>
    </xdr:from>
    <xdr:to>
      <xdr:col>5</xdr:col>
      <xdr:colOff>104775</xdr:colOff>
      <xdr:row>665</xdr:row>
      <xdr:rowOff>171450</xdr:rowOff>
    </xdr:to>
    <xdr:sp>
      <xdr:nvSpPr>
        <xdr:cNvPr id="132" name="AutoShape 310"/>
        <xdr:cNvSpPr>
          <a:spLocks/>
        </xdr:cNvSpPr>
      </xdr:nvSpPr>
      <xdr:spPr>
        <a:xfrm>
          <a:off x="790575" y="2088546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668</xdr:row>
      <xdr:rowOff>28575</xdr:rowOff>
    </xdr:from>
    <xdr:to>
      <xdr:col>11</xdr:col>
      <xdr:colOff>66675</xdr:colOff>
      <xdr:row>668</xdr:row>
      <xdr:rowOff>295275</xdr:rowOff>
    </xdr:to>
    <xdr:grpSp>
      <xdr:nvGrpSpPr>
        <xdr:cNvPr id="133" name="Group 311"/>
        <xdr:cNvGrpSpPr>
          <a:grpSpLocks/>
        </xdr:cNvGrpSpPr>
      </xdr:nvGrpSpPr>
      <xdr:grpSpPr>
        <a:xfrm>
          <a:off x="828675" y="209997675"/>
          <a:ext cx="914400" cy="266700"/>
          <a:chOff x="87" y="1884"/>
          <a:chExt cx="96" cy="28"/>
        </a:xfrm>
        <a:solidFill>
          <a:srgbClr val="FFFFFF"/>
        </a:solidFill>
      </xdr:grpSpPr>
      <xdr:sp>
        <xdr:nvSpPr>
          <xdr:cNvPr id="134" name="Line 31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5" name="Line 31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6" name="Line 31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668</xdr:row>
      <xdr:rowOff>28575</xdr:rowOff>
    </xdr:from>
    <xdr:to>
      <xdr:col>24</xdr:col>
      <xdr:colOff>85725</xdr:colOff>
      <xdr:row>668</xdr:row>
      <xdr:rowOff>285750</xdr:rowOff>
    </xdr:to>
    <xdr:grpSp>
      <xdr:nvGrpSpPr>
        <xdr:cNvPr id="137" name="Group 315"/>
        <xdr:cNvGrpSpPr>
          <a:grpSpLocks/>
        </xdr:cNvGrpSpPr>
      </xdr:nvGrpSpPr>
      <xdr:grpSpPr>
        <a:xfrm>
          <a:off x="1990725" y="209997675"/>
          <a:ext cx="1752600" cy="257175"/>
          <a:chOff x="209" y="1884"/>
          <a:chExt cx="184" cy="27"/>
        </a:xfrm>
        <a:solidFill>
          <a:srgbClr val="FFFFFF"/>
        </a:solidFill>
      </xdr:grpSpPr>
      <xdr:sp>
        <xdr:nvSpPr>
          <xdr:cNvPr id="138" name="Line 31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9" name="Line 31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0" name="Line 31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664</xdr:row>
      <xdr:rowOff>133350</xdr:rowOff>
    </xdr:from>
    <xdr:to>
      <xdr:col>23</xdr:col>
      <xdr:colOff>95250</xdr:colOff>
      <xdr:row>665</xdr:row>
      <xdr:rowOff>180975</xdr:rowOff>
    </xdr:to>
    <xdr:sp>
      <xdr:nvSpPr>
        <xdr:cNvPr id="141" name="AutoShape 319"/>
        <xdr:cNvSpPr>
          <a:spLocks/>
        </xdr:cNvSpPr>
      </xdr:nvSpPr>
      <xdr:spPr>
        <a:xfrm>
          <a:off x="3524250" y="2088451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664</xdr:row>
      <xdr:rowOff>142875</xdr:rowOff>
    </xdr:from>
    <xdr:to>
      <xdr:col>5</xdr:col>
      <xdr:colOff>104775</xdr:colOff>
      <xdr:row>665</xdr:row>
      <xdr:rowOff>171450</xdr:rowOff>
    </xdr:to>
    <xdr:sp>
      <xdr:nvSpPr>
        <xdr:cNvPr id="142" name="AutoShape 320"/>
        <xdr:cNvSpPr>
          <a:spLocks/>
        </xdr:cNvSpPr>
      </xdr:nvSpPr>
      <xdr:spPr>
        <a:xfrm>
          <a:off x="790575" y="2088546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668</xdr:row>
      <xdr:rowOff>28575</xdr:rowOff>
    </xdr:from>
    <xdr:to>
      <xdr:col>11</xdr:col>
      <xdr:colOff>66675</xdr:colOff>
      <xdr:row>668</xdr:row>
      <xdr:rowOff>295275</xdr:rowOff>
    </xdr:to>
    <xdr:grpSp>
      <xdr:nvGrpSpPr>
        <xdr:cNvPr id="143" name="Group 321"/>
        <xdr:cNvGrpSpPr>
          <a:grpSpLocks/>
        </xdr:cNvGrpSpPr>
      </xdr:nvGrpSpPr>
      <xdr:grpSpPr>
        <a:xfrm>
          <a:off x="828675" y="209997675"/>
          <a:ext cx="914400" cy="266700"/>
          <a:chOff x="87" y="1884"/>
          <a:chExt cx="96" cy="28"/>
        </a:xfrm>
        <a:solidFill>
          <a:srgbClr val="FFFFFF"/>
        </a:solidFill>
      </xdr:grpSpPr>
      <xdr:sp>
        <xdr:nvSpPr>
          <xdr:cNvPr id="144" name="Line 32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5" name="Line 32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6" name="Line 32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668</xdr:row>
      <xdr:rowOff>28575</xdr:rowOff>
    </xdr:from>
    <xdr:to>
      <xdr:col>24</xdr:col>
      <xdr:colOff>85725</xdr:colOff>
      <xdr:row>668</xdr:row>
      <xdr:rowOff>285750</xdr:rowOff>
    </xdr:to>
    <xdr:grpSp>
      <xdr:nvGrpSpPr>
        <xdr:cNvPr id="147" name="Group 325"/>
        <xdr:cNvGrpSpPr>
          <a:grpSpLocks/>
        </xdr:cNvGrpSpPr>
      </xdr:nvGrpSpPr>
      <xdr:grpSpPr>
        <a:xfrm>
          <a:off x="1990725" y="209997675"/>
          <a:ext cx="1752600" cy="257175"/>
          <a:chOff x="209" y="1884"/>
          <a:chExt cx="184" cy="27"/>
        </a:xfrm>
        <a:solidFill>
          <a:srgbClr val="FFFFFF"/>
        </a:solidFill>
      </xdr:grpSpPr>
      <xdr:sp>
        <xdr:nvSpPr>
          <xdr:cNvPr id="148" name="Line 32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9" name="Line 32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0" name="Line 32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664</xdr:row>
      <xdr:rowOff>133350</xdr:rowOff>
    </xdr:from>
    <xdr:to>
      <xdr:col>23</xdr:col>
      <xdr:colOff>95250</xdr:colOff>
      <xdr:row>665</xdr:row>
      <xdr:rowOff>180975</xdr:rowOff>
    </xdr:to>
    <xdr:sp>
      <xdr:nvSpPr>
        <xdr:cNvPr id="151" name="AutoShape 329"/>
        <xdr:cNvSpPr>
          <a:spLocks/>
        </xdr:cNvSpPr>
      </xdr:nvSpPr>
      <xdr:spPr>
        <a:xfrm>
          <a:off x="3524250" y="2088451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664</xdr:row>
      <xdr:rowOff>142875</xdr:rowOff>
    </xdr:from>
    <xdr:to>
      <xdr:col>5</xdr:col>
      <xdr:colOff>104775</xdr:colOff>
      <xdr:row>665</xdr:row>
      <xdr:rowOff>171450</xdr:rowOff>
    </xdr:to>
    <xdr:sp>
      <xdr:nvSpPr>
        <xdr:cNvPr id="152" name="AutoShape 330"/>
        <xdr:cNvSpPr>
          <a:spLocks/>
        </xdr:cNvSpPr>
      </xdr:nvSpPr>
      <xdr:spPr>
        <a:xfrm>
          <a:off x="790575" y="2088546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668</xdr:row>
      <xdr:rowOff>28575</xdr:rowOff>
    </xdr:from>
    <xdr:to>
      <xdr:col>11</xdr:col>
      <xdr:colOff>66675</xdr:colOff>
      <xdr:row>668</xdr:row>
      <xdr:rowOff>295275</xdr:rowOff>
    </xdr:to>
    <xdr:grpSp>
      <xdr:nvGrpSpPr>
        <xdr:cNvPr id="153" name="Group 331"/>
        <xdr:cNvGrpSpPr>
          <a:grpSpLocks/>
        </xdr:cNvGrpSpPr>
      </xdr:nvGrpSpPr>
      <xdr:grpSpPr>
        <a:xfrm>
          <a:off x="828675" y="209997675"/>
          <a:ext cx="914400" cy="266700"/>
          <a:chOff x="87" y="1884"/>
          <a:chExt cx="96" cy="28"/>
        </a:xfrm>
        <a:solidFill>
          <a:srgbClr val="FFFFFF"/>
        </a:solidFill>
      </xdr:grpSpPr>
      <xdr:sp>
        <xdr:nvSpPr>
          <xdr:cNvPr id="154" name="Line 33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5" name="Line 33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6" name="Line 33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668</xdr:row>
      <xdr:rowOff>28575</xdr:rowOff>
    </xdr:from>
    <xdr:to>
      <xdr:col>24</xdr:col>
      <xdr:colOff>85725</xdr:colOff>
      <xdr:row>668</xdr:row>
      <xdr:rowOff>285750</xdr:rowOff>
    </xdr:to>
    <xdr:grpSp>
      <xdr:nvGrpSpPr>
        <xdr:cNvPr id="157" name="Group 335"/>
        <xdr:cNvGrpSpPr>
          <a:grpSpLocks/>
        </xdr:cNvGrpSpPr>
      </xdr:nvGrpSpPr>
      <xdr:grpSpPr>
        <a:xfrm>
          <a:off x="1990725" y="209997675"/>
          <a:ext cx="1752600" cy="257175"/>
          <a:chOff x="209" y="1884"/>
          <a:chExt cx="184" cy="27"/>
        </a:xfrm>
        <a:solidFill>
          <a:srgbClr val="FFFFFF"/>
        </a:solidFill>
      </xdr:grpSpPr>
      <xdr:sp>
        <xdr:nvSpPr>
          <xdr:cNvPr id="158" name="Line 33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9" name="Line 33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0" name="Line 33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664</xdr:row>
      <xdr:rowOff>133350</xdr:rowOff>
    </xdr:from>
    <xdr:to>
      <xdr:col>23</xdr:col>
      <xdr:colOff>95250</xdr:colOff>
      <xdr:row>665</xdr:row>
      <xdr:rowOff>180975</xdr:rowOff>
    </xdr:to>
    <xdr:sp>
      <xdr:nvSpPr>
        <xdr:cNvPr id="161" name="AutoShape 339"/>
        <xdr:cNvSpPr>
          <a:spLocks/>
        </xdr:cNvSpPr>
      </xdr:nvSpPr>
      <xdr:spPr>
        <a:xfrm>
          <a:off x="3524250" y="2088451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664</xdr:row>
      <xdr:rowOff>142875</xdr:rowOff>
    </xdr:from>
    <xdr:to>
      <xdr:col>5</xdr:col>
      <xdr:colOff>104775</xdr:colOff>
      <xdr:row>665</xdr:row>
      <xdr:rowOff>171450</xdr:rowOff>
    </xdr:to>
    <xdr:sp>
      <xdr:nvSpPr>
        <xdr:cNvPr id="162" name="AutoShape 340"/>
        <xdr:cNvSpPr>
          <a:spLocks/>
        </xdr:cNvSpPr>
      </xdr:nvSpPr>
      <xdr:spPr>
        <a:xfrm>
          <a:off x="790575" y="2088546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668</xdr:row>
      <xdr:rowOff>28575</xdr:rowOff>
    </xdr:from>
    <xdr:to>
      <xdr:col>11</xdr:col>
      <xdr:colOff>66675</xdr:colOff>
      <xdr:row>668</xdr:row>
      <xdr:rowOff>295275</xdr:rowOff>
    </xdr:to>
    <xdr:grpSp>
      <xdr:nvGrpSpPr>
        <xdr:cNvPr id="163" name="Group 341"/>
        <xdr:cNvGrpSpPr>
          <a:grpSpLocks/>
        </xdr:cNvGrpSpPr>
      </xdr:nvGrpSpPr>
      <xdr:grpSpPr>
        <a:xfrm>
          <a:off x="828675" y="209997675"/>
          <a:ext cx="914400" cy="266700"/>
          <a:chOff x="87" y="1884"/>
          <a:chExt cx="96" cy="28"/>
        </a:xfrm>
        <a:solidFill>
          <a:srgbClr val="FFFFFF"/>
        </a:solidFill>
      </xdr:grpSpPr>
      <xdr:sp>
        <xdr:nvSpPr>
          <xdr:cNvPr id="164" name="Line 34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5" name="Line 34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6" name="Line 34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668</xdr:row>
      <xdr:rowOff>28575</xdr:rowOff>
    </xdr:from>
    <xdr:to>
      <xdr:col>24</xdr:col>
      <xdr:colOff>85725</xdr:colOff>
      <xdr:row>668</xdr:row>
      <xdr:rowOff>285750</xdr:rowOff>
    </xdr:to>
    <xdr:grpSp>
      <xdr:nvGrpSpPr>
        <xdr:cNvPr id="167" name="Group 345"/>
        <xdr:cNvGrpSpPr>
          <a:grpSpLocks/>
        </xdr:cNvGrpSpPr>
      </xdr:nvGrpSpPr>
      <xdr:grpSpPr>
        <a:xfrm>
          <a:off x="1990725" y="209997675"/>
          <a:ext cx="1752600" cy="257175"/>
          <a:chOff x="209" y="1884"/>
          <a:chExt cx="184" cy="27"/>
        </a:xfrm>
        <a:solidFill>
          <a:srgbClr val="FFFFFF"/>
        </a:solidFill>
      </xdr:grpSpPr>
      <xdr:sp>
        <xdr:nvSpPr>
          <xdr:cNvPr id="168" name="Line 34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9" name="Line 34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0" name="Line 34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512</xdr:row>
      <xdr:rowOff>133350</xdr:rowOff>
    </xdr:from>
    <xdr:to>
      <xdr:col>14</xdr:col>
      <xdr:colOff>95250</xdr:colOff>
      <xdr:row>513</xdr:row>
      <xdr:rowOff>180975</xdr:rowOff>
    </xdr:to>
    <xdr:sp>
      <xdr:nvSpPr>
        <xdr:cNvPr id="171" name="AutoShape 423"/>
        <xdr:cNvSpPr>
          <a:spLocks/>
        </xdr:cNvSpPr>
      </xdr:nvSpPr>
      <xdr:spPr>
        <a:xfrm>
          <a:off x="2152650" y="1610677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512</xdr:row>
      <xdr:rowOff>142875</xdr:rowOff>
    </xdr:from>
    <xdr:to>
      <xdr:col>5</xdr:col>
      <xdr:colOff>104775</xdr:colOff>
      <xdr:row>513</xdr:row>
      <xdr:rowOff>171450</xdr:rowOff>
    </xdr:to>
    <xdr:sp>
      <xdr:nvSpPr>
        <xdr:cNvPr id="172" name="AutoShape 424"/>
        <xdr:cNvSpPr>
          <a:spLocks/>
        </xdr:cNvSpPr>
      </xdr:nvSpPr>
      <xdr:spPr>
        <a:xfrm>
          <a:off x="790575" y="1610772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516</xdr:row>
      <xdr:rowOff>28575</xdr:rowOff>
    </xdr:from>
    <xdr:to>
      <xdr:col>11</xdr:col>
      <xdr:colOff>66675</xdr:colOff>
      <xdr:row>516</xdr:row>
      <xdr:rowOff>295275</xdr:rowOff>
    </xdr:to>
    <xdr:grpSp>
      <xdr:nvGrpSpPr>
        <xdr:cNvPr id="173" name="Group 425"/>
        <xdr:cNvGrpSpPr>
          <a:grpSpLocks/>
        </xdr:cNvGrpSpPr>
      </xdr:nvGrpSpPr>
      <xdr:grpSpPr>
        <a:xfrm>
          <a:off x="828675" y="162220275"/>
          <a:ext cx="914400" cy="266700"/>
          <a:chOff x="87" y="1884"/>
          <a:chExt cx="96" cy="28"/>
        </a:xfrm>
        <a:solidFill>
          <a:srgbClr val="FFFFFF"/>
        </a:solidFill>
      </xdr:grpSpPr>
      <xdr:sp>
        <xdr:nvSpPr>
          <xdr:cNvPr id="174" name="Line 42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5" name="Line 42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6" name="Line 42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516</xdr:row>
      <xdr:rowOff>28575</xdr:rowOff>
    </xdr:from>
    <xdr:to>
      <xdr:col>24</xdr:col>
      <xdr:colOff>85725</xdr:colOff>
      <xdr:row>516</xdr:row>
      <xdr:rowOff>285750</xdr:rowOff>
    </xdr:to>
    <xdr:grpSp>
      <xdr:nvGrpSpPr>
        <xdr:cNvPr id="177" name="Group 429"/>
        <xdr:cNvGrpSpPr>
          <a:grpSpLocks/>
        </xdr:cNvGrpSpPr>
      </xdr:nvGrpSpPr>
      <xdr:grpSpPr>
        <a:xfrm>
          <a:off x="1990725" y="162220275"/>
          <a:ext cx="1752600" cy="257175"/>
          <a:chOff x="209" y="1884"/>
          <a:chExt cx="184" cy="27"/>
        </a:xfrm>
        <a:solidFill>
          <a:srgbClr val="FFFFFF"/>
        </a:solidFill>
      </xdr:grpSpPr>
      <xdr:sp>
        <xdr:nvSpPr>
          <xdr:cNvPr id="178" name="Line 43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9" name="Line 43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0" name="Line 43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512</xdr:row>
      <xdr:rowOff>133350</xdr:rowOff>
    </xdr:from>
    <xdr:to>
      <xdr:col>14</xdr:col>
      <xdr:colOff>95250</xdr:colOff>
      <xdr:row>513</xdr:row>
      <xdr:rowOff>180975</xdr:rowOff>
    </xdr:to>
    <xdr:sp>
      <xdr:nvSpPr>
        <xdr:cNvPr id="181" name="AutoShape 433"/>
        <xdr:cNvSpPr>
          <a:spLocks/>
        </xdr:cNvSpPr>
      </xdr:nvSpPr>
      <xdr:spPr>
        <a:xfrm>
          <a:off x="2152650" y="1610677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512</xdr:row>
      <xdr:rowOff>142875</xdr:rowOff>
    </xdr:from>
    <xdr:to>
      <xdr:col>5</xdr:col>
      <xdr:colOff>104775</xdr:colOff>
      <xdr:row>513</xdr:row>
      <xdr:rowOff>171450</xdr:rowOff>
    </xdr:to>
    <xdr:sp>
      <xdr:nvSpPr>
        <xdr:cNvPr id="182" name="AutoShape 434"/>
        <xdr:cNvSpPr>
          <a:spLocks/>
        </xdr:cNvSpPr>
      </xdr:nvSpPr>
      <xdr:spPr>
        <a:xfrm>
          <a:off x="790575" y="1610772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516</xdr:row>
      <xdr:rowOff>28575</xdr:rowOff>
    </xdr:from>
    <xdr:to>
      <xdr:col>11</xdr:col>
      <xdr:colOff>66675</xdr:colOff>
      <xdr:row>516</xdr:row>
      <xdr:rowOff>295275</xdr:rowOff>
    </xdr:to>
    <xdr:grpSp>
      <xdr:nvGrpSpPr>
        <xdr:cNvPr id="183" name="Group 435"/>
        <xdr:cNvGrpSpPr>
          <a:grpSpLocks/>
        </xdr:cNvGrpSpPr>
      </xdr:nvGrpSpPr>
      <xdr:grpSpPr>
        <a:xfrm>
          <a:off x="828675" y="162220275"/>
          <a:ext cx="914400" cy="266700"/>
          <a:chOff x="87" y="1884"/>
          <a:chExt cx="96" cy="28"/>
        </a:xfrm>
        <a:solidFill>
          <a:srgbClr val="FFFFFF"/>
        </a:solidFill>
      </xdr:grpSpPr>
      <xdr:sp>
        <xdr:nvSpPr>
          <xdr:cNvPr id="184" name="Line 43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5" name="Line 43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6" name="Line 43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516</xdr:row>
      <xdr:rowOff>28575</xdr:rowOff>
    </xdr:from>
    <xdr:to>
      <xdr:col>24</xdr:col>
      <xdr:colOff>85725</xdr:colOff>
      <xdr:row>516</xdr:row>
      <xdr:rowOff>285750</xdr:rowOff>
    </xdr:to>
    <xdr:grpSp>
      <xdr:nvGrpSpPr>
        <xdr:cNvPr id="187" name="Group 439"/>
        <xdr:cNvGrpSpPr>
          <a:grpSpLocks/>
        </xdr:cNvGrpSpPr>
      </xdr:nvGrpSpPr>
      <xdr:grpSpPr>
        <a:xfrm>
          <a:off x="1990725" y="162220275"/>
          <a:ext cx="1752600" cy="257175"/>
          <a:chOff x="209" y="1884"/>
          <a:chExt cx="184" cy="27"/>
        </a:xfrm>
        <a:solidFill>
          <a:srgbClr val="FFFFFF"/>
        </a:solidFill>
      </xdr:grpSpPr>
      <xdr:sp>
        <xdr:nvSpPr>
          <xdr:cNvPr id="188" name="Line 44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9" name="Line 44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0" name="Line 44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578</xdr:row>
      <xdr:rowOff>133350</xdr:rowOff>
    </xdr:from>
    <xdr:to>
      <xdr:col>14</xdr:col>
      <xdr:colOff>95250</xdr:colOff>
      <xdr:row>579</xdr:row>
      <xdr:rowOff>180975</xdr:rowOff>
    </xdr:to>
    <xdr:sp>
      <xdr:nvSpPr>
        <xdr:cNvPr id="191" name="AutoShape 443"/>
        <xdr:cNvSpPr>
          <a:spLocks/>
        </xdr:cNvSpPr>
      </xdr:nvSpPr>
      <xdr:spPr>
        <a:xfrm>
          <a:off x="2152650" y="1818132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578</xdr:row>
      <xdr:rowOff>142875</xdr:rowOff>
    </xdr:from>
    <xdr:to>
      <xdr:col>5</xdr:col>
      <xdr:colOff>104775</xdr:colOff>
      <xdr:row>579</xdr:row>
      <xdr:rowOff>171450</xdr:rowOff>
    </xdr:to>
    <xdr:sp>
      <xdr:nvSpPr>
        <xdr:cNvPr id="192" name="AutoShape 444"/>
        <xdr:cNvSpPr>
          <a:spLocks/>
        </xdr:cNvSpPr>
      </xdr:nvSpPr>
      <xdr:spPr>
        <a:xfrm>
          <a:off x="790575" y="1818227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582</xdr:row>
      <xdr:rowOff>28575</xdr:rowOff>
    </xdr:from>
    <xdr:to>
      <xdr:col>11</xdr:col>
      <xdr:colOff>66675</xdr:colOff>
      <xdr:row>582</xdr:row>
      <xdr:rowOff>295275</xdr:rowOff>
    </xdr:to>
    <xdr:grpSp>
      <xdr:nvGrpSpPr>
        <xdr:cNvPr id="193" name="Group 445"/>
        <xdr:cNvGrpSpPr>
          <a:grpSpLocks/>
        </xdr:cNvGrpSpPr>
      </xdr:nvGrpSpPr>
      <xdr:grpSpPr>
        <a:xfrm>
          <a:off x="828675" y="182965725"/>
          <a:ext cx="914400" cy="266700"/>
          <a:chOff x="87" y="1884"/>
          <a:chExt cx="96" cy="28"/>
        </a:xfrm>
        <a:solidFill>
          <a:srgbClr val="FFFFFF"/>
        </a:solidFill>
      </xdr:grpSpPr>
      <xdr:sp>
        <xdr:nvSpPr>
          <xdr:cNvPr id="194" name="Line 44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5" name="Line 44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6" name="Line 44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582</xdr:row>
      <xdr:rowOff>28575</xdr:rowOff>
    </xdr:from>
    <xdr:to>
      <xdr:col>24</xdr:col>
      <xdr:colOff>85725</xdr:colOff>
      <xdr:row>582</xdr:row>
      <xdr:rowOff>285750</xdr:rowOff>
    </xdr:to>
    <xdr:grpSp>
      <xdr:nvGrpSpPr>
        <xdr:cNvPr id="197" name="Group 449"/>
        <xdr:cNvGrpSpPr>
          <a:grpSpLocks/>
        </xdr:cNvGrpSpPr>
      </xdr:nvGrpSpPr>
      <xdr:grpSpPr>
        <a:xfrm>
          <a:off x="1990725" y="182965725"/>
          <a:ext cx="1752600" cy="257175"/>
          <a:chOff x="209" y="1884"/>
          <a:chExt cx="184" cy="27"/>
        </a:xfrm>
        <a:solidFill>
          <a:srgbClr val="FFFFFF"/>
        </a:solidFill>
      </xdr:grpSpPr>
      <xdr:sp>
        <xdr:nvSpPr>
          <xdr:cNvPr id="198" name="Line 45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9" name="Line 45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0" name="Line 45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578</xdr:row>
      <xdr:rowOff>133350</xdr:rowOff>
    </xdr:from>
    <xdr:to>
      <xdr:col>14</xdr:col>
      <xdr:colOff>95250</xdr:colOff>
      <xdr:row>579</xdr:row>
      <xdr:rowOff>180975</xdr:rowOff>
    </xdr:to>
    <xdr:sp>
      <xdr:nvSpPr>
        <xdr:cNvPr id="201" name="AutoShape 453"/>
        <xdr:cNvSpPr>
          <a:spLocks/>
        </xdr:cNvSpPr>
      </xdr:nvSpPr>
      <xdr:spPr>
        <a:xfrm>
          <a:off x="2152650" y="1818132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578</xdr:row>
      <xdr:rowOff>142875</xdr:rowOff>
    </xdr:from>
    <xdr:to>
      <xdr:col>5</xdr:col>
      <xdr:colOff>104775</xdr:colOff>
      <xdr:row>579</xdr:row>
      <xdr:rowOff>171450</xdr:rowOff>
    </xdr:to>
    <xdr:sp>
      <xdr:nvSpPr>
        <xdr:cNvPr id="202" name="AutoShape 454"/>
        <xdr:cNvSpPr>
          <a:spLocks/>
        </xdr:cNvSpPr>
      </xdr:nvSpPr>
      <xdr:spPr>
        <a:xfrm>
          <a:off x="790575" y="1818227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582</xdr:row>
      <xdr:rowOff>28575</xdr:rowOff>
    </xdr:from>
    <xdr:to>
      <xdr:col>11</xdr:col>
      <xdr:colOff>66675</xdr:colOff>
      <xdr:row>582</xdr:row>
      <xdr:rowOff>295275</xdr:rowOff>
    </xdr:to>
    <xdr:grpSp>
      <xdr:nvGrpSpPr>
        <xdr:cNvPr id="203" name="Group 455"/>
        <xdr:cNvGrpSpPr>
          <a:grpSpLocks/>
        </xdr:cNvGrpSpPr>
      </xdr:nvGrpSpPr>
      <xdr:grpSpPr>
        <a:xfrm>
          <a:off x="828675" y="182965725"/>
          <a:ext cx="914400" cy="266700"/>
          <a:chOff x="87" y="1884"/>
          <a:chExt cx="96" cy="28"/>
        </a:xfrm>
        <a:solidFill>
          <a:srgbClr val="FFFFFF"/>
        </a:solidFill>
      </xdr:grpSpPr>
      <xdr:sp>
        <xdr:nvSpPr>
          <xdr:cNvPr id="204" name="Line 45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5" name="Line 45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6" name="Line 45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582</xdr:row>
      <xdr:rowOff>28575</xdr:rowOff>
    </xdr:from>
    <xdr:to>
      <xdr:col>24</xdr:col>
      <xdr:colOff>85725</xdr:colOff>
      <xdr:row>582</xdr:row>
      <xdr:rowOff>285750</xdr:rowOff>
    </xdr:to>
    <xdr:grpSp>
      <xdr:nvGrpSpPr>
        <xdr:cNvPr id="207" name="Group 459"/>
        <xdr:cNvGrpSpPr>
          <a:grpSpLocks/>
        </xdr:cNvGrpSpPr>
      </xdr:nvGrpSpPr>
      <xdr:grpSpPr>
        <a:xfrm>
          <a:off x="1990725" y="182965725"/>
          <a:ext cx="1752600" cy="257175"/>
          <a:chOff x="209" y="1884"/>
          <a:chExt cx="184" cy="27"/>
        </a:xfrm>
        <a:solidFill>
          <a:srgbClr val="FFFFFF"/>
        </a:solidFill>
      </xdr:grpSpPr>
      <xdr:sp>
        <xdr:nvSpPr>
          <xdr:cNvPr id="208" name="Line 46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9" name="Line 46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0" name="Line 46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897</xdr:row>
      <xdr:rowOff>133350</xdr:rowOff>
    </xdr:from>
    <xdr:to>
      <xdr:col>23</xdr:col>
      <xdr:colOff>95250</xdr:colOff>
      <xdr:row>898</xdr:row>
      <xdr:rowOff>180975</xdr:rowOff>
    </xdr:to>
    <xdr:sp>
      <xdr:nvSpPr>
        <xdr:cNvPr id="211" name="AutoShape 463"/>
        <xdr:cNvSpPr>
          <a:spLocks/>
        </xdr:cNvSpPr>
      </xdr:nvSpPr>
      <xdr:spPr>
        <a:xfrm>
          <a:off x="3524250" y="2820828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897</xdr:row>
      <xdr:rowOff>142875</xdr:rowOff>
    </xdr:from>
    <xdr:to>
      <xdr:col>5</xdr:col>
      <xdr:colOff>104775</xdr:colOff>
      <xdr:row>898</xdr:row>
      <xdr:rowOff>171450</xdr:rowOff>
    </xdr:to>
    <xdr:sp>
      <xdr:nvSpPr>
        <xdr:cNvPr id="212" name="AutoShape 464"/>
        <xdr:cNvSpPr>
          <a:spLocks/>
        </xdr:cNvSpPr>
      </xdr:nvSpPr>
      <xdr:spPr>
        <a:xfrm>
          <a:off x="790575" y="2820924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901</xdr:row>
      <xdr:rowOff>28575</xdr:rowOff>
    </xdr:from>
    <xdr:to>
      <xdr:col>11</xdr:col>
      <xdr:colOff>66675</xdr:colOff>
      <xdr:row>901</xdr:row>
      <xdr:rowOff>295275</xdr:rowOff>
    </xdr:to>
    <xdr:grpSp>
      <xdr:nvGrpSpPr>
        <xdr:cNvPr id="213" name="Group 465"/>
        <xdr:cNvGrpSpPr>
          <a:grpSpLocks/>
        </xdr:cNvGrpSpPr>
      </xdr:nvGrpSpPr>
      <xdr:grpSpPr>
        <a:xfrm>
          <a:off x="828675" y="283235400"/>
          <a:ext cx="914400" cy="266700"/>
          <a:chOff x="87" y="1884"/>
          <a:chExt cx="96" cy="28"/>
        </a:xfrm>
        <a:solidFill>
          <a:srgbClr val="FFFFFF"/>
        </a:solidFill>
      </xdr:grpSpPr>
      <xdr:sp>
        <xdr:nvSpPr>
          <xdr:cNvPr id="214" name="Line 46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5" name="Line 46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6" name="Line 46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901</xdr:row>
      <xdr:rowOff>28575</xdr:rowOff>
    </xdr:from>
    <xdr:to>
      <xdr:col>24</xdr:col>
      <xdr:colOff>85725</xdr:colOff>
      <xdr:row>901</xdr:row>
      <xdr:rowOff>285750</xdr:rowOff>
    </xdr:to>
    <xdr:grpSp>
      <xdr:nvGrpSpPr>
        <xdr:cNvPr id="217" name="Group 469"/>
        <xdr:cNvGrpSpPr>
          <a:grpSpLocks/>
        </xdr:cNvGrpSpPr>
      </xdr:nvGrpSpPr>
      <xdr:grpSpPr>
        <a:xfrm>
          <a:off x="1990725" y="283235400"/>
          <a:ext cx="1752600" cy="257175"/>
          <a:chOff x="209" y="1884"/>
          <a:chExt cx="184" cy="27"/>
        </a:xfrm>
        <a:solidFill>
          <a:srgbClr val="FFFFFF"/>
        </a:solidFill>
      </xdr:grpSpPr>
      <xdr:sp>
        <xdr:nvSpPr>
          <xdr:cNvPr id="218" name="Line 47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9" name="Line 47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0" name="Line 47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897</xdr:row>
      <xdr:rowOff>133350</xdr:rowOff>
    </xdr:from>
    <xdr:to>
      <xdr:col>23</xdr:col>
      <xdr:colOff>95250</xdr:colOff>
      <xdr:row>898</xdr:row>
      <xdr:rowOff>180975</xdr:rowOff>
    </xdr:to>
    <xdr:sp>
      <xdr:nvSpPr>
        <xdr:cNvPr id="221" name="AutoShape 473"/>
        <xdr:cNvSpPr>
          <a:spLocks/>
        </xdr:cNvSpPr>
      </xdr:nvSpPr>
      <xdr:spPr>
        <a:xfrm>
          <a:off x="3524250" y="2820828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897</xdr:row>
      <xdr:rowOff>142875</xdr:rowOff>
    </xdr:from>
    <xdr:to>
      <xdr:col>5</xdr:col>
      <xdr:colOff>104775</xdr:colOff>
      <xdr:row>898</xdr:row>
      <xdr:rowOff>171450</xdr:rowOff>
    </xdr:to>
    <xdr:sp>
      <xdr:nvSpPr>
        <xdr:cNvPr id="222" name="AutoShape 474"/>
        <xdr:cNvSpPr>
          <a:spLocks/>
        </xdr:cNvSpPr>
      </xdr:nvSpPr>
      <xdr:spPr>
        <a:xfrm>
          <a:off x="790575" y="2820924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901</xdr:row>
      <xdr:rowOff>28575</xdr:rowOff>
    </xdr:from>
    <xdr:to>
      <xdr:col>11</xdr:col>
      <xdr:colOff>66675</xdr:colOff>
      <xdr:row>901</xdr:row>
      <xdr:rowOff>295275</xdr:rowOff>
    </xdr:to>
    <xdr:grpSp>
      <xdr:nvGrpSpPr>
        <xdr:cNvPr id="223" name="Group 475"/>
        <xdr:cNvGrpSpPr>
          <a:grpSpLocks/>
        </xdr:cNvGrpSpPr>
      </xdr:nvGrpSpPr>
      <xdr:grpSpPr>
        <a:xfrm>
          <a:off x="828675" y="283235400"/>
          <a:ext cx="914400" cy="266700"/>
          <a:chOff x="87" y="1884"/>
          <a:chExt cx="96" cy="28"/>
        </a:xfrm>
        <a:solidFill>
          <a:srgbClr val="FFFFFF"/>
        </a:solidFill>
      </xdr:grpSpPr>
      <xdr:sp>
        <xdr:nvSpPr>
          <xdr:cNvPr id="224" name="Line 47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5" name="Line 47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6" name="Line 47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901</xdr:row>
      <xdr:rowOff>28575</xdr:rowOff>
    </xdr:from>
    <xdr:to>
      <xdr:col>24</xdr:col>
      <xdr:colOff>85725</xdr:colOff>
      <xdr:row>901</xdr:row>
      <xdr:rowOff>285750</xdr:rowOff>
    </xdr:to>
    <xdr:grpSp>
      <xdr:nvGrpSpPr>
        <xdr:cNvPr id="227" name="Group 479"/>
        <xdr:cNvGrpSpPr>
          <a:grpSpLocks/>
        </xdr:cNvGrpSpPr>
      </xdr:nvGrpSpPr>
      <xdr:grpSpPr>
        <a:xfrm>
          <a:off x="1990725" y="283235400"/>
          <a:ext cx="1752600" cy="257175"/>
          <a:chOff x="209" y="1884"/>
          <a:chExt cx="184" cy="27"/>
        </a:xfrm>
        <a:solidFill>
          <a:srgbClr val="FFFFFF"/>
        </a:solidFill>
      </xdr:grpSpPr>
      <xdr:sp>
        <xdr:nvSpPr>
          <xdr:cNvPr id="228" name="Line 48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9" name="Line 48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0" name="Line 48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897</xdr:row>
      <xdr:rowOff>133350</xdr:rowOff>
    </xdr:from>
    <xdr:to>
      <xdr:col>23</xdr:col>
      <xdr:colOff>95250</xdr:colOff>
      <xdr:row>898</xdr:row>
      <xdr:rowOff>180975</xdr:rowOff>
    </xdr:to>
    <xdr:sp>
      <xdr:nvSpPr>
        <xdr:cNvPr id="231" name="AutoShape 483"/>
        <xdr:cNvSpPr>
          <a:spLocks/>
        </xdr:cNvSpPr>
      </xdr:nvSpPr>
      <xdr:spPr>
        <a:xfrm>
          <a:off x="3524250" y="2820828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897</xdr:row>
      <xdr:rowOff>142875</xdr:rowOff>
    </xdr:from>
    <xdr:to>
      <xdr:col>5</xdr:col>
      <xdr:colOff>104775</xdr:colOff>
      <xdr:row>898</xdr:row>
      <xdr:rowOff>171450</xdr:rowOff>
    </xdr:to>
    <xdr:sp>
      <xdr:nvSpPr>
        <xdr:cNvPr id="232" name="AutoShape 484"/>
        <xdr:cNvSpPr>
          <a:spLocks/>
        </xdr:cNvSpPr>
      </xdr:nvSpPr>
      <xdr:spPr>
        <a:xfrm>
          <a:off x="790575" y="2820924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901</xdr:row>
      <xdr:rowOff>28575</xdr:rowOff>
    </xdr:from>
    <xdr:to>
      <xdr:col>11</xdr:col>
      <xdr:colOff>66675</xdr:colOff>
      <xdr:row>901</xdr:row>
      <xdr:rowOff>295275</xdr:rowOff>
    </xdr:to>
    <xdr:grpSp>
      <xdr:nvGrpSpPr>
        <xdr:cNvPr id="233" name="Group 485"/>
        <xdr:cNvGrpSpPr>
          <a:grpSpLocks/>
        </xdr:cNvGrpSpPr>
      </xdr:nvGrpSpPr>
      <xdr:grpSpPr>
        <a:xfrm>
          <a:off x="828675" y="283235400"/>
          <a:ext cx="914400" cy="266700"/>
          <a:chOff x="87" y="1884"/>
          <a:chExt cx="96" cy="28"/>
        </a:xfrm>
        <a:solidFill>
          <a:srgbClr val="FFFFFF"/>
        </a:solidFill>
      </xdr:grpSpPr>
      <xdr:sp>
        <xdr:nvSpPr>
          <xdr:cNvPr id="234" name="Line 48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5" name="Line 48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6" name="Line 48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901</xdr:row>
      <xdr:rowOff>28575</xdr:rowOff>
    </xdr:from>
    <xdr:to>
      <xdr:col>24</xdr:col>
      <xdr:colOff>85725</xdr:colOff>
      <xdr:row>901</xdr:row>
      <xdr:rowOff>285750</xdr:rowOff>
    </xdr:to>
    <xdr:grpSp>
      <xdr:nvGrpSpPr>
        <xdr:cNvPr id="237" name="Group 489"/>
        <xdr:cNvGrpSpPr>
          <a:grpSpLocks/>
        </xdr:cNvGrpSpPr>
      </xdr:nvGrpSpPr>
      <xdr:grpSpPr>
        <a:xfrm>
          <a:off x="1990725" y="283235400"/>
          <a:ext cx="1752600" cy="257175"/>
          <a:chOff x="209" y="1884"/>
          <a:chExt cx="184" cy="27"/>
        </a:xfrm>
        <a:solidFill>
          <a:srgbClr val="FFFFFF"/>
        </a:solidFill>
      </xdr:grpSpPr>
      <xdr:sp>
        <xdr:nvSpPr>
          <xdr:cNvPr id="238" name="Line 49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9" name="Line 49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0" name="Line 49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897</xdr:row>
      <xdr:rowOff>133350</xdr:rowOff>
    </xdr:from>
    <xdr:to>
      <xdr:col>23</xdr:col>
      <xdr:colOff>95250</xdr:colOff>
      <xdr:row>898</xdr:row>
      <xdr:rowOff>180975</xdr:rowOff>
    </xdr:to>
    <xdr:sp>
      <xdr:nvSpPr>
        <xdr:cNvPr id="241" name="AutoShape 493"/>
        <xdr:cNvSpPr>
          <a:spLocks/>
        </xdr:cNvSpPr>
      </xdr:nvSpPr>
      <xdr:spPr>
        <a:xfrm>
          <a:off x="3524250" y="2820828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897</xdr:row>
      <xdr:rowOff>142875</xdr:rowOff>
    </xdr:from>
    <xdr:to>
      <xdr:col>5</xdr:col>
      <xdr:colOff>104775</xdr:colOff>
      <xdr:row>898</xdr:row>
      <xdr:rowOff>171450</xdr:rowOff>
    </xdr:to>
    <xdr:sp>
      <xdr:nvSpPr>
        <xdr:cNvPr id="242" name="AutoShape 494"/>
        <xdr:cNvSpPr>
          <a:spLocks/>
        </xdr:cNvSpPr>
      </xdr:nvSpPr>
      <xdr:spPr>
        <a:xfrm>
          <a:off x="790575" y="2820924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901</xdr:row>
      <xdr:rowOff>28575</xdr:rowOff>
    </xdr:from>
    <xdr:to>
      <xdr:col>11</xdr:col>
      <xdr:colOff>66675</xdr:colOff>
      <xdr:row>901</xdr:row>
      <xdr:rowOff>295275</xdr:rowOff>
    </xdr:to>
    <xdr:grpSp>
      <xdr:nvGrpSpPr>
        <xdr:cNvPr id="243" name="Group 495"/>
        <xdr:cNvGrpSpPr>
          <a:grpSpLocks/>
        </xdr:cNvGrpSpPr>
      </xdr:nvGrpSpPr>
      <xdr:grpSpPr>
        <a:xfrm>
          <a:off x="828675" y="283235400"/>
          <a:ext cx="914400" cy="266700"/>
          <a:chOff x="87" y="1884"/>
          <a:chExt cx="96" cy="28"/>
        </a:xfrm>
        <a:solidFill>
          <a:srgbClr val="FFFFFF"/>
        </a:solidFill>
      </xdr:grpSpPr>
      <xdr:sp>
        <xdr:nvSpPr>
          <xdr:cNvPr id="244" name="Line 49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5" name="Line 49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6" name="Line 49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901</xdr:row>
      <xdr:rowOff>28575</xdr:rowOff>
    </xdr:from>
    <xdr:to>
      <xdr:col>24</xdr:col>
      <xdr:colOff>85725</xdr:colOff>
      <xdr:row>901</xdr:row>
      <xdr:rowOff>285750</xdr:rowOff>
    </xdr:to>
    <xdr:grpSp>
      <xdr:nvGrpSpPr>
        <xdr:cNvPr id="247" name="Group 499"/>
        <xdr:cNvGrpSpPr>
          <a:grpSpLocks/>
        </xdr:cNvGrpSpPr>
      </xdr:nvGrpSpPr>
      <xdr:grpSpPr>
        <a:xfrm>
          <a:off x="1990725" y="283235400"/>
          <a:ext cx="1752600" cy="257175"/>
          <a:chOff x="209" y="1884"/>
          <a:chExt cx="184" cy="27"/>
        </a:xfrm>
        <a:solidFill>
          <a:srgbClr val="FFFFFF"/>
        </a:solidFill>
      </xdr:grpSpPr>
      <xdr:sp>
        <xdr:nvSpPr>
          <xdr:cNvPr id="248" name="Line 50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9" name="Line 50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0" name="Line 50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745</xdr:row>
      <xdr:rowOff>133350</xdr:rowOff>
    </xdr:from>
    <xdr:to>
      <xdr:col>14</xdr:col>
      <xdr:colOff>95250</xdr:colOff>
      <xdr:row>746</xdr:row>
      <xdr:rowOff>180975</xdr:rowOff>
    </xdr:to>
    <xdr:sp>
      <xdr:nvSpPr>
        <xdr:cNvPr id="251" name="AutoShape 577"/>
        <xdr:cNvSpPr>
          <a:spLocks/>
        </xdr:cNvSpPr>
      </xdr:nvSpPr>
      <xdr:spPr>
        <a:xfrm>
          <a:off x="2152650" y="2343054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745</xdr:row>
      <xdr:rowOff>142875</xdr:rowOff>
    </xdr:from>
    <xdr:to>
      <xdr:col>5</xdr:col>
      <xdr:colOff>104775</xdr:colOff>
      <xdr:row>746</xdr:row>
      <xdr:rowOff>171450</xdr:rowOff>
    </xdr:to>
    <xdr:sp>
      <xdr:nvSpPr>
        <xdr:cNvPr id="252" name="AutoShape 578"/>
        <xdr:cNvSpPr>
          <a:spLocks/>
        </xdr:cNvSpPr>
      </xdr:nvSpPr>
      <xdr:spPr>
        <a:xfrm>
          <a:off x="790575" y="2343150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749</xdr:row>
      <xdr:rowOff>28575</xdr:rowOff>
    </xdr:from>
    <xdr:to>
      <xdr:col>11</xdr:col>
      <xdr:colOff>66675</xdr:colOff>
      <xdr:row>749</xdr:row>
      <xdr:rowOff>295275</xdr:rowOff>
    </xdr:to>
    <xdr:grpSp>
      <xdr:nvGrpSpPr>
        <xdr:cNvPr id="253" name="Group 579"/>
        <xdr:cNvGrpSpPr>
          <a:grpSpLocks/>
        </xdr:cNvGrpSpPr>
      </xdr:nvGrpSpPr>
      <xdr:grpSpPr>
        <a:xfrm>
          <a:off x="828675" y="235458000"/>
          <a:ext cx="914400" cy="266700"/>
          <a:chOff x="87" y="1884"/>
          <a:chExt cx="96" cy="28"/>
        </a:xfrm>
        <a:solidFill>
          <a:srgbClr val="FFFFFF"/>
        </a:solidFill>
      </xdr:grpSpPr>
      <xdr:sp>
        <xdr:nvSpPr>
          <xdr:cNvPr id="254" name="Line 58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5" name="Line 58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6" name="Line 58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749</xdr:row>
      <xdr:rowOff>28575</xdr:rowOff>
    </xdr:from>
    <xdr:to>
      <xdr:col>24</xdr:col>
      <xdr:colOff>85725</xdr:colOff>
      <xdr:row>749</xdr:row>
      <xdr:rowOff>285750</xdr:rowOff>
    </xdr:to>
    <xdr:grpSp>
      <xdr:nvGrpSpPr>
        <xdr:cNvPr id="257" name="Group 583"/>
        <xdr:cNvGrpSpPr>
          <a:grpSpLocks/>
        </xdr:cNvGrpSpPr>
      </xdr:nvGrpSpPr>
      <xdr:grpSpPr>
        <a:xfrm>
          <a:off x="1990725" y="235458000"/>
          <a:ext cx="1752600" cy="257175"/>
          <a:chOff x="209" y="1884"/>
          <a:chExt cx="184" cy="27"/>
        </a:xfrm>
        <a:solidFill>
          <a:srgbClr val="FFFFFF"/>
        </a:solidFill>
      </xdr:grpSpPr>
      <xdr:sp>
        <xdr:nvSpPr>
          <xdr:cNvPr id="258" name="Line 58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9" name="Line 58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0" name="Line 58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745</xdr:row>
      <xdr:rowOff>133350</xdr:rowOff>
    </xdr:from>
    <xdr:to>
      <xdr:col>14</xdr:col>
      <xdr:colOff>95250</xdr:colOff>
      <xdr:row>746</xdr:row>
      <xdr:rowOff>180975</xdr:rowOff>
    </xdr:to>
    <xdr:sp>
      <xdr:nvSpPr>
        <xdr:cNvPr id="261" name="AutoShape 587"/>
        <xdr:cNvSpPr>
          <a:spLocks/>
        </xdr:cNvSpPr>
      </xdr:nvSpPr>
      <xdr:spPr>
        <a:xfrm>
          <a:off x="2152650" y="2343054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745</xdr:row>
      <xdr:rowOff>142875</xdr:rowOff>
    </xdr:from>
    <xdr:to>
      <xdr:col>5</xdr:col>
      <xdr:colOff>104775</xdr:colOff>
      <xdr:row>746</xdr:row>
      <xdr:rowOff>171450</xdr:rowOff>
    </xdr:to>
    <xdr:sp>
      <xdr:nvSpPr>
        <xdr:cNvPr id="262" name="AutoShape 588"/>
        <xdr:cNvSpPr>
          <a:spLocks/>
        </xdr:cNvSpPr>
      </xdr:nvSpPr>
      <xdr:spPr>
        <a:xfrm>
          <a:off x="790575" y="2343150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749</xdr:row>
      <xdr:rowOff>28575</xdr:rowOff>
    </xdr:from>
    <xdr:to>
      <xdr:col>11</xdr:col>
      <xdr:colOff>66675</xdr:colOff>
      <xdr:row>749</xdr:row>
      <xdr:rowOff>295275</xdr:rowOff>
    </xdr:to>
    <xdr:grpSp>
      <xdr:nvGrpSpPr>
        <xdr:cNvPr id="263" name="Group 589"/>
        <xdr:cNvGrpSpPr>
          <a:grpSpLocks/>
        </xdr:cNvGrpSpPr>
      </xdr:nvGrpSpPr>
      <xdr:grpSpPr>
        <a:xfrm>
          <a:off x="828675" y="235458000"/>
          <a:ext cx="914400" cy="266700"/>
          <a:chOff x="87" y="1884"/>
          <a:chExt cx="96" cy="28"/>
        </a:xfrm>
        <a:solidFill>
          <a:srgbClr val="FFFFFF"/>
        </a:solidFill>
      </xdr:grpSpPr>
      <xdr:sp>
        <xdr:nvSpPr>
          <xdr:cNvPr id="264" name="Line 59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5" name="Line 59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6" name="Line 59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749</xdr:row>
      <xdr:rowOff>28575</xdr:rowOff>
    </xdr:from>
    <xdr:to>
      <xdr:col>24</xdr:col>
      <xdr:colOff>85725</xdr:colOff>
      <xdr:row>749</xdr:row>
      <xdr:rowOff>285750</xdr:rowOff>
    </xdr:to>
    <xdr:grpSp>
      <xdr:nvGrpSpPr>
        <xdr:cNvPr id="267" name="Group 593"/>
        <xdr:cNvGrpSpPr>
          <a:grpSpLocks/>
        </xdr:cNvGrpSpPr>
      </xdr:nvGrpSpPr>
      <xdr:grpSpPr>
        <a:xfrm>
          <a:off x="1990725" y="235458000"/>
          <a:ext cx="1752600" cy="257175"/>
          <a:chOff x="209" y="1884"/>
          <a:chExt cx="184" cy="27"/>
        </a:xfrm>
        <a:solidFill>
          <a:srgbClr val="FFFFFF"/>
        </a:solidFill>
      </xdr:grpSpPr>
      <xdr:sp>
        <xdr:nvSpPr>
          <xdr:cNvPr id="268" name="Line 59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9" name="Line 59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0" name="Line 59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811</xdr:row>
      <xdr:rowOff>133350</xdr:rowOff>
    </xdr:from>
    <xdr:to>
      <xdr:col>14</xdr:col>
      <xdr:colOff>95250</xdr:colOff>
      <xdr:row>812</xdr:row>
      <xdr:rowOff>180975</xdr:rowOff>
    </xdr:to>
    <xdr:sp>
      <xdr:nvSpPr>
        <xdr:cNvPr id="271" name="AutoShape 597"/>
        <xdr:cNvSpPr>
          <a:spLocks/>
        </xdr:cNvSpPr>
      </xdr:nvSpPr>
      <xdr:spPr>
        <a:xfrm>
          <a:off x="2152650" y="2550509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811</xdr:row>
      <xdr:rowOff>142875</xdr:rowOff>
    </xdr:from>
    <xdr:to>
      <xdr:col>5</xdr:col>
      <xdr:colOff>104775</xdr:colOff>
      <xdr:row>812</xdr:row>
      <xdr:rowOff>171450</xdr:rowOff>
    </xdr:to>
    <xdr:sp>
      <xdr:nvSpPr>
        <xdr:cNvPr id="272" name="AutoShape 598"/>
        <xdr:cNvSpPr>
          <a:spLocks/>
        </xdr:cNvSpPr>
      </xdr:nvSpPr>
      <xdr:spPr>
        <a:xfrm>
          <a:off x="790575" y="2550604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815</xdr:row>
      <xdr:rowOff>28575</xdr:rowOff>
    </xdr:from>
    <xdr:to>
      <xdr:col>11</xdr:col>
      <xdr:colOff>66675</xdr:colOff>
      <xdr:row>815</xdr:row>
      <xdr:rowOff>295275</xdr:rowOff>
    </xdr:to>
    <xdr:grpSp>
      <xdr:nvGrpSpPr>
        <xdr:cNvPr id="273" name="Group 599"/>
        <xdr:cNvGrpSpPr>
          <a:grpSpLocks/>
        </xdr:cNvGrpSpPr>
      </xdr:nvGrpSpPr>
      <xdr:grpSpPr>
        <a:xfrm>
          <a:off x="828675" y="256203450"/>
          <a:ext cx="914400" cy="266700"/>
          <a:chOff x="87" y="1884"/>
          <a:chExt cx="96" cy="28"/>
        </a:xfrm>
        <a:solidFill>
          <a:srgbClr val="FFFFFF"/>
        </a:solidFill>
      </xdr:grpSpPr>
      <xdr:sp>
        <xdr:nvSpPr>
          <xdr:cNvPr id="274" name="Line 60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5" name="Line 60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6" name="Line 60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815</xdr:row>
      <xdr:rowOff>28575</xdr:rowOff>
    </xdr:from>
    <xdr:to>
      <xdr:col>24</xdr:col>
      <xdr:colOff>85725</xdr:colOff>
      <xdr:row>815</xdr:row>
      <xdr:rowOff>285750</xdr:rowOff>
    </xdr:to>
    <xdr:grpSp>
      <xdr:nvGrpSpPr>
        <xdr:cNvPr id="277" name="Group 603"/>
        <xdr:cNvGrpSpPr>
          <a:grpSpLocks/>
        </xdr:cNvGrpSpPr>
      </xdr:nvGrpSpPr>
      <xdr:grpSpPr>
        <a:xfrm>
          <a:off x="1990725" y="256203450"/>
          <a:ext cx="1752600" cy="257175"/>
          <a:chOff x="209" y="1884"/>
          <a:chExt cx="184" cy="27"/>
        </a:xfrm>
        <a:solidFill>
          <a:srgbClr val="FFFFFF"/>
        </a:solidFill>
      </xdr:grpSpPr>
      <xdr:sp>
        <xdr:nvSpPr>
          <xdr:cNvPr id="278" name="Line 60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9" name="Line 60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0" name="Line 60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811</xdr:row>
      <xdr:rowOff>133350</xdr:rowOff>
    </xdr:from>
    <xdr:to>
      <xdr:col>14</xdr:col>
      <xdr:colOff>95250</xdr:colOff>
      <xdr:row>812</xdr:row>
      <xdr:rowOff>180975</xdr:rowOff>
    </xdr:to>
    <xdr:sp>
      <xdr:nvSpPr>
        <xdr:cNvPr id="281" name="AutoShape 607"/>
        <xdr:cNvSpPr>
          <a:spLocks/>
        </xdr:cNvSpPr>
      </xdr:nvSpPr>
      <xdr:spPr>
        <a:xfrm>
          <a:off x="2152650" y="2550509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811</xdr:row>
      <xdr:rowOff>142875</xdr:rowOff>
    </xdr:from>
    <xdr:to>
      <xdr:col>5</xdr:col>
      <xdr:colOff>104775</xdr:colOff>
      <xdr:row>812</xdr:row>
      <xdr:rowOff>171450</xdr:rowOff>
    </xdr:to>
    <xdr:sp>
      <xdr:nvSpPr>
        <xdr:cNvPr id="282" name="AutoShape 608"/>
        <xdr:cNvSpPr>
          <a:spLocks/>
        </xdr:cNvSpPr>
      </xdr:nvSpPr>
      <xdr:spPr>
        <a:xfrm>
          <a:off x="790575" y="2550604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815</xdr:row>
      <xdr:rowOff>28575</xdr:rowOff>
    </xdr:from>
    <xdr:to>
      <xdr:col>11</xdr:col>
      <xdr:colOff>66675</xdr:colOff>
      <xdr:row>815</xdr:row>
      <xdr:rowOff>295275</xdr:rowOff>
    </xdr:to>
    <xdr:grpSp>
      <xdr:nvGrpSpPr>
        <xdr:cNvPr id="283" name="Group 609"/>
        <xdr:cNvGrpSpPr>
          <a:grpSpLocks/>
        </xdr:cNvGrpSpPr>
      </xdr:nvGrpSpPr>
      <xdr:grpSpPr>
        <a:xfrm>
          <a:off x="828675" y="256203450"/>
          <a:ext cx="914400" cy="266700"/>
          <a:chOff x="87" y="1884"/>
          <a:chExt cx="96" cy="28"/>
        </a:xfrm>
        <a:solidFill>
          <a:srgbClr val="FFFFFF"/>
        </a:solidFill>
      </xdr:grpSpPr>
      <xdr:sp>
        <xdr:nvSpPr>
          <xdr:cNvPr id="284" name="Line 61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5" name="Line 61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6" name="Line 61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815</xdr:row>
      <xdr:rowOff>28575</xdr:rowOff>
    </xdr:from>
    <xdr:to>
      <xdr:col>24</xdr:col>
      <xdr:colOff>85725</xdr:colOff>
      <xdr:row>815</xdr:row>
      <xdr:rowOff>285750</xdr:rowOff>
    </xdr:to>
    <xdr:grpSp>
      <xdr:nvGrpSpPr>
        <xdr:cNvPr id="287" name="Group 613"/>
        <xdr:cNvGrpSpPr>
          <a:grpSpLocks/>
        </xdr:cNvGrpSpPr>
      </xdr:nvGrpSpPr>
      <xdr:grpSpPr>
        <a:xfrm>
          <a:off x="1990725" y="256203450"/>
          <a:ext cx="1752600" cy="257175"/>
          <a:chOff x="209" y="1884"/>
          <a:chExt cx="184" cy="27"/>
        </a:xfrm>
        <a:solidFill>
          <a:srgbClr val="FFFFFF"/>
        </a:solidFill>
      </xdr:grpSpPr>
      <xdr:sp>
        <xdr:nvSpPr>
          <xdr:cNvPr id="288" name="Line 61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9" name="Line 61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0" name="Line 61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1130</xdr:row>
      <xdr:rowOff>133350</xdr:rowOff>
    </xdr:from>
    <xdr:to>
      <xdr:col>23</xdr:col>
      <xdr:colOff>95250</xdr:colOff>
      <xdr:row>1131</xdr:row>
      <xdr:rowOff>180975</xdr:rowOff>
    </xdr:to>
    <xdr:sp>
      <xdr:nvSpPr>
        <xdr:cNvPr id="291" name="AutoShape 617"/>
        <xdr:cNvSpPr>
          <a:spLocks/>
        </xdr:cNvSpPr>
      </xdr:nvSpPr>
      <xdr:spPr>
        <a:xfrm>
          <a:off x="3524250" y="3553206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1130</xdr:row>
      <xdr:rowOff>142875</xdr:rowOff>
    </xdr:from>
    <xdr:to>
      <xdr:col>5</xdr:col>
      <xdr:colOff>104775</xdr:colOff>
      <xdr:row>1131</xdr:row>
      <xdr:rowOff>171450</xdr:rowOff>
    </xdr:to>
    <xdr:sp>
      <xdr:nvSpPr>
        <xdr:cNvPr id="292" name="AutoShape 618"/>
        <xdr:cNvSpPr>
          <a:spLocks/>
        </xdr:cNvSpPr>
      </xdr:nvSpPr>
      <xdr:spPr>
        <a:xfrm>
          <a:off x="790575" y="3553301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1134</xdr:row>
      <xdr:rowOff>28575</xdr:rowOff>
    </xdr:from>
    <xdr:to>
      <xdr:col>11</xdr:col>
      <xdr:colOff>66675</xdr:colOff>
      <xdr:row>1134</xdr:row>
      <xdr:rowOff>295275</xdr:rowOff>
    </xdr:to>
    <xdr:grpSp>
      <xdr:nvGrpSpPr>
        <xdr:cNvPr id="293" name="Group 619"/>
        <xdr:cNvGrpSpPr>
          <a:grpSpLocks/>
        </xdr:cNvGrpSpPr>
      </xdr:nvGrpSpPr>
      <xdr:grpSpPr>
        <a:xfrm>
          <a:off x="828675" y="356473125"/>
          <a:ext cx="914400" cy="266700"/>
          <a:chOff x="87" y="1884"/>
          <a:chExt cx="96" cy="28"/>
        </a:xfrm>
        <a:solidFill>
          <a:srgbClr val="FFFFFF"/>
        </a:solidFill>
      </xdr:grpSpPr>
      <xdr:sp>
        <xdr:nvSpPr>
          <xdr:cNvPr id="294" name="Line 62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5" name="Line 62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6" name="Line 62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1134</xdr:row>
      <xdr:rowOff>28575</xdr:rowOff>
    </xdr:from>
    <xdr:to>
      <xdr:col>24</xdr:col>
      <xdr:colOff>85725</xdr:colOff>
      <xdr:row>1134</xdr:row>
      <xdr:rowOff>285750</xdr:rowOff>
    </xdr:to>
    <xdr:grpSp>
      <xdr:nvGrpSpPr>
        <xdr:cNvPr id="297" name="Group 623"/>
        <xdr:cNvGrpSpPr>
          <a:grpSpLocks/>
        </xdr:cNvGrpSpPr>
      </xdr:nvGrpSpPr>
      <xdr:grpSpPr>
        <a:xfrm>
          <a:off x="1990725" y="356473125"/>
          <a:ext cx="1752600" cy="257175"/>
          <a:chOff x="209" y="1884"/>
          <a:chExt cx="184" cy="27"/>
        </a:xfrm>
        <a:solidFill>
          <a:srgbClr val="FFFFFF"/>
        </a:solidFill>
      </xdr:grpSpPr>
      <xdr:sp>
        <xdr:nvSpPr>
          <xdr:cNvPr id="298" name="Line 62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9" name="Line 62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0" name="Line 62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1130</xdr:row>
      <xdr:rowOff>133350</xdr:rowOff>
    </xdr:from>
    <xdr:to>
      <xdr:col>23</xdr:col>
      <xdr:colOff>95250</xdr:colOff>
      <xdr:row>1131</xdr:row>
      <xdr:rowOff>180975</xdr:rowOff>
    </xdr:to>
    <xdr:sp>
      <xdr:nvSpPr>
        <xdr:cNvPr id="301" name="AutoShape 627"/>
        <xdr:cNvSpPr>
          <a:spLocks/>
        </xdr:cNvSpPr>
      </xdr:nvSpPr>
      <xdr:spPr>
        <a:xfrm>
          <a:off x="3524250" y="3553206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1130</xdr:row>
      <xdr:rowOff>142875</xdr:rowOff>
    </xdr:from>
    <xdr:to>
      <xdr:col>5</xdr:col>
      <xdr:colOff>104775</xdr:colOff>
      <xdr:row>1131</xdr:row>
      <xdr:rowOff>171450</xdr:rowOff>
    </xdr:to>
    <xdr:sp>
      <xdr:nvSpPr>
        <xdr:cNvPr id="302" name="AutoShape 628"/>
        <xdr:cNvSpPr>
          <a:spLocks/>
        </xdr:cNvSpPr>
      </xdr:nvSpPr>
      <xdr:spPr>
        <a:xfrm>
          <a:off x="790575" y="3553301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1134</xdr:row>
      <xdr:rowOff>28575</xdr:rowOff>
    </xdr:from>
    <xdr:to>
      <xdr:col>11</xdr:col>
      <xdr:colOff>66675</xdr:colOff>
      <xdr:row>1134</xdr:row>
      <xdr:rowOff>295275</xdr:rowOff>
    </xdr:to>
    <xdr:grpSp>
      <xdr:nvGrpSpPr>
        <xdr:cNvPr id="303" name="Group 629"/>
        <xdr:cNvGrpSpPr>
          <a:grpSpLocks/>
        </xdr:cNvGrpSpPr>
      </xdr:nvGrpSpPr>
      <xdr:grpSpPr>
        <a:xfrm>
          <a:off x="828675" y="356473125"/>
          <a:ext cx="914400" cy="266700"/>
          <a:chOff x="87" y="1884"/>
          <a:chExt cx="96" cy="28"/>
        </a:xfrm>
        <a:solidFill>
          <a:srgbClr val="FFFFFF"/>
        </a:solidFill>
      </xdr:grpSpPr>
      <xdr:sp>
        <xdr:nvSpPr>
          <xdr:cNvPr id="304" name="Line 63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5" name="Line 63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6" name="Line 63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1134</xdr:row>
      <xdr:rowOff>28575</xdr:rowOff>
    </xdr:from>
    <xdr:to>
      <xdr:col>24</xdr:col>
      <xdr:colOff>85725</xdr:colOff>
      <xdr:row>1134</xdr:row>
      <xdr:rowOff>285750</xdr:rowOff>
    </xdr:to>
    <xdr:grpSp>
      <xdr:nvGrpSpPr>
        <xdr:cNvPr id="307" name="Group 633"/>
        <xdr:cNvGrpSpPr>
          <a:grpSpLocks/>
        </xdr:cNvGrpSpPr>
      </xdr:nvGrpSpPr>
      <xdr:grpSpPr>
        <a:xfrm>
          <a:off x="1990725" y="356473125"/>
          <a:ext cx="1752600" cy="257175"/>
          <a:chOff x="209" y="1884"/>
          <a:chExt cx="184" cy="27"/>
        </a:xfrm>
        <a:solidFill>
          <a:srgbClr val="FFFFFF"/>
        </a:solidFill>
      </xdr:grpSpPr>
      <xdr:sp>
        <xdr:nvSpPr>
          <xdr:cNvPr id="308" name="Line 63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9" name="Line 63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0" name="Line 63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1130</xdr:row>
      <xdr:rowOff>133350</xdr:rowOff>
    </xdr:from>
    <xdr:to>
      <xdr:col>23</xdr:col>
      <xdr:colOff>95250</xdr:colOff>
      <xdr:row>1131</xdr:row>
      <xdr:rowOff>180975</xdr:rowOff>
    </xdr:to>
    <xdr:sp>
      <xdr:nvSpPr>
        <xdr:cNvPr id="311" name="AutoShape 637"/>
        <xdr:cNvSpPr>
          <a:spLocks/>
        </xdr:cNvSpPr>
      </xdr:nvSpPr>
      <xdr:spPr>
        <a:xfrm>
          <a:off x="3524250" y="3553206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1130</xdr:row>
      <xdr:rowOff>142875</xdr:rowOff>
    </xdr:from>
    <xdr:to>
      <xdr:col>5</xdr:col>
      <xdr:colOff>104775</xdr:colOff>
      <xdr:row>1131</xdr:row>
      <xdr:rowOff>171450</xdr:rowOff>
    </xdr:to>
    <xdr:sp>
      <xdr:nvSpPr>
        <xdr:cNvPr id="312" name="AutoShape 638"/>
        <xdr:cNvSpPr>
          <a:spLocks/>
        </xdr:cNvSpPr>
      </xdr:nvSpPr>
      <xdr:spPr>
        <a:xfrm>
          <a:off x="790575" y="3553301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1134</xdr:row>
      <xdr:rowOff>28575</xdr:rowOff>
    </xdr:from>
    <xdr:to>
      <xdr:col>11</xdr:col>
      <xdr:colOff>66675</xdr:colOff>
      <xdr:row>1134</xdr:row>
      <xdr:rowOff>295275</xdr:rowOff>
    </xdr:to>
    <xdr:grpSp>
      <xdr:nvGrpSpPr>
        <xdr:cNvPr id="313" name="Group 639"/>
        <xdr:cNvGrpSpPr>
          <a:grpSpLocks/>
        </xdr:cNvGrpSpPr>
      </xdr:nvGrpSpPr>
      <xdr:grpSpPr>
        <a:xfrm>
          <a:off x="828675" y="356473125"/>
          <a:ext cx="914400" cy="266700"/>
          <a:chOff x="87" y="1884"/>
          <a:chExt cx="96" cy="28"/>
        </a:xfrm>
        <a:solidFill>
          <a:srgbClr val="FFFFFF"/>
        </a:solidFill>
      </xdr:grpSpPr>
      <xdr:sp>
        <xdr:nvSpPr>
          <xdr:cNvPr id="314" name="Line 64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5" name="Line 64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6" name="Line 64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1134</xdr:row>
      <xdr:rowOff>28575</xdr:rowOff>
    </xdr:from>
    <xdr:to>
      <xdr:col>24</xdr:col>
      <xdr:colOff>85725</xdr:colOff>
      <xdr:row>1134</xdr:row>
      <xdr:rowOff>285750</xdr:rowOff>
    </xdr:to>
    <xdr:grpSp>
      <xdr:nvGrpSpPr>
        <xdr:cNvPr id="317" name="Group 643"/>
        <xdr:cNvGrpSpPr>
          <a:grpSpLocks/>
        </xdr:cNvGrpSpPr>
      </xdr:nvGrpSpPr>
      <xdr:grpSpPr>
        <a:xfrm>
          <a:off x="1990725" y="356473125"/>
          <a:ext cx="1752600" cy="257175"/>
          <a:chOff x="209" y="1884"/>
          <a:chExt cx="184" cy="27"/>
        </a:xfrm>
        <a:solidFill>
          <a:srgbClr val="FFFFFF"/>
        </a:solidFill>
      </xdr:grpSpPr>
      <xdr:sp>
        <xdr:nvSpPr>
          <xdr:cNvPr id="318" name="Line 64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9" name="Line 64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0" name="Line 64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1130</xdr:row>
      <xdr:rowOff>133350</xdr:rowOff>
    </xdr:from>
    <xdr:to>
      <xdr:col>23</xdr:col>
      <xdr:colOff>95250</xdr:colOff>
      <xdr:row>1131</xdr:row>
      <xdr:rowOff>180975</xdr:rowOff>
    </xdr:to>
    <xdr:sp>
      <xdr:nvSpPr>
        <xdr:cNvPr id="321" name="AutoShape 647"/>
        <xdr:cNvSpPr>
          <a:spLocks/>
        </xdr:cNvSpPr>
      </xdr:nvSpPr>
      <xdr:spPr>
        <a:xfrm>
          <a:off x="3524250" y="3553206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1130</xdr:row>
      <xdr:rowOff>142875</xdr:rowOff>
    </xdr:from>
    <xdr:to>
      <xdr:col>5</xdr:col>
      <xdr:colOff>104775</xdr:colOff>
      <xdr:row>1131</xdr:row>
      <xdr:rowOff>171450</xdr:rowOff>
    </xdr:to>
    <xdr:sp>
      <xdr:nvSpPr>
        <xdr:cNvPr id="322" name="AutoShape 648"/>
        <xdr:cNvSpPr>
          <a:spLocks/>
        </xdr:cNvSpPr>
      </xdr:nvSpPr>
      <xdr:spPr>
        <a:xfrm>
          <a:off x="790575" y="3553301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1134</xdr:row>
      <xdr:rowOff>28575</xdr:rowOff>
    </xdr:from>
    <xdr:to>
      <xdr:col>11</xdr:col>
      <xdr:colOff>66675</xdr:colOff>
      <xdr:row>1134</xdr:row>
      <xdr:rowOff>295275</xdr:rowOff>
    </xdr:to>
    <xdr:grpSp>
      <xdr:nvGrpSpPr>
        <xdr:cNvPr id="323" name="Group 649"/>
        <xdr:cNvGrpSpPr>
          <a:grpSpLocks/>
        </xdr:cNvGrpSpPr>
      </xdr:nvGrpSpPr>
      <xdr:grpSpPr>
        <a:xfrm>
          <a:off x="828675" y="356473125"/>
          <a:ext cx="914400" cy="266700"/>
          <a:chOff x="87" y="1884"/>
          <a:chExt cx="96" cy="28"/>
        </a:xfrm>
        <a:solidFill>
          <a:srgbClr val="FFFFFF"/>
        </a:solidFill>
      </xdr:grpSpPr>
      <xdr:sp>
        <xdr:nvSpPr>
          <xdr:cNvPr id="324" name="Line 65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5" name="Line 65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6" name="Line 65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1134</xdr:row>
      <xdr:rowOff>28575</xdr:rowOff>
    </xdr:from>
    <xdr:to>
      <xdr:col>24</xdr:col>
      <xdr:colOff>85725</xdr:colOff>
      <xdr:row>1134</xdr:row>
      <xdr:rowOff>285750</xdr:rowOff>
    </xdr:to>
    <xdr:grpSp>
      <xdr:nvGrpSpPr>
        <xdr:cNvPr id="327" name="Group 653"/>
        <xdr:cNvGrpSpPr>
          <a:grpSpLocks/>
        </xdr:cNvGrpSpPr>
      </xdr:nvGrpSpPr>
      <xdr:grpSpPr>
        <a:xfrm>
          <a:off x="1990725" y="356473125"/>
          <a:ext cx="1752600" cy="257175"/>
          <a:chOff x="209" y="1884"/>
          <a:chExt cx="184" cy="27"/>
        </a:xfrm>
        <a:solidFill>
          <a:srgbClr val="FFFFFF"/>
        </a:solidFill>
      </xdr:grpSpPr>
      <xdr:sp>
        <xdr:nvSpPr>
          <xdr:cNvPr id="328" name="Line 65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9" name="Line 65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0" name="Line 65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978</xdr:row>
      <xdr:rowOff>133350</xdr:rowOff>
    </xdr:from>
    <xdr:to>
      <xdr:col>14</xdr:col>
      <xdr:colOff>95250</xdr:colOff>
      <xdr:row>979</xdr:row>
      <xdr:rowOff>180975</xdr:rowOff>
    </xdr:to>
    <xdr:sp>
      <xdr:nvSpPr>
        <xdr:cNvPr id="331" name="AutoShape 731"/>
        <xdr:cNvSpPr>
          <a:spLocks/>
        </xdr:cNvSpPr>
      </xdr:nvSpPr>
      <xdr:spPr>
        <a:xfrm>
          <a:off x="2152650" y="3075432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978</xdr:row>
      <xdr:rowOff>142875</xdr:rowOff>
    </xdr:from>
    <xdr:to>
      <xdr:col>5</xdr:col>
      <xdr:colOff>104775</xdr:colOff>
      <xdr:row>979</xdr:row>
      <xdr:rowOff>171450</xdr:rowOff>
    </xdr:to>
    <xdr:sp>
      <xdr:nvSpPr>
        <xdr:cNvPr id="332" name="AutoShape 732"/>
        <xdr:cNvSpPr>
          <a:spLocks/>
        </xdr:cNvSpPr>
      </xdr:nvSpPr>
      <xdr:spPr>
        <a:xfrm>
          <a:off x="790575" y="3075527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982</xdr:row>
      <xdr:rowOff>28575</xdr:rowOff>
    </xdr:from>
    <xdr:to>
      <xdr:col>11</xdr:col>
      <xdr:colOff>66675</xdr:colOff>
      <xdr:row>982</xdr:row>
      <xdr:rowOff>295275</xdr:rowOff>
    </xdr:to>
    <xdr:grpSp>
      <xdr:nvGrpSpPr>
        <xdr:cNvPr id="333" name="Group 733"/>
        <xdr:cNvGrpSpPr>
          <a:grpSpLocks/>
        </xdr:cNvGrpSpPr>
      </xdr:nvGrpSpPr>
      <xdr:grpSpPr>
        <a:xfrm>
          <a:off x="828675" y="308695725"/>
          <a:ext cx="914400" cy="266700"/>
          <a:chOff x="87" y="1884"/>
          <a:chExt cx="96" cy="28"/>
        </a:xfrm>
        <a:solidFill>
          <a:srgbClr val="FFFFFF"/>
        </a:solidFill>
      </xdr:grpSpPr>
      <xdr:sp>
        <xdr:nvSpPr>
          <xdr:cNvPr id="334" name="Line 73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5" name="Line 73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6" name="Line 73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982</xdr:row>
      <xdr:rowOff>28575</xdr:rowOff>
    </xdr:from>
    <xdr:to>
      <xdr:col>24</xdr:col>
      <xdr:colOff>85725</xdr:colOff>
      <xdr:row>982</xdr:row>
      <xdr:rowOff>285750</xdr:rowOff>
    </xdr:to>
    <xdr:grpSp>
      <xdr:nvGrpSpPr>
        <xdr:cNvPr id="337" name="Group 737"/>
        <xdr:cNvGrpSpPr>
          <a:grpSpLocks/>
        </xdr:cNvGrpSpPr>
      </xdr:nvGrpSpPr>
      <xdr:grpSpPr>
        <a:xfrm>
          <a:off x="1990725" y="308695725"/>
          <a:ext cx="1752600" cy="257175"/>
          <a:chOff x="209" y="1884"/>
          <a:chExt cx="184" cy="27"/>
        </a:xfrm>
        <a:solidFill>
          <a:srgbClr val="FFFFFF"/>
        </a:solidFill>
      </xdr:grpSpPr>
      <xdr:sp>
        <xdr:nvSpPr>
          <xdr:cNvPr id="338" name="Line 73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9" name="Line 73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0" name="Line 74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978</xdr:row>
      <xdr:rowOff>133350</xdr:rowOff>
    </xdr:from>
    <xdr:to>
      <xdr:col>14</xdr:col>
      <xdr:colOff>95250</xdr:colOff>
      <xdr:row>979</xdr:row>
      <xdr:rowOff>180975</xdr:rowOff>
    </xdr:to>
    <xdr:sp>
      <xdr:nvSpPr>
        <xdr:cNvPr id="341" name="AutoShape 741"/>
        <xdr:cNvSpPr>
          <a:spLocks/>
        </xdr:cNvSpPr>
      </xdr:nvSpPr>
      <xdr:spPr>
        <a:xfrm>
          <a:off x="2152650" y="3075432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978</xdr:row>
      <xdr:rowOff>142875</xdr:rowOff>
    </xdr:from>
    <xdr:to>
      <xdr:col>5</xdr:col>
      <xdr:colOff>104775</xdr:colOff>
      <xdr:row>979</xdr:row>
      <xdr:rowOff>171450</xdr:rowOff>
    </xdr:to>
    <xdr:sp>
      <xdr:nvSpPr>
        <xdr:cNvPr id="342" name="AutoShape 742"/>
        <xdr:cNvSpPr>
          <a:spLocks/>
        </xdr:cNvSpPr>
      </xdr:nvSpPr>
      <xdr:spPr>
        <a:xfrm>
          <a:off x="790575" y="3075527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982</xdr:row>
      <xdr:rowOff>28575</xdr:rowOff>
    </xdr:from>
    <xdr:to>
      <xdr:col>11</xdr:col>
      <xdr:colOff>66675</xdr:colOff>
      <xdr:row>982</xdr:row>
      <xdr:rowOff>295275</xdr:rowOff>
    </xdr:to>
    <xdr:grpSp>
      <xdr:nvGrpSpPr>
        <xdr:cNvPr id="343" name="Group 743"/>
        <xdr:cNvGrpSpPr>
          <a:grpSpLocks/>
        </xdr:cNvGrpSpPr>
      </xdr:nvGrpSpPr>
      <xdr:grpSpPr>
        <a:xfrm>
          <a:off x="828675" y="308695725"/>
          <a:ext cx="914400" cy="266700"/>
          <a:chOff x="87" y="1884"/>
          <a:chExt cx="96" cy="28"/>
        </a:xfrm>
        <a:solidFill>
          <a:srgbClr val="FFFFFF"/>
        </a:solidFill>
      </xdr:grpSpPr>
      <xdr:sp>
        <xdr:nvSpPr>
          <xdr:cNvPr id="344" name="Line 74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5" name="Line 74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6" name="Line 74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982</xdr:row>
      <xdr:rowOff>28575</xdr:rowOff>
    </xdr:from>
    <xdr:to>
      <xdr:col>24</xdr:col>
      <xdr:colOff>85725</xdr:colOff>
      <xdr:row>982</xdr:row>
      <xdr:rowOff>285750</xdr:rowOff>
    </xdr:to>
    <xdr:grpSp>
      <xdr:nvGrpSpPr>
        <xdr:cNvPr id="347" name="Group 747"/>
        <xdr:cNvGrpSpPr>
          <a:grpSpLocks/>
        </xdr:cNvGrpSpPr>
      </xdr:nvGrpSpPr>
      <xdr:grpSpPr>
        <a:xfrm>
          <a:off x="1990725" y="308695725"/>
          <a:ext cx="1752600" cy="257175"/>
          <a:chOff x="209" y="1884"/>
          <a:chExt cx="184" cy="27"/>
        </a:xfrm>
        <a:solidFill>
          <a:srgbClr val="FFFFFF"/>
        </a:solidFill>
      </xdr:grpSpPr>
      <xdr:sp>
        <xdr:nvSpPr>
          <xdr:cNvPr id="348" name="Line 74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9" name="Line 74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0" name="Line 75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1044</xdr:row>
      <xdr:rowOff>133350</xdr:rowOff>
    </xdr:from>
    <xdr:to>
      <xdr:col>14</xdr:col>
      <xdr:colOff>95250</xdr:colOff>
      <xdr:row>1045</xdr:row>
      <xdr:rowOff>180975</xdr:rowOff>
    </xdr:to>
    <xdr:sp>
      <xdr:nvSpPr>
        <xdr:cNvPr id="351" name="AutoShape 751"/>
        <xdr:cNvSpPr>
          <a:spLocks/>
        </xdr:cNvSpPr>
      </xdr:nvSpPr>
      <xdr:spPr>
        <a:xfrm>
          <a:off x="2152650" y="3282886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1044</xdr:row>
      <xdr:rowOff>142875</xdr:rowOff>
    </xdr:from>
    <xdr:to>
      <xdr:col>5</xdr:col>
      <xdr:colOff>104775</xdr:colOff>
      <xdr:row>1045</xdr:row>
      <xdr:rowOff>171450</xdr:rowOff>
    </xdr:to>
    <xdr:sp>
      <xdr:nvSpPr>
        <xdr:cNvPr id="352" name="AutoShape 752"/>
        <xdr:cNvSpPr>
          <a:spLocks/>
        </xdr:cNvSpPr>
      </xdr:nvSpPr>
      <xdr:spPr>
        <a:xfrm>
          <a:off x="790575" y="3282981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1048</xdr:row>
      <xdr:rowOff>28575</xdr:rowOff>
    </xdr:from>
    <xdr:to>
      <xdr:col>11</xdr:col>
      <xdr:colOff>66675</xdr:colOff>
      <xdr:row>1048</xdr:row>
      <xdr:rowOff>295275</xdr:rowOff>
    </xdr:to>
    <xdr:grpSp>
      <xdr:nvGrpSpPr>
        <xdr:cNvPr id="353" name="Group 753"/>
        <xdr:cNvGrpSpPr>
          <a:grpSpLocks/>
        </xdr:cNvGrpSpPr>
      </xdr:nvGrpSpPr>
      <xdr:grpSpPr>
        <a:xfrm>
          <a:off x="828675" y="329441175"/>
          <a:ext cx="914400" cy="266700"/>
          <a:chOff x="87" y="1884"/>
          <a:chExt cx="96" cy="28"/>
        </a:xfrm>
        <a:solidFill>
          <a:srgbClr val="FFFFFF"/>
        </a:solidFill>
      </xdr:grpSpPr>
      <xdr:sp>
        <xdr:nvSpPr>
          <xdr:cNvPr id="354" name="Line 75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5" name="Line 75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6" name="Line 75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1048</xdr:row>
      <xdr:rowOff>28575</xdr:rowOff>
    </xdr:from>
    <xdr:to>
      <xdr:col>24</xdr:col>
      <xdr:colOff>85725</xdr:colOff>
      <xdr:row>1048</xdr:row>
      <xdr:rowOff>285750</xdr:rowOff>
    </xdr:to>
    <xdr:grpSp>
      <xdr:nvGrpSpPr>
        <xdr:cNvPr id="357" name="Group 757"/>
        <xdr:cNvGrpSpPr>
          <a:grpSpLocks/>
        </xdr:cNvGrpSpPr>
      </xdr:nvGrpSpPr>
      <xdr:grpSpPr>
        <a:xfrm>
          <a:off x="1990725" y="329441175"/>
          <a:ext cx="1752600" cy="257175"/>
          <a:chOff x="209" y="1884"/>
          <a:chExt cx="184" cy="27"/>
        </a:xfrm>
        <a:solidFill>
          <a:srgbClr val="FFFFFF"/>
        </a:solidFill>
      </xdr:grpSpPr>
      <xdr:sp>
        <xdr:nvSpPr>
          <xdr:cNvPr id="358" name="Line 75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9" name="Line 75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0" name="Line 76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1044</xdr:row>
      <xdr:rowOff>133350</xdr:rowOff>
    </xdr:from>
    <xdr:to>
      <xdr:col>14</xdr:col>
      <xdr:colOff>95250</xdr:colOff>
      <xdr:row>1045</xdr:row>
      <xdr:rowOff>180975</xdr:rowOff>
    </xdr:to>
    <xdr:sp>
      <xdr:nvSpPr>
        <xdr:cNvPr id="361" name="AutoShape 761"/>
        <xdr:cNvSpPr>
          <a:spLocks/>
        </xdr:cNvSpPr>
      </xdr:nvSpPr>
      <xdr:spPr>
        <a:xfrm>
          <a:off x="2152650" y="3282886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1044</xdr:row>
      <xdr:rowOff>142875</xdr:rowOff>
    </xdr:from>
    <xdr:to>
      <xdr:col>5</xdr:col>
      <xdr:colOff>104775</xdr:colOff>
      <xdr:row>1045</xdr:row>
      <xdr:rowOff>171450</xdr:rowOff>
    </xdr:to>
    <xdr:sp>
      <xdr:nvSpPr>
        <xdr:cNvPr id="362" name="AutoShape 762"/>
        <xdr:cNvSpPr>
          <a:spLocks/>
        </xdr:cNvSpPr>
      </xdr:nvSpPr>
      <xdr:spPr>
        <a:xfrm>
          <a:off x="790575" y="3282981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1048</xdr:row>
      <xdr:rowOff>28575</xdr:rowOff>
    </xdr:from>
    <xdr:to>
      <xdr:col>11</xdr:col>
      <xdr:colOff>66675</xdr:colOff>
      <xdr:row>1048</xdr:row>
      <xdr:rowOff>295275</xdr:rowOff>
    </xdr:to>
    <xdr:grpSp>
      <xdr:nvGrpSpPr>
        <xdr:cNvPr id="363" name="Group 763"/>
        <xdr:cNvGrpSpPr>
          <a:grpSpLocks/>
        </xdr:cNvGrpSpPr>
      </xdr:nvGrpSpPr>
      <xdr:grpSpPr>
        <a:xfrm>
          <a:off x="828675" y="329441175"/>
          <a:ext cx="914400" cy="266700"/>
          <a:chOff x="87" y="1884"/>
          <a:chExt cx="96" cy="28"/>
        </a:xfrm>
        <a:solidFill>
          <a:srgbClr val="FFFFFF"/>
        </a:solidFill>
      </xdr:grpSpPr>
      <xdr:sp>
        <xdr:nvSpPr>
          <xdr:cNvPr id="364" name="Line 76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5" name="Line 76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6" name="Line 76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1048</xdr:row>
      <xdr:rowOff>28575</xdr:rowOff>
    </xdr:from>
    <xdr:to>
      <xdr:col>24</xdr:col>
      <xdr:colOff>85725</xdr:colOff>
      <xdr:row>1048</xdr:row>
      <xdr:rowOff>285750</xdr:rowOff>
    </xdr:to>
    <xdr:grpSp>
      <xdr:nvGrpSpPr>
        <xdr:cNvPr id="367" name="Group 767"/>
        <xdr:cNvGrpSpPr>
          <a:grpSpLocks/>
        </xdr:cNvGrpSpPr>
      </xdr:nvGrpSpPr>
      <xdr:grpSpPr>
        <a:xfrm>
          <a:off x="1990725" y="329441175"/>
          <a:ext cx="1752600" cy="257175"/>
          <a:chOff x="209" y="1884"/>
          <a:chExt cx="184" cy="27"/>
        </a:xfrm>
        <a:solidFill>
          <a:srgbClr val="FFFFFF"/>
        </a:solidFill>
      </xdr:grpSpPr>
      <xdr:sp>
        <xdr:nvSpPr>
          <xdr:cNvPr id="368" name="Line 76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9" name="Line 76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0" name="Line 77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431</xdr:row>
      <xdr:rowOff>133350</xdr:rowOff>
    </xdr:from>
    <xdr:to>
      <xdr:col>23</xdr:col>
      <xdr:colOff>95250</xdr:colOff>
      <xdr:row>432</xdr:row>
      <xdr:rowOff>180975</xdr:rowOff>
    </xdr:to>
    <xdr:sp>
      <xdr:nvSpPr>
        <xdr:cNvPr id="371" name="AutoShape 782"/>
        <xdr:cNvSpPr>
          <a:spLocks/>
        </xdr:cNvSpPr>
      </xdr:nvSpPr>
      <xdr:spPr>
        <a:xfrm>
          <a:off x="3524250" y="1356074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431</xdr:row>
      <xdr:rowOff>142875</xdr:rowOff>
    </xdr:from>
    <xdr:to>
      <xdr:col>5</xdr:col>
      <xdr:colOff>104775</xdr:colOff>
      <xdr:row>432</xdr:row>
      <xdr:rowOff>171450</xdr:rowOff>
    </xdr:to>
    <xdr:sp>
      <xdr:nvSpPr>
        <xdr:cNvPr id="372" name="AutoShape 783"/>
        <xdr:cNvSpPr>
          <a:spLocks/>
        </xdr:cNvSpPr>
      </xdr:nvSpPr>
      <xdr:spPr>
        <a:xfrm>
          <a:off x="790575" y="1356169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431</xdr:row>
      <xdr:rowOff>133350</xdr:rowOff>
    </xdr:from>
    <xdr:to>
      <xdr:col>23</xdr:col>
      <xdr:colOff>95250</xdr:colOff>
      <xdr:row>432</xdr:row>
      <xdr:rowOff>180975</xdr:rowOff>
    </xdr:to>
    <xdr:sp>
      <xdr:nvSpPr>
        <xdr:cNvPr id="373" name="AutoShape 784"/>
        <xdr:cNvSpPr>
          <a:spLocks/>
        </xdr:cNvSpPr>
      </xdr:nvSpPr>
      <xdr:spPr>
        <a:xfrm>
          <a:off x="3524250" y="1356074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431</xdr:row>
      <xdr:rowOff>142875</xdr:rowOff>
    </xdr:from>
    <xdr:to>
      <xdr:col>5</xdr:col>
      <xdr:colOff>104775</xdr:colOff>
      <xdr:row>432</xdr:row>
      <xdr:rowOff>171450</xdr:rowOff>
    </xdr:to>
    <xdr:sp>
      <xdr:nvSpPr>
        <xdr:cNvPr id="374" name="AutoShape 785"/>
        <xdr:cNvSpPr>
          <a:spLocks/>
        </xdr:cNvSpPr>
      </xdr:nvSpPr>
      <xdr:spPr>
        <a:xfrm>
          <a:off x="790575" y="1356169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431</xdr:row>
      <xdr:rowOff>133350</xdr:rowOff>
    </xdr:from>
    <xdr:to>
      <xdr:col>23</xdr:col>
      <xdr:colOff>95250</xdr:colOff>
      <xdr:row>432</xdr:row>
      <xdr:rowOff>180975</xdr:rowOff>
    </xdr:to>
    <xdr:sp>
      <xdr:nvSpPr>
        <xdr:cNvPr id="375" name="AutoShape 786"/>
        <xdr:cNvSpPr>
          <a:spLocks/>
        </xdr:cNvSpPr>
      </xdr:nvSpPr>
      <xdr:spPr>
        <a:xfrm>
          <a:off x="3524250" y="1356074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431</xdr:row>
      <xdr:rowOff>142875</xdr:rowOff>
    </xdr:from>
    <xdr:to>
      <xdr:col>5</xdr:col>
      <xdr:colOff>104775</xdr:colOff>
      <xdr:row>432</xdr:row>
      <xdr:rowOff>171450</xdr:rowOff>
    </xdr:to>
    <xdr:sp>
      <xdr:nvSpPr>
        <xdr:cNvPr id="376" name="AutoShape 787"/>
        <xdr:cNvSpPr>
          <a:spLocks/>
        </xdr:cNvSpPr>
      </xdr:nvSpPr>
      <xdr:spPr>
        <a:xfrm>
          <a:off x="790575" y="1356169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279</xdr:row>
      <xdr:rowOff>133350</xdr:rowOff>
    </xdr:from>
    <xdr:to>
      <xdr:col>14</xdr:col>
      <xdr:colOff>95250</xdr:colOff>
      <xdr:row>280</xdr:row>
      <xdr:rowOff>180975</xdr:rowOff>
    </xdr:to>
    <xdr:sp>
      <xdr:nvSpPr>
        <xdr:cNvPr id="377" name="AutoShape 788"/>
        <xdr:cNvSpPr>
          <a:spLocks/>
        </xdr:cNvSpPr>
      </xdr:nvSpPr>
      <xdr:spPr>
        <a:xfrm>
          <a:off x="2152650" y="878300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279</xdr:row>
      <xdr:rowOff>142875</xdr:rowOff>
    </xdr:from>
    <xdr:to>
      <xdr:col>5</xdr:col>
      <xdr:colOff>104775</xdr:colOff>
      <xdr:row>280</xdr:row>
      <xdr:rowOff>171450</xdr:rowOff>
    </xdr:to>
    <xdr:sp>
      <xdr:nvSpPr>
        <xdr:cNvPr id="378" name="AutoShape 789"/>
        <xdr:cNvSpPr>
          <a:spLocks/>
        </xdr:cNvSpPr>
      </xdr:nvSpPr>
      <xdr:spPr>
        <a:xfrm>
          <a:off x="790575" y="878395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283</xdr:row>
      <xdr:rowOff>28575</xdr:rowOff>
    </xdr:from>
    <xdr:to>
      <xdr:col>11</xdr:col>
      <xdr:colOff>66675</xdr:colOff>
      <xdr:row>283</xdr:row>
      <xdr:rowOff>295275</xdr:rowOff>
    </xdr:to>
    <xdr:grpSp>
      <xdr:nvGrpSpPr>
        <xdr:cNvPr id="379" name="Group 790"/>
        <xdr:cNvGrpSpPr>
          <a:grpSpLocks/>
        </xdr:cNvGrpSpPr>
      </xdr:nvGrpSpPr>
      <xdr:grpSpPr>
        <a:xfrm>
          <a:off x="828675" y="88982550"/>
          <a:ext cx="914400" cy="266700"/>
          <a:chOff x="87" y="1884"/>
          <a:chExt cx="96" cy="28"/>
        </a:xfrm>
        <a:solidFill>
          <a:srgbClr val="FFFFFF"/>
        </a:solidFill>
      </xdr:grpSpPr>
      <xdr:sp>
        <xdr:nvSpPr>
          <xdr:cNvPr id="380" name="Line 791"/>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1" name="Line 792"/>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2" name="Line 793"/>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283</xdr:row>
      <xdr:rowOff>28575</xdr:rowOff>
    </xdr:from>
    <xdr:to>
      <xdr:col>24</xdr:col>
      <xdr:colOff>85725</xdr:colOff>
      <xdr:row>283</xdr:row>
      <xdr:rowOff>285750</xdr:rowOff>
    </xdr:to>
    <xdr:grpSp>
      <xdr:nvGrpSpPr>
        <xdr:cNvPr id="383" name="Group 794"/>
        <xdr:cNvGrpSpPr>
          <a:grpSpLocks/>
        </xdr:cNvGrpSpPr>
      </xdr:nvGrpSpPr>
      <xdr:grpSpPr>
        <a:xfrm>
          <a:off x="1990725" y="88982550"/>
          <a:ext cx="1752600" cy="257175"/>
          <a:chOff x="209" y="1884"/>
          <a:chExt cx="184" cy="27"/>
        </a:xfrm>
        <a:solidFill>
          <a:srgbClr val="FFFFFF"/>
        </a:solidFill>
      </xdr:grpSpPr>
      <xdr:sp>
        <xdr:nvSpPr>
          <xdr:cNvPr id="384" name="Line 795"/>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5" name="Line 796"/>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6" name="Line 797"/>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345</xdr:row>
      <xdr:rowOff>133350</xdr:rowOff>
    </xdr:from>
    <xdr:to>
      <xdr:col>14</xdr:col>
      <xdr:colOff>95250</xdr:colOff>
      <xdr:row>346</xdr:row>
      <xdr:rowOff>180975</xdr:rowOff>
    </xdr:to>
    <xdr:sp>
      <xdr:nvSpPr>
        <xdr:cNvPr id="387" name="AutoShape 798"/>
        <xdr:cNvSpPr>
          <a:spLocks/>
        </xdr:cNvSpPr>
      </xdr:nvSpPr>
      <xdr:spPr>
        <a:xfrm>
          <a:off x="2152650" y="1085754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345</xdr:row>
      <xdr:rowOff>142875</xdr:rowOff>
    </xdr:from>
    <xdr:to>
      <xdr:col>5</xdr:col>
      <xdr:colOff>104775</xdr:colOff>
      <xdr:row>346</xdr:row>
      <xdr:rowOff>171450</xdr:rowOff>
    </xdr:to>
    <xdr:sp>
      <xdr:nvSpPr>
        <xdr:cNvPr id="388" name="AutoShape 799"/>
        <xdr:cNvSpPr>
          <a:spLocks/>
        </xdr:cNvSpPr>
      </xdr:nvSpPr>
      <xdr:spPr>
        <a:xfrm>
          <a:off x="790575" y="1085850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349</xdr:row>
      <xdr:rowOff>28575</xdr:rowOff>
    </xdr:from>
    <xdr:to>
      <xdr:col>11</xdr:col>
      <xdr:colOff>66675</xdr:colOff>
      <xdr:row>349</xdr:row>
      <xdr:rowOff>295275</xdr:rowOff>
    </xdr:to>
    <xdr:grpSp>
      <xdr:nvGrpSpPr>
        <xdr:cNvPr id="389" name="Group 800"/>
        <xdr:cNvGrpSpPr>
          <a:grpSpLocks/>
        </xdr:cNvGrpSpPr>
      </xdr:nvGrpSpPr>
      <xdr:grpSpPr>
        <a:xfrm>
          <a:off x="828675" y="109728000"/>
          <a:ext cx="914400" cy="266700"/>
          <a:chOff x="87" y="1884"/>
          <a:chExt cx="96" cy="28"/>
        </a:xfrm>
        <a:solidFill>
          <a:srgbClr val="FFFFFF"/>
        </a:solidFill>
      </xdr:grpSpPr>
      <xdr:sp>
        <xdr:nvSpPr>
          <xdr:cNvPr id="390" name="Line 801"/>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1" name="Line 802"/>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2" name="Line 803"/>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349</xdr:row>
      <xdr:rowOff>28575</xdr:rowOff>
    </xdr:from>
    <xdr:to>
      <xdr:col>24</xdr:col>
      <xdr:colOff>85725</xdr:colOff>
      <xdr:row>349</xdr:row>
      <xdr:rowOff>285750</xdr:rowOff>
    </xdr:to>
    <xdr:grpSp>
      <xdr:nvGrpSpPr>
        <xdr:cNvPr id="393" name="Group 804"/>
        <xdr:cNvGrpSpPr>
          <a:grpSpLocks/>
        </xdr:cNvGrpSpPr>
      </xdr:nvGrpSpPr>
      <xdr:grpSpPr>
        <a:xfrm>
          <a:off x="1990725" y="109728000"/>
          <a:ext cx="1752600" cy="257175"/>
          <a:chOff x="209" y="1884"/>
          <a:chExt cx="184" cy="27"/>
        </a:xfrm>
        <a:solidFill>
          <a:srgbClr val="FFFFFF"/>
        </a:solidFill>
      </xdr:grpSpPr>
      <xdr:sp>
        <xdr:nvSpPr>
          <xdr:cNvPr id="394" name="Line 805"/>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5" name="Line 806"/>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6" name="Line 807"/>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664</xdr:row>
      <xdr:rowOff>133350</xdr:rowOff>
    </xdr:from>
    <xdr:to>
      <xdr:col>23</xdr:col>
      <xdr:colOff>95250</xdr:colOff>
      <xdr:row>665</xdr:row>
      <xdr:rowOff>180975</xdr:rowOff>
    </xdr:to>
    <xdr:sp>
      <xdr:nvSpPr>
        <xdr:cNvPr id="397" name="AutoShape 808"/>
        <xdr:cNvSpPr>
          <a:spLocks/>
        </xdr:cNvSpPr>
      </xdr:nvSpPr>
      <xdr:spPr>
        <a:xfrm>
          <a:off x="3524250" y="2088451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664</xdr:row>
      <xdr:rowOff>142875</xdr:rowOff>
    </xdr:from>
    <xdr:to>
      <xdr:col>5</xdr:col>
      <xdr:colOff>104775</xdr:colOff>
      <xdr:row>665</xdr:row>
      <xdr:rowOff>171450</xdr:rowOff>
    </xdr:to>
    <xdr:sp>
      <xdr:nvSpPr>
        <xdr:cNvPr id="398" name="AutoShape 809"/>
        <xdr:cNvSpPr>
          <a:spLocks/>
        </xdr:cNvSpPr>
      </xdr:nvSpPr>
      <xdr:spPr>
        <a:xfrm>
          <a:off x="790575" y="2088546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664</xdr:row>
      <xdr:rowOff>133350</xdr:rowOff>
    </xdr:from>
    <xdr:to>
      <xdr:col>23</xdr:col>
      <xdr:colOff>95250</xdr:colOff>
      <xdr:row>665</xdr:row>
      <xdr:rowOff>180975</xdr:rowOff>
    </xdr:to>
    <xdr:sp>
      <xdr:nvSpPr>
        <xdr:cNvPr id="399" name="AutoShape 810"/>
        <xdr:cNvSpPr>
          <a:spLocks/>
        </xdr:cNvSpPr>
      </xdr:nvSpPr>
      <xdr:spPr>
        <a:xfrm>
          <a:off x="3524250" y="2088451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664</xdr:row>
      <xdr:rowOff>142875</xdr:rowOff>
    </xdr:from>
    <xdr:to>
      <xdr:col>5</xdr:col>
      <xdr:colOff>104775</xdr:colOff>
      <xdr:row>665</xdr:row>
      <xdr:rowOff>171450</xdr:rowOff>
    </xdr:to>
    <xdr:sp>
      <xdr:nvSpPr>
        <xdr:cNvPr id="400" name="AutoShape 811"/>
        <xdr:cNvSpPr>
          <a:spLocks/>
        </xdr:cNvSpPr>
      </xdr:nvSpPr>
      <xdr:spPr>
        <a:xfrm>
          <a:off x="790575" y="2088546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664</xdr:row>
      <xdr:rowOff>133350</xdr:rowOff>
    </xdr:from>
    <xdr:to>
      <xdr:col>23</xdr:col>
      <xdr:colOff>95250</xdr:colOff>
      <xdr:row>665</xdr:row>
      <xdr:rowOff>180975</xdr:rowOff>
    </xdr:to>
    <xdr:sp>
      <xdr:nvSpPr>
        <xdr:cNvPr id="401" name="AutoShape 812"/>
        <xdr:cNvSpPr>
          <a:spLocks/>
        </xdr:cNvSpPr>
      </xdr:nvSpPr>
      <xdr:spPr>
        <a:xfrm>
          <a:off x="3524250" y="2088451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664</xdr:row>
      <xdr:rowOff>142875</xdr:rowOff>
    </xdr:from>
    <xdr:to>
      <xdr:col>5</xdr:col>
      <xdr:colOff>104775</xdr:colOff>
      <xdr:row>665</xdr:row>
      <xdr:rowOff>171450</xdr:rowOff>
    </xdr:to>
    <xdr:sp>
      <xdr:nvSpPr>
        <xdr:cNvPr id="402" name="AutoShape 813"/>
        <xdr:cNvSpPr>
          <a:spLocks/>
        </xdr:cNvSpPr>
      </xdr:nvSpPr>
      <xdr:spPr>
        <a:xfrm>
          <a:off x="790575" y="2088546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512</xdr:row>
      <xdr:rowOff>133350</xdr:rowOff>
    </xdr:from>
    <xdr:to>
      <xdr:col>14</xdr:col>
      <xdr:colOff>95250</xdr:colOff>
      <xdr:row>513</xdr:row>
      <xdr:rowOff>180975</xdr:rowOff>
    </xdr:to>
    <xdr:sp>
      <xdr:nvSpPr>
        <xdr:cNvPr id="403" name="AutoShape 814"/>
        <xdr:cNvSpPr>
          <a:spLocks/>
        </xdr:cNvSpPr>
      </xdr:nvSpPr>
      <xdr:spPr>
        <a:xfrm>
          <a:off x="2152650" y="1610677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512</xdr:row>
      <xdr:rowOff>142875</xdr:rowOff>
    </xdr:from>
    <xdr:to>
      <xdr:col>5</xdr:col>
      <xdr:colOff>104775</xdr:colOff>
      <xdr:row>513</xdr:row>
      <xdr:rowOff>171450</xdr:rowOff>
    </xdr:to>
    <xdr:sp>
      <xdr:nvSpPr>
        <xdr:cNvPr id="404" name="AutoShape 815"/>
        <xdr:cNvSpPr>
          <a:spLocks/>
        </xdr:cNvSpPr>
      </xdr:nvSpPr>
      <xdr:spPr>
        <a:xfrm>
          <a:off x="790575" y="1610772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516</xdr:row>
      <xdr:rowOff>28575</xdr:rowOff>
    </xdr:from>
    <xdr:to>
      <xdr:col>11</xdr:col>
      <xdr:colOff>66675</xdr:colOff>
      <xdr:row>516</xdr:row>
      <xdr:rowOff>295275</xdr:rowOff>
    </xdr:to>
    <xdr:grpSp>
      <xdr:nvGrpSpPr>
        <xdr:cNvPr id="405" name="Group 816"/>
        <xdr:cNvGrpSpPr>
          <a:grpSpLocks/>
        </xdr:cNvGrpSpPr>
      </xdr:nvGrpSpPr>
      <xdr:grpSpPr>
        <a:xfrm>
          <a:off x="828675" y="162220275"/>
          <a:ext cx="914400" cy="266700"/>
          <a:chOff x="87" y="1884"/>
          <a:chExt cx="96" cy="28"/>
        </a:xfrm>
        <a:solidFill>
          <a:srgbClr val="FFFFFF"/>
        </a:solidFill>
      </xdr:grpSpPr>
      <xdr:sp>
        <xdr:nvSpPr>
          <xdr:cNvPr id="406" name="Line 817"/>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7" name="Line 818"/>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8" name="Line 819"/>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516</xdr:row>
      <xdr:rowOff>28575</xdr:rowOff>
    </xdr:from>
    <xdr:to>
      <xdr:col>24</xdr:col>
      <xdr:colOff>85725</xdr:colOff>
      <xdr:row>516</xdr:row>
      <xdr:rowOff>285750</xdr:rowOff>
    </xdr:to>
    <xdr:grpSp>
      <xdr:nvGrpSpPr>
        <xdr:cNvPr id="409" name="Group 820"/>
        <xdr:cNvGrpSpPr>
          <a:grpSpLocks/>
        </xdr:cNvGrpSpPr>
      </xdr:nvGrpSpPr>
      <xdr:grpSpPr>
        <a:xfrm>
          <a:off x="1990725" y="162220275"/>
          <a:ext cx="1752600" cy="257175"/>
          <a:chOff x="209" y="1884"/>
          <a:chExt cx="184" cy="27"/>
        </a:xfrm>
        <a:solidFill>
          <a:srgbClr val="FFFFFF"/>
        </a:solidFill>
      </xdr:grpSpPr>
      <xdr:sp>
        <xdr:nvSpPr>
          <xdr:cNvPr id="410" name="Line 821"/>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1" name="Line 822"/>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2" name="Line 823"/>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578</xdr:row>
      <xdr:rowOff>133350</xdr:rowOff>
    </xdr:from>
    <xdr:to>
      <xdr:col>14</xdr:col>
      <xdr:colOff>95250</xdr:colOff>
      <xdr:row>579</xdr:row>
      <xdr:rowOff>180975</xdr:rowOff>
    </xdr:to>
    <xdr:sp>
      <xdr:nvSpPr>
        <xdr:cNvPr id="413" name="AutoShape 824"/>
        <xdr:cNvSpPr>
          <a:spLocks/>
        </xdr:cNvSpPr>
      </xdr:nvSpPr>
      <xdr:spPr>
        <a:xfrm>
          <a:off x="2152650" y="1818132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578</xdr:row>
      <xdr:rowOff>142875</xdr:rowOff>
    </xdr:from>
    <xdr:to>
      <xdr:col>5</xdr:col>
      <xdr:colOff>104775</xdr:colOff>
      <xdr:row>579</xdr:row>
      <xdr:rowOff>171450</xdr:rowOff>
    </xdr:to>
    <xdr:sp>
      <xdr:nvSpPr>
        <xdr:cNvPr id="414" name="AutoShape 825"/>
        <xdr:cNvSpPr>
          <a:spLocks/>
        </xdr:cNvSpPr>
      </xdr:nvSpPr>
      <xdr:spPr>
        <a:xfrm>
          <a:off x="790575" y="1818227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582</xdr:row>
      <xdr:rowOff>28575</xdr:rowOff>
    </xdr:from>
    <xdr:to>
      <xdr:col>11</xdr:col>
      <xdr:colOff>66675</xdr:colOff>
      <xdr:row>582</xdr:row>
      <xdr:rowOff>295275</xdr:rowOff>
    </xdr:to>
    <xdr:grpSp>
      <xdr:nvGrpSpPr>
        <xdr:cNvPr id="415" name="Group 826"/>
        <xdr:cNvGrpSpPr>
          <a:grpSpLocks/>
        </xdr:cNvGrpSpPr>
      </xdr:nvGrpSpPr>
      <xdr:grpSpPr>
        <a:xfrm>
          <a:off x="828675" y="182965725"/>
          <a:ext cx="914400" cy="266700"/>
          <a:chOff x="87" y="1884"/>
          <a:chExt cx="96" cy="28"/>
        </a:xfrm>
        <a:solidFill>
          <a:srgbClr val="FFFFFF"/>
        </a:solidFill>
      </xdr:grpSpPr>
      <xdr:sp>
        <xdr:nvSpPr>
          <xdr:cNvPr id="416" name="Line 827"/>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7" name="Line 828"/>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8" name="Line 829"/>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582</xdr:row>
      <xdr:rowOff>28575</xdr:rowOff>
    </xdr:from>
    <xdr:to>
      <xdr:col>24</xdr:col>
      <xdr:colOff>85725</xdr:colOff>
      <xdr:row>582</xdr:row>
      <xdr:rowOff>285750</xdr:rowOff>
    </xdr:to>
    <xdr:grpSp>
      <xdr:nvGrpSpPr>
        <xdr:cNvPr id="419" name="Group 830"/>
        <xdr:cNvGrpSpPr>
          <a:grpSpLocks/>
        </xdr:cNvGrpSpPr>
      </xdr:nvGrpSpPr>
      <xdr:grpSpPr>
        <a:xfrm>
          <a:off x="1990725" y="182965725"/>
          <a:ext cx="1752600" cy="257175"/>
          <a:chOff x="209" y="1884"/>
          <a:chExt cx="184" cy="27"/>
        </a:xfrm>
        <a:solidFill>
          <a:srgbClr val="FFFFFF"/>
        </a:solidFill>
      </xdr:grpSpPr>
      <xdr:sp>
        <xdr:nvSpPr>
          <xdr:cNvPr id="420" name="Line 831"/>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21" name="Line 832"/>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22" name="Line 833"/>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897</xdr:row>
      <xdr:rowOff>133350</xdr:rowOff>
    </xdr:from>
    <xdr:to>
      <xdr:col>23</xdr:col>
      <xdr:colOff>95250</xdr:colOff>
      <xdr:row>898</xdr:row>
      <xdr:rowOff>180975</xdr:rowOff>
    </xdr:to>
    <xdr:sp>
      <xdr:nvSpPr>
        <xdr:cNvPr id="423" name="AutoShape 834"/>
        <xdr:cNvSpPr>
          <a:spLocks/>
        </xdr:cNvSpPr>
      </xdr:nvSpPr>
      <xdr:spPr>
        <a:xfrm>
          <a:off x="3524250" y="2820828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897</xdr:row>
      <xdr:rowOff>142875</xdr:rowOff>
    </xdr:from>
    <xdr:to>
      <xdr:col>5</xdr:col>
      <xdr:colOff>104775</xdr:colOff>
      <xdr:row>898</xdr:row>
      <xdr:rowOff>171450</xdr:rowOff>
    </xdr:to>
    <xdr:sp>
      <xdr:nvSpPr>
        <xdr:cNvPr id="424" name="AutoShape 835"/>
        <xdr:cNvSpPr>
          <a:spLocks/>
        </xdr:cNvSpPr>
      </xdr:nvSpPr>
      <xdr:spPr>
        <a:xfrm>
          <a:off x="790575" y="2820924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897</xdr:row>
      <xdr:rowOff>133350</xdr:rowOff>
    </xdr:from>
    <xdr:to>
      <xdr:col>23</xdr:col>
      <xdr:colOff>95250</xdr:colOff>
      <xdr:row>898</xdr:row>
      <xdr:rowOff>180975</xdr:rowOff>
    </xdr:to>
    <xdr:sp>
      <xdr:nvSpPr>
        <xdr:cNvPr id="425" name="AutoShape 836"/>
        <xdr:cNvSpPr>
          <a:spLocks/>
        </xdr:cNvSpPr>
      </xdr:nvSpPr>
      <xdr:spPr>
        <a:xfrm>
          <a:off x="3524250" y="2820828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897</xdr:row>
      <xdr:rowOff>142875</xdr:rowOff>
    </xdr:from>
    <xdr:to>
      <xdr:col>5</xdr:col>
      <xdr:colOff>104775</xdr:colOff>
      <xdr:row>898</xdr:row>
      <xdr:rowOff>171450</xdr:rowOff>
    </xdr:to>
    <xdr:sp>
      <xdr:nvSpPr>
        <xdr:cNvPr id="426" name="AutoShape 837"/>
        <xdr:cNvSpPr>
          <a:spLocks/>
        </xdr:cNvSpPr>
      </xdr:nvSpPr>
      <xdr:spPr>
        <a:xfrm>
          <a:off x="790575" y="2820924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897</xdr:row>
      <xdr:rowOff>133350</xdr:rowOff>
    </xdr:from>
    <xdr:to>
      <xdr:col>23</xdr:col>
      <xdr:colOff>95250</xdr:colOff>
      <xdr:row>898</xdr:row>
      <xdr:rowOff>180975</xdr:rowOff>
    </xdr:to>
    <xdr:sp>
      <xdr:nvSpPr>
        <xdr:cNvPr id="427" name="AutoShape 838"/>
        <xdr:cNvSpPr>
          <a:spLocks/>
        </xdr:cNvSpPr>
      </xdr:nvSpPr>
      <xdr:spPr>
        <a:xfrm>
          <a:off x="3524250" y="2820828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897</xdr:row>
      <xdr:rowOff>142875</xdr:rowOff>
    </xdr:from>
    <xdr:to>
      <xdr:col>5</xdr:col>
      <xdr:colOff>104775</xdr:colOff>
      <xdr:row>898</xdr:row>
      <xdr:rowOff>171450</xdr:rowOff>
    </xdr:to>
    <xdr:sp>
      <xdr:nvSpPr>
        <xdr:cNvPr id="428" name="AutoShape 839"/>
        <xdr:cNvSpPr>
          <a:spLocks/>
        </xdr:cNvSpPr>
      </xdr:nvSpPr>
      <xdr:spPr>
        <a:xfrm>
          <a:off x="790575" y="2820924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745</xdr:row>
      <xdr:rowOff>133350</xdr:rowOff>
    </xdr:from>
    <xdr:to>
      <xdr:col>14</xdr:col>
      <xdr:colOff>95250</xdr:colOff>
      <xdr:row>746</xdr:row>
      <xdr:rowOff>180975</xdr:rowOff>
    </xdr:to>
    <xdr:sp>
      <xdr:nvSpPr>
        <xdr:cNvPr id="429" name="AutoShape 840"/>
        <xdr:cNvSpPr>
          <a:spLocks/>
        </xdr:cNvSpPr>
      </xdr:nvSpPr>
      <xdr:spPr>
        <a:xfrm>
          <a:off x="2152650" y="2343054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745</xdr:row>
      <xdr:rowOff>142875</xdr:rowOff>
    </xdr:from>
    <xdr:to>
      <xdr:col>5</xdr:col>
      <xdr:colOff>104775</xdr:colOff>
      <xdr:row>746</xdr:row>
      <xdr:rowOff>171450</xdr:rowOff>
    </xdr:to>
    <xdr:sp>
      <xdr:nvSpPr>
        <xdr:cNvPr id="430" name="AutoShape 841"/>
        <xdr:cNvSpPr>
          <a:spLocks/>
        </xdr:cNvSpPr>
      </xdr:nvSpPr>
      <xdr:spPr>
        <a:xfrm>
          <a:off x="790575" y="2343150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749</xdr:row>
      <xdr:rowOff>28575</xdr:rowOff>
    </xdr:from>
    <xdr:to>
      <xdr:col>11</xdr:col>
      <xdr:colOff>66675</xdr:colOff>
      <xdr:row>749</xdr:row>
      <xdr:rowOff>295275</xdr:rowOff>
    </xdr:to>
    <xdr:grpSp>
      <xdr:nvGrpSpPr>
        <xdr:cNvPr id="431" name="Group 842"/>
        <xdr:cNvGrpSpPr>
          <a:grpSpLocks/>
        </xdr:cNvGrpSpPr>
      </xdr:nvGrpSpPr>
      <xdr:grpSpPr>
        <a:xfrm>
          <a:off x="828675" y="235458000"/>
          <a:ext cx="914400" cy="266700"/>
          <a:chOff x="87" y="1884"/>
          <a:chExt cx="96" cy="28"/>
        </a:xfrm>
        <a:solidFill>
          <a:srgbClr val="FFFFFF"/>
        </a:solidFill>
      </xdr:grpSpPr>
      <xdr:sp>
        <xdr:nvSpPr>
          <xdr:cNvPr id="432" name="Line 843"/>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3" name="Line 844"/>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4" name="Line 845"/>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749</xdr:row>
      <xdr:rowOff>28575</xdr:rowOff>
    </xdr:from>
    <xdr:to>
      <xdr:col>24</xdr:col>
      <xdr:colOff>85725</xdr:colOff>
      <xdr:row>749</xdr:row>
      <xdr:rowOff>285750</xdr:rowOff>
    </xdr:to>
    <xdr:grpSp>
      <xdr:nvGrpSpPr>
        <xdr:cNvPr id="435" name="Group 846"/>
        <xdr:cNvGrpSpPr>
          <a:grpSpLocks/>
        </xdr:cNvGrpSpPr>
      </xdr:nvGrpSpPr>
      <xdr:grpSpPr>
        <a:xfrm>
          <a:off x="1990725" y="235458000"/>
          <a:ext cx="1752600" cy="257175"/>
          <a:chOff x="209" y="1884"/>
          <a:chExt cx="184" cy="27"/>
        </a:xfrm>
        <a:solidFill>
          <a:srgbClr val="FFFFFF"/>
        </a:solidFill>
      </xdr:grpSpPr>
      <xdr:sp>
        <xdr:nvSpPr>
          <xdr:cNvPr id="436" name="Line 847"/>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7" name="Line 848"/>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8" name="Line 849"/>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811</xdr:row>
      <xdr:rowOff>133350</xdr:rowOff>
    </xdr:from>
    <xdr:to>
      <xdr:col>14</xdr:col>
      <xdr:colOff>95250</xdr:colOff>
      <xdr:row>812</xdr:row>
      <xdr:rowOff>180975</xdr:rowOff>
    </xdr:to>
    <xdr:sp>
      <xdr:nvSpPr>
        <xdr:cNvPr id="439" name="AutoShape 850"/>
        <xdr:cNvSpPr>
          <a:spLocks/>
        </xdr:cNvSpPr>
      </xdr:nvSpPr>
      <xdr:spPr>
        <a:xfrm>
          <a:off x="2152650" y="2550509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811</xdr:row>
      <xdr:rowOff>142875</xdr:rowOff>
    </xdr:from>
    <xdr:to>
      <xdr:col>5</xdr:col>
      <xdr:colOff>104775</xdr:colOff>
      <xdr:row>812</xdr:row>
      <xdr:rowOff>171450</xdr:rowOff>
    </xdr:to>
    <xdr:sp>
      <xdr:nvSpPr>
        <xdr:cNvPr id="440" name="AutoShape 851"/>
        <xdr:cNvSpPr>
          <a:spLocks/>
        </xdr:cNvSpPr>
      </xdr:nvSpPr>
      <xdr:spPr>
        <a:xfrm>
          <a:off x="790575" y="2550604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815</xdr:row>
      <xdr:rowOff>28575</xdr:rowOff>
    </xdr:from>
    <xdr:to>
      <xdr:col>11</xdr:col>
      <xdr:colOff>66675</xdr:colOff>
      <xdr:row>815</xdr:row>
      <xdr:rowOff>295275</xdr:rowOff>
    </xdr:to>
    <xdr:grpSp>
      <xdr:nvGrpSpPr>
        <xdr:cNvPr id="441" name="Group 852"/>
        <xdr:cNvGrpSpPr>
          <a:grpSpLocks/>
        </xdr:cNvGrpSpPr>
      </xdr:nvGrpSpPr>
      <xdr:grpSpPr>
        <a:xfrm>
          <a:off x="828675" y="256203450"/>
          <a:ext cx="914400" cy="266700"/>
          <a:chOff x="87" y="1884"/>
          <a:chExt cx="96" cy="28"/>
        </a:xfrm>
        <a:solidFill>
          <a:srgbClr val="FFFFFF"/>
        </a:solidFill>
      </xdr:grpSpPr>
      <xdr:sp>
        <xdr:nvSpPr>
          <xdr:cNvPr id="442" name="Line 853"/>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3" name="Line 854"/>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4" name="Line 855"/>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815</xdr:row>
      <xdr:rowOff>28575</xdr:rowOff>
    </xdr:from>
    <xdr:to>
      <xdr:col>24</xdr:col>
      <xdr:colOff>85725</xdr:colOff>
      <xdr:row>815</xdr:row>
      <xdr:rowOff>285750</xdr:rowOff>
    </xdr:to>
    <xdr:grpSp>
      <xdr:nvGrpSpPr>
        <xdr:cNvPr id="445" name="Group 856"/>
        <xdr:cNvGrpSpPr>
          <a:grpSpLocks/>
        </xdr:cNvGrpSpPr>
      </xdr:nvGrpSpPr>
      <xdr:grpSpPr>
        <a:xfrm>
          <a:off x="1990725" y="256203450"/>
          <a:ext cx="1752600" cy="257175"/>
          <a:chOff x="209" y="1884"/>
          <a:chExt cx="184" cy="27"/>
        </a:xfrm>
        <a:solidFill>
          <a:srgbClr val="FFFFFF"/>
        </a:solidFill>
      </xdr:grpSpPr>
      <xdr:sp>
        <xdr:nvSpPr>
          <xdr:cNvPr id="446" name="Line 857"/>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7" name="Line 858"/>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8" name="Line 859"/>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1130</xdr:row>
      <xdr:rowOff>133350</xdr:rowOff>
    </xdr:from>
    <xdr:to>
      <xdr:col>23</xdr:col>
      <xdr:colOff>95250</xdr:colOff>
      <xdr:row>1131</xdr:row>
      <xdr:rowOff>180975</xdr:rowOff>
    </xdr:to>
    <xdr:sp>
      <xdr:nvSpPr>
        <xdr:cNvPr id="449" name="AutoShape 860"/>
        <xdr:cNvSpPr>
          <a:spLocks/>
        </xdr:cNvSpPr>
      </xdr:nvSpPr>
      <xdr:spPr>
        <a:xfrm>
          <a:off x="3524250" y="3553206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1130</xdr:row>
      <xdr:rowOff>142875</xdr:rowOff>
    </xdr:from>
    <xdr:to>
      <xdr:col>5</xdr:col>
      <xdr:colOff>104775</xdr:colOff>
      <xdr:row>1131</xdr:row>
      <xdr:rowOff>171450</xdr:rowOff>
    </xdr:to>
    <xdr:sp>
      <xdr:nvSpPr>
        <xdr:cNvPr id="450" name="AutoShape 861"/>
        <xdr:cNvSpPr>
          <a:spLocks/>
        </xdr:cNvSpPr>
      </xdr:nvSpPr>
      <xdr:spPr>
        <a:xfrm>
          <a:off x="790575" y="3553301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1130</xdr:row>
      <xdr:rowOff>133350</xdr:rowOff>
    </xdr:from>
    <xdr:to>
      <xdr:col>23</xdr:col>
      <xdr:colOff>95250</xdr:colOff>
      <xdr:row>1131</xdr:row>
      <xdr:rowOff>180975</xdr:rowOff>
    </xdr:to>
    <xdr:sp>
      <xdr:nvSpPr>
        <xdr:cNvPr id="451" name="AutoShape 862"/>
        <xdr:cNvSpPr>
          <a:spLocks/>
        </xdr:cNvSpPr>
      </xdr:nvSpPr>
      <xdr:spPr>
        <a:xfrm>
          <a:off x="3524250" y="3553206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1130</xdr:row>
      <xdr:rowOff>142875</xdr:rowOff>
    </xdr:from>
    <xdr:to>
      <xdr:col>5</xdr:col>
      <xdr:colOff>104775</xdr:colOff>
      <xdr:row>1131</xdr:row>
      <xdr:rowOff>171450</xdr:rowOff>
    </xdr:to>
    <xdr:sp>
      <xdr:nvSpPr>
        <xdr:cNvPr id="452" name="AutoShape 863"/>
        <xdr:cNvSpPr>
          <a:spLocks/>
        </xdr:cNvSpPr>
      </xdr:nvSpPr>
      <xdr:spPr>
        <a:xfrm>
          <a:off x="790575" y="3553301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1130</xdr:row>
      <xdr:rowOff>133350</xdr:rowOff>
    </xdr:from>
    <xdr:to>
      <xdr:col>23</xdr:col>
      <xdr:colOff>95250</xdr:colOff>
      <xdr:row>1131</xdr:row>
      <xdr:rowOff>180975</xdr:rowOff>
    </xdr:to>
    <xdr:sp>
      <xdr:nvSpPr>
        <xdr:cNvPr id="453" name="AutoShape 864"/>
        <xdr:cNvSpPr>
          <a:spLocks/>
        </xdr:cNvSpPr>
      </xdr:nvSpPr>
      <xdr:spPr>
        <a:xfrm>
          <a:off x="3524250" y="3553206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1130</xdr:row>
      <xdr:rowOff>142875</xdr:rowOff>
    </xdr:from>
    <xdr:to>
      <xdr:col>5</xdr:col>
      <xdr:colOff>104775</xdr:colOff>
      <xdr:row>1131</xdr:row>
      <xdr:rowOff>171450</xdr:rowOff>
    </xdr:to>
    <xdr:sp>
      <xdr:nvSpPr>
        <xdr:cNvPr id="454" name="AutoShape 865"/>
        <xdr:cNvSpPr>
          <a:spLocks/>
        </xdr:cNvSpPr>
      </xdr:nvSpPr>
      <xdr:spPr>
        <a:xfrm>
          <a:off x="790575" y="3553301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978</xdr:row>
      <xdr:rowOff>133350</xdr:rowOff>
    </xdr:from>
    <xdr:to>
      <xdr:col>14</xdr:col>
      <xdr:colOff>95250</xdr:colOff>
      <xdr:row>979</xdr:row>
      <xdr:rowOff>180975</xdr:rowOff>
    </xdr:to>
    <xdr:sp>
      <xdr:nvSpPr>
        <xdr:cNvPr id="455" name="AutoShape 866"/>
        <xdr:cNvSpPr>
          <a:spLocks/>
        </xdr:cNvSpPr>
      </xdr:nvSpPr>
      <xdr:spPr>
        <a:xfrm>
          <a:off x="2152650" y="3075432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978</xdr:row>
      <xdr:rowOff>142875</xdr:rowOff>
    </xdr:from>
    <xdr:to>
      <xdr:col>5</xdr:col>
      <xdr:colOff>104775</xdr:colOff>
      <xdr:row>979</xdr:row>
      <xdr:rowOff>171450</xdr:rowOff>
    </xdr:to>
    <xdr:sp>
      <xdr:nvSpPr>
        <xdr:cNvPr id="456" name="AutoShape 867"/>
        <xdr:cNvSpPr>
          <a:spLocks/>
        </xdr:cNvSpPr>
      </xdr:nvSpPr>
      <xdr:spPr>
        <a:xfrm>
          <a:off x="790575" y="3075527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982</xdr:row>
      <xdr:rowOff>28575</xdr:rowOff>
    </xdr:from>
    <xdr:to>
      <xdr:col>11</xdr:col>
      <xdr:colOff>66675</xdr:colOff>
      <xdr:row>982</xdr:row>
      <xdr:rowOff>295275</xdr:rowOff>
    </xdr:to>
    <xdr:grpSp>
      <xdr:nvGrpSpPr>
        <xdr:cNvPr id="457" name="Group 868"/>
        <xdr:cNvGrpSpPr>
          <a:grpSpLocks/>
        </xdr:cNvGrpSpPr>
      </xdr:nvGrpSpPr>
      <xdr:grpSpPr>
        <a:xfrm>
          <a:off x="828675" y="308695725"/>
          <a:ext cx="914400" cy="266700"/>
          <a:chOff x="87" y="1884"/>
          <a:chExt cx="96" cy="28"/>
        </a:xfrm>
        <a:solidFill>
          <a:srgbClr val="FFFFFF"/>
        </a:solidFill>
      </xdr:grpSpPr>
      <xdr:sp>
        <xdr:nvSpPr>
          <xdr:cNvPr id="458" name="Line 869"/>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59" name="Line 870"/>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0" name="Line 871"/>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982</xdr:row>
      <xdr:rowOff>28575</xdr:rowOff>
    </xdr:from>
    <xdr:to>
      <xdr:col>24</xdr:col>
      <xdr:colOff>85725</xdr:colOff>
      <xdr:row>982</xdr:row>
      <xdr:rowOff>285750</xdr:rowOff>
    </xdr:to>
    <xdr:grpSp>
      <xdr:nvGrpSpPr>
        <xdr:cNvPr id="461" name="Group 872"/>
        <xdr:cNvGrpSpPr>
          <a:grpSpLocks/>
        </xdr:cNvGrpSpPr>
      </xdr:nvGrpSpPr>
      <xdr:grpSpPr>
        <a:xfrm>
          <a:off x="1990725" y="308695725"/>
          <a:ext cx="1752600" cy="257175"/>
          <a:chOff x="209" y="1884"/>
          <a:chExt cx="184" cy="27"/>
        </a:xfrm>
        <a:solidFill>
          <a:srgbClr val="FFFFFF"/>
        </a:solidFill>
      </xdr:grpSpPr>
      <xdr:sp>
        <xdr:nvSpPr>
          <xdr:cNvPr id="462" name="Line 873"/>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3" name="Line 874"/>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4" name="Line 875"/>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1044</xdr:row>
      <xdr:rowOff>133350</xdr:rowOff>
    </xdr:from>
    <xdr:to>
      <xdr:col>14</xdr:col>
      <xdr:colOff>95250</xdr:colOff>
      <xdr:row>1045</xdr:row>
      <xdr:rowOff>180975</xdr:rowOff>
    </xdr:to>
    <xdr:sp>
      <xdr:nvSpPr>
        <xdr:cNvPr id="465" name="AutoShape 876"/>
        <xdr:cNvSpPr>
          <a:spLocks/>
        </xdr:cNvSpPr>
      </xdr:nvSpPr>
      <xdr:spPr>
        <a:xfrm>
          <a:off x="2152650" y="3282886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1044</xdr:row>
      <xdr:rowOff>142875</xdr:rowOff>
    </xdr:from>
    <xdr:to>
      <xdr:col>5</xdr:col>
      <xdr:colOff>104775</xdr:colOff>
      <xdr:row>1045</xdr:row>
      <xdr:rowOff>171450</xdr:rowOff>
    </xdr:to>
    <xdr:sp>
      <xdr:nvSpPr>
        <xdr:cNvPr id="466" name="AutoShape 877"/>
        <xdr:cNvSpPr>
          <a:spLocks/>
        </xdr:cNvSpPr>
      </xdr:nvSpPr>
      <xdr:spPr>
        <a:xfrm>
          <a:off x="790575" y="3282981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1048</xdr:row>
      <xdr:rowOff>28575</xdr:rowOff>
    </xdr:from>
    <xdr:to>
      <xdr:col>11</xdr:col>
      <xdr:colOff>66675</xdr:colOff>
      <xdr:row>1048</xdr:row>
      <xdr:rowOff>295275</xdr:rowOff>
    </xdr:to>
    <xdr:grpSp>
      <xdr:nvGrpSpPr>
        <xdr:cNvPr id="467" name="Group 878"/>
        <xdr:cNvGrpSpPr>
          <a:grpSpLocks/>
        </xdr:cNvGrpSpPr>
      </xdr:nvGrpSpPr>
      <xdr:grpSpPr>
        <a:xfrm>
          <a:off x="828675" y="329441175"/>
          <a:ext cx="914400" cy="266700"/>
          <a:chOff x="87" y="1884"/>
          <a:chExt cx="96" cy="28"/>
        </a:xfrm>
        <a:solidFill>
          <a:srgbClr val="FFFFFF"/>
        </a:solidFill>
      </xdr:grpSpPr>
      <xdr:sp>
        <xdr:nvSpPr>
          <xdr:cNvPr id="468" name="Line 879"/>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9" name="Line 880"/>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0" name="Line 881"/>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1048</xdr:row>
      <xdr:rowOff>28575</xdr:rowOff>
    </xdr:from>
    <xdr:to>
      <xdr:col>24</xdr:col>
      <xdr:colOff>85725</xdr:colOff>
      <xdr:row>1048</xdr:row>
      <xdr:rowOff>285750</xdr:rowOff>
    </xdr:to>
    <xdr:grpSp>
      <xdr:nvGrpSpPr>
        <xdr:cNvPr id="471" name="Group 882"/>
        <xdr:cNvGrpSpPr>
          <a:grpSpLocks/>
        </xdr:cNvGrpSpPr>
      </xdr:nvGrpSpPr>
      <xdr:grpSpPr>
        <a:xfrm>
          <a:off x="1990725" y="329441175"/>
          <a:ext cx="1752600" cy="257175"/>
          <a:chOff x="209" y="1884"/>
          <a:chExt cx="184" cy="27"/>
        </a:xfrm>
        <a:solidFill>
          <a:srgbClr val="FFFFFF"/>
        </a:solidFill>
      </xdr:grpSpPr>
      <xdr:sp>
        <xdr:nvSpPr>
          <xdr:cNvPr id="472" name="Line 883"/>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3" name="Line 884"/>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4" name="Line 885"/>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editAs="oneCell">
    <xdr:from>
      <xdr:col>1</xdr:col>
      <xdr:colOff>104775</xdr:colOff>
      <xdr:row>16</xdr:row>
      <xdr:rowOff>0</xdr:rowOff>
    </xdr:from>
    <xdr:to>
      <xdr:col>30</xdr:col>
      <xdr:colOff>57150</xdr:colOff>
      <xdr:row>24</xdr:row>
      <xdr:rowOff>19050</xdr:rowOff>
    </xdr:to>
    <xdr:pic>
      <xdr:nvPicPr>
        <xdr:cNvPr id="475" name="Picture 886"/>
        <xdr:cNvPicPr preferRelativeResize="1">
          <a:picLocks noChangeAspect="1"/>
        </xdr:cNvPicPr>
      </xdr:nvPicPr>
      <xdr:blipFill>
        <a:blip r:link="rId1"/>
        <a:stretch>
          <a:fillRect/>
        </a:stretch>
      </xdr:blipFill>
      <xdr:spPr>
        <a:xfrm>
          <a:off x="257175" y="5029200"/>
          <a:ext cx="4371975" cy="2533650"/>
        </a:xfrm>
        <a:prstGeom prst="rect">
          <a:avLst/>
        </a:prstGeom>
        <a:noFill/>
        <a:ln w="9525" cmpd="sng">
          <a:noFill/>
        </a:ln>
      </xdr:spPr>
    </xdr:pic>
    <xdr:clientData/>
  </xdr:twoCellAnchor>
  <xdr:twoCellAnchor editAs="oneCell">
    <xdr:from>
      <xdr:col>1</xdr:col>
      <xdr:colOff>104775</xdr:colOff>
      <xdr:row>54</xdr:row>
      <xdr:rowOff>0</xdr:rowOff>
    </xdr:from>
    <xdr:to>
      <xdr:col>20</xdr:col>
      <xdr:colOff>38100</xdr:colOff>
      <xdr:row>58</xdr:row>
      <xdr:rowOff>161925</xdr:rowOff>
    </xdr:to>
    <xdr:pic>
      <xdr:nvPicPr>
        <xdr:cNvPr id="476" name="Picture 887"/>
        <xdr:cNvPicPr preferRelativeResize="1">
          <a:picLocks noChangeAspect="1"/>
        </xdr:cNvPicPr>
      </xdr:nvPicPr>
      <xdr:blipFill>
        <a:blip r:link="rId2"/>
        <a:stretch>
          <a:fillRect/>
        </a:stretch>
      </xdr:blipFill>
      <xdr:spPr>
        <a:xfrm>
          <a:off x="257175" y="16973550"/>
          <a:ext cx="2828925" cy="1419225"/>
        </a:xfrm>
        <a:prstGeom prst="rect">
          <a:avLst/>
        </a:prstGeom>
        <a:noFill/>
        <a:ln w="9525" cmpd="sng">
          <a:noFill/>
        </a:ln>
      </xdr:spPr>
    </xdr:pic>
    <xdr:clientData/>
  </xdr:twoCellAnchor>
  <xdr:twoCellAnchor editAs="oneCell">
    <xdr:from>
      <xdr:col>1</xdr:col>
      <xdr:colOff>104775</xdr:colOff>
      <xdr:row>72</xdr:row>
      <xdr:rowOff>0</xdr:rowOff>
    </xdr:from>
    <xdr:to>
      <xdr:col>30</xdr:col>
      <xdr:colOff>57150</xdr:colOff>
      <xdr:row>80</xdr:row>
      <xdr:rowOff>209550</xdr:rowOff>
    </xdr:to>
    <xdr:pic>
      <xdr:nvPicPr>
        <xdr:cNvPr id="477" name="Picture 888"/>
        <xdr:cNvPicPr preferRelativeResize="1">
          <a:picLocks noChangeAspect="1"/>
        </xdr:cNvPicPr>
      </xdr:nvPicPr>
      <xdr:blipFill>
        <a:blip r:link="rId3"/>
        <a:stretch>
          <a:fillRect/>
        </a:stretch>
      </xdr:blipFill>
      <xdr:spPr>
        <a:xfrm>
          <a:off x="257175" y="22631400"/>
          <a:ext cx="4371975" cy="2724150"/>
        </a:xfrm>
        <a:prstGeom prst="rect">
          <a:avLst/>
        </a:prstGeom>
        <a:noFill/>
        <a:ln w="9525" cmpd="sng">
          <a:noFill/>
        </a:ln>
      </xdr:spPr>
    </xdr:pic>
    <xdr:clientData/>
  </xdr:twoCellAnchor>
  <xdr:twoCellAnchor editAs="oneCell">
    <xdr:from>
      <xdr:col>1</xdr:col>
      <xdr:colOff>104775</xdr:colOff>
      <xdr:row>130</xdr:row>
      <xdr:rowOff>0</xdr:rowOff>
    </xdr:from>
    <xdr:to>
      <xdr:col>20</xdr:col>
      <xdr:colOff>38100</xdr:colOff>
      <xdr:row>134</xdr:row>
      <xdr:rowOff>219075</xdr:rowOff>
    </xdr:to>
    <xdr:pic>
      <xdr:nvPicPr>
        <xdr:cNvPr id="478" name="Picture 889"/>
        <xdr:cNvPicPr preferRelativeResize="1">
          <a:picLocks noChangeAspect="1"/>
        </xdr:cNvPicPr>
      </xdr:nvPicPr>
      <xdr:blipFill>
        <a:blip r:link="rId4"/>
        <a:stretch>
          <a:fillRect/>
        </a:stretch>
      </xdr:blipFill>
      <xdr:spPr>
        <a:xfrm>
          <a:off x="257175" y="40862250"/>
          <a:ext cx="2828925" cy="1476375"/>
        </a:xfrm>
        <a:prstGeom prst="rect">
          <a:avLst/>
        </a:prstGeom>
        <a:noFill/>
        <a:ln w="9525" cmpd="sng">
          <a:noFill/>
        </a:ln>
      </xdr:spPr>
    </xdr:pic>
    <xdr:clientData/>
  </xdr:twoCellAnchor>
  <xdr:twoCellAnchor editAs="oneCell">
    <xdr:from>
      <xdr:col>3</xdr:col>
      <xdr:colOff>47625</xdr:colOff>
      <xdr:row>146</xdr:row>
      <xdr:rowOff>0</xdr:rowOff>
    </xdr:from>
    <xdr:to>
      <xdr:col>19</xdr:col>
      <xdr:colOff>28575</xdr:colOff>
      <xdr:row>158</xdr:row>
      <xdr:rowOff>228600</xdr:rowOff>
    </xdr:to>
    <xdr:pic>
      <xdr:nvPicPr>
        <xdr:cNvPr id="479" name="Picture 890"/>
        <xdr:cNvPicPr preferRelativeResize="1">
          <a:picLocks noChangeAspect="1"/>
        </xdr:cNvPicPr>
      </xdr:nvPicPr>
      <xdr:blipFill>
        <a:blip r:link="rId5"/>
        <a:stretch>
          <a:fillRect/>
        </a:stretch>
      </xdr:blipFill>
      <xdr:spPr>
        <a:xfrm>
          <a:off x="504825" y="45891450"/>
          <a:ext cx="2419350" cy="4000500"/>
        </a:xfrm>
        <a:prstGeom prst="rect">
          <a:avLst/>
        </a:prstGeom>
        <a:noFill/>
        <a:ln w="9525" cmpd="sng">
          <a:noFill/>
        </a:ln>
      </xdr:spPr>
    </xdr:pic>
    <xdr:clientData/>
  </xdr:twoCellAnchor>
  <xdr:twoCellAnchor editAs="oneCell">
    <xdr:from>
      <xdr:col>1</xdr:col>
      <xdr:colOff>104775</xdr:colOff>
      <xdr:row>249</xdr:row>
      <xdr:rowOff>0</xdr:rowOff>
    </xdr:from>
    <xdr:to>
      <xdr:col>30</xdr:col>
      <xdr:colOff>57150</xdr:colOff>
      <xdr:row>257</xdr:row>
      <xdr:rowOff>19050</xdr:rowOff>
    </xdr:to>
    <xdr:pic>
      <xdr:nvPicPr>
        <xdr:cNvPr id="480" name="Picture 891"/>
        <xdr:cNvPicPr preferRelativeResize="1">
          <a:picLocks noChangeAspect="1"/>
        </xdr:cNvPicPr>
      </xdr:nvPicPr>
      <xdr:blipFill>
        <a:blip r:link="rId6"/>
        <a:stretch>
          <a:fillRect/>
        </a:stretch>
      </xdr:blipFill>
      <xdr:spPr>
        <a:xfrm>
          <a:off x="257175" y="78266925"/>
          <a:ext cx="4371975" cy="2533650"/>
        </a:xfrm>
        <a:prstGeom prst="rect">
          <a:avLst/>
        </a:prstGeom>
        <a:noFill/>
        <a:ln w="9525" cmpd="sng">
          <a:noFill/>
        </a:ln>
      </xdr:spPr>
    </xdr:pic>
    <xdr:clientData/>
  </xdr:twoCellAnchor>
  <xdr:twoCellAnchor editAs="oneCell">
    <xdr:from>
      <xdr:col>1</xdr:col>
      <xdr:colOff>104775</xdr:colOff>
      <xdr:row>287</xdr:row>
      <xdr:rowOff>0</xdr:rowOff>
    </xdr:from>
    <xdr:to>
      <xdr:col>20</xdr:col>
      <xdr:colOff>38100</xdr:colOff>
      <xdr:row>291</xdr:row>
      <xdr:rowOff>161925</xdr:rowOff>
    </xdr:to>
    <xdr:pic>
      <xdr:nvPicPr>
        <xdr:cNvPr id="481" name="Picture 892"/>
        <xdr:cNvPicPr preferRelativeResize="1">
          <a:picLocks noChangeAspect="1"/>
        </xdr:cNvPicPr>
      </xdr:nvPicPr>
      <xdr:blipFill>
        <a:blip r:link="rId7"/>
        <a:stretch>
          <a:fillRect/>
        </a:stretch>
      </xdr:blipFill>
      <xdr:spPr>
        <a:xfrm>
          <a:off x="257175" y="90211275"/>
          <a:ext cx="2828925" cy="1419225"/>
        </a:xfrm>
        <a:prstGeom prst="rect">
          <a:avLst/>
        </a:prstGeom>
        <a:noFill/>
        <a:ln w="9525" cmpd="sng">
          <a:noFill/>
        </a:ln>
      </xdr:spPr>
    </xdr:pic>
    <xdr:clientData/>
  </xdr:twoCellAnchor>
  <xdr:twoCellAnchor editAs="oneCell">
    <xdr:from>
      <xdr:col>1</xdr:col>
      <xdr:colOff>104775</xdr:colOff>
      <xdr:row>305</xdr:row>
      <xdr:rowOff>0</xdr:rowOff>
    </xdr:from>
    <xdr:to>
      <xdr:col>30</xdr:col>
      <xdr:colOff>57150</xdr:colOff>
      <xdr:row>313</xdr:row>
      <xdr:rowOff>209550</xdr:rowOff>
    </xdr:to>
    <xdr:pic>
      <xdr:nvPicPr>
        <xdr:cNvPr id="482" name="Picture 893"/>
        <xdr:cNvPicPr preferRelativeResize="1">
          <a:picLocks noChangeAspect="1"/>
        </xdr:cNvPicPr>
      </xdr:nvPicPr>
      <xdr:blipFill>
        <a:blip r:link="rId8"/>
        <a:stretch>
          <a:fillRect/>
        </a:stretch>
      </xdr:blipFill>
      <xdr:spPr>
        <a:xfrm>
          <a:off x="257175" y="95869125"/>
          <a:ext cx="4371975" cy="2724150"/>
        </a:xfrm>
        <a:prstGeom prst="rect">
          <a:avLst/>
        </a:prstGeom>
        <a:noFill/>
        <a:ln w="9525" cmpd="sng">
          <a:noFill/>
        </a:ln>
      </xdr:spPr>
    </xdr:pic>
    <xdr:clientData/>
  </xdr:twoCellAnchor>
  <xdr:twoCellAnchor editAs="oneCell">
    <xdr:from>
      <xdr:col>1</xdr:col>
      <xdr:colOff>104775</xdr:colOff>
      <xdr:row>363</xdr:row>
      <xdr:rowOff>0</xdr:rowOff>
    </xdr:from>
    <xdr:to>
      <xdr:col>20</xdr:col>
      <xdr:colOff>38100</xdr:colOff>
      <xdr:row>367</xdr:row>
      <xdr:rowOff>219075</xdr:rowOff>
    </xdr:to>
    <xdr:pic>
      <xdr:nvPicPr>
        <xdr:cNvPr id="483" name="Picture 894"/>
        <xdr:cNvPicPr preferRelativeResize="1">
          <a:picLocks noChangeAspect="1"/>
        </xdr:cNvPicPr>
      </xdr:nvPicPr>
      <xdr:blipFill>
        <a:blip r:link="rId9"/>
        <a:stretch>
          <a:fillRect/>
        </a:stretch>
      </xdr:blipFill>
      <xdr:spPr>
        <a:xfrm>
          <a:off x="257175" y="114099975"/>
          <a:ext cx="2828925" cy="1476375"/>
        </a:xfrm>
        <a:prstGeom prst="rect">
          <a:avLst/>
        </a:prstGeom>
        <a:noFill/>
        <a:ln w="9525" cmpd="sng">
          <a:noFill/>
        </a:ln>
      </xdr:spPr>
    </xdr:pic>
    <xdr:clientData/>
  </xdr:twoCellAnchor>
  <xdr:twoCellAnchor editAs="oneCell">
    <xdr:from>
      <xdr:col>3</xdr:col>
      <xdr:colOff>47625</xdr:colOff>
      <xdr:row>379</xdr:row>
      <xdr:rowOff>0</xdr:rowOff>
    </xdr:from>
    <xdr:to>
      <xdr:col>19</xdr:col>
      <xdr:colOff>19050</xdr:colOff>
      <xdr:row>391</xdr:row>
      <xdr:rowOff>228600</xdr:rowOff>
    </xdr:to>
    <xdr:pic>
      <xdr:nvPicPr>
        <xdr:cNvPr id="484" name="Picture 895"/>
        <xdr:cNvPicPr preferRelativeResize="1">
          <a:picLocks noChangeAspect="1"/>
        </xdr:cNvPicPr>
      </xdr:nvPicPr>
      <xdr:blipFill>
        <a:blip r:link="rId10"/>
        <a:stretch>
          <a:fillRect/>
        </a:stretch>
      </xdr:blipFill>
      <xdr:spPr>
        <a:xfrm>
          <a:off x="504825" y="119129175"/>
          <a:ext cx="2409825" cy="4000500"/>
        </a:xfrm>
        <a:prstGeom prst="rect">
          <a:avLst/>
        </a:prstGeom>
        <a:noFill/>
        <a:ln w="9525" cmpd="sng">
          <a:noFill/>
        </a:ln>
      </xdr:spPr>
    </xdr:pic>
    <xdr:clientData/>
  </xdr:twoCellAnchor>
  <xdr:twoCellAnchor editAs="oneCell">
    <xdr:from>
      <xdr:col>1</xdr:col>
      <xdr:colOff>104775</xdr:colOff>
      <xdr:row>482</xdr:row>
      <xdr:rowOff>0</xdr:rowOff>
    </xdr:from>
    <xdr:to>
      <xdr:col>30</xdr:col>
      <xdr:colOff>57150</xdr:colOff>
      <xdr:row>490</xdr:row>
      <xdr:rowOff>209550</xdr:rowOff>
    </xdr:to>
    <xdr:pic>
      <xdr:nvPicPr>
        <xdr:cNvPr id="485" name="Picture 896"/>
        <xdr:cNvPicPr preferRelativeResize="1">
          <a:picLocks noChangeAspect="1"/>
        </xdr:cNvPicPr>
      </xdr:nvPicPr>
      <xdr:blipFill>
        <a:blip r:link="rId11"/>
        <a:stretch>
          <a:fillRect/>
        </a:stretch>
      </xdr:blipFill>
      <xdr:spPr>
        <a:xfrm>
          <a:off x="257175" y="151504650"/>
          <a:ext cx="4371975" cy="2724150"/>
        </a:xfrm>
        <a:prstGeom prst="rect">
          <a:avLst/>
        </a:prstGeom>
        <a:noFill/>
        <a:ln w="9525" cmpd="sng">
          <a:noFill/>
        </a:ln>
      </xdr:spPr>
    </xdr:pic>
    <xdr:clientData/>
  </xdr:twoCellAnchor>
  <xdr:twoCellAnchor editAs="oneCell">
    <xdr:from>
      <xdr:col>1</xdr:col>
      <xdr:colOff>104775</xdr:colOff>
      <xdr:row>520</xdr:row>
      <xdr:rowOff>0</xdr:rowOff>
    </xdr:from>
    <xdr:to>
      <xdr:col>20</xdr:col>
      <xdr:colOff>38100</xdr:colOff>
      <xdr:row>524</xdr:row>
      <xdr:rowOff>219075</xdr:rowOff>
    </xdr:to>
    <xdr:pic>
      <xdr:nvPicPr>
        <xdr:cNvPr id="486" name="Picture 897"/>
        <xdr:cNvPicPr preferRelativeResize="1">
          <a:picLocks noChangeAspect="1"/>
        </xdr:cNvPicPr>
      </xdr:nvPicPr>
      <xdr:blipFill>
        <a:blip r:link="rId12"/>
        <a:stretch>
          <a:fillRect/>
        </a:stretch>
      </xdr:blipFill>
      <xdr:spPr>
        <a:xfrm>
          <a:off x="257175" y="163449000"/>
          <a:ext cx="2828925" cy="1476375"/>
        </a:xfrm>
        <a:prstGeom prst="rect">
          <a:avLst/>
        </a:prstGeom>
        <a:noFill/>
        <a:ln w="9525" cmpd="sng">
          <a:noFill/>
        </a:ln>
      </xdr:spPr>
    </xdr:pic>
    <xdr:clientData/>
  </xdr:twoCellAnchor>
  <xdr:twoCellAnchor editAs="oneCell">
    <xdr:from>
      <xdr:col>1</xdr:col>
      <xdr:colOff>104775</xdr:colOff>
      <xdr:row>538</xdr:row>
      <xdr:rowOff>0</xdr:rowOff>
    </xdr:from>
    <xdr:to>
      <xdr:col>30</xdr:col>
      <xdr:colOff>57150</xdr:colOff>
      <xdr:row>546</xdr:row>
      <xdr:rowOff>19050</xdr:rowOff>
    </xdr:to>
    <xdr:pic>
      <xdr:nvPicPr>
        <xdr:cNvPr id="487" name="Picture 898"/>
        <xdr:cNvPicPr preferRelativeResize="1">
          <a:picLocks noChangeAspect="1"/>
        </xdr:cNvPicPr>
      </xdr:nvPicPr>
      <xdr:blipFill>
        <a:blip r:link="rId13"/>
        <a:stretch>
          <a:fillRect/>
        </a:stretch>
      </xdr:blipFill>
      <xdr:spPr>
        <a:xfrm>
          <a:off x="257175" y="169106850"/>
          <a:ext cx="4371975" cy="2533650"/>
        </a:xfrm>
        <a:prstGeom prst="rect">
          <a:avLst/>
        </a:prstGeom>
        <a:noFill/>
        <a:ln w="9525" cmpd="sng">
          <a:noFill/>
        </a:ln>
      </xdr:spPr>
    </xdr:pic>
    <xdr:clientData/>
  </xdr:twoCellAnchor>
  <xdr:twoCellAnchor editAs="oneCell">
    <xdr:from>
      <xdr:col>1</xdr:col>
      <xdr:colOff>104775</xdr:colOff>
      <xdr:row>596</xdr:row>
      <xdr:rowOff>0</xdr:rowOff>
    </xdr:from>
    <xdr:to>
      <xdr:col>20</xdr:col>
      <xdr:colOff>38100</xdr:colOff>
      <xdr:row>600</xdr:row>
      <xdr:rowOff>161925</xdr:rowOff>
    </xdr:to>
    <xdr:pic>
      <xdr:nvPicPr>
        <xdr:cNvPr id="488" name="Picture 899"/>
        <xdr:cNvPicPr preferRelativeResize="1">
          <a:picLocks noChangeAspect="1"/>
        </xdr:cNvPicPr>
      </xdr:nvPicPr>
      <xdr:blipFill>
        <a:blip r:link="rId14"/>
        <a:stretch>
          <a:fillRect/>
        </a:stretch>
      </xdr:blipFill>
      <xdr:spPr>
        <a:xfrm>
          <a:off x="257175" y="187337700"/>
          <a:ext cx="2828925" cy="1419225"/>
        </a:xfrm>
        <a:prstGeom prst="rect">
          <a:avLst/>
        </a:prstGeom>
        <a:noFill/>
        <a:ln w="9525" cmpd="sng">
          <a:noFill/>
        </a:ln>
      </xdr:spPr>
    </xdr:pic>
    <xdr:clientData/>
  </xdr:twoCellAnchor>
  <xdr:twoCellAnchor editAs="oneCell">
    <xdr:from>
      <xdr:col>3</xdr:col>
      <xdr:colOff>47625</xdr:colOff>
      <xdr:row>612</xdr:row>
      <xdr:rowOff>0</xdr:rowOff>
    </xdr:from>
    <xdr:to>
      <xdr:col>19</xdr:col>
      <xdr:colOff>9525</xdr:colOff>
      <xdr:row>624</xdr:row>
      <xdr:rowOff>228600</xdr:rowOff>
    </xdr:to>
    <xdr:pic>
      <xdr:nvPicPr>
        <xdr:cNvPr id="489" name="Picture 900"/>
        <xdr:cNvPicPr preferRelativeResize="1">
          <a:picLocks noChangeAspect="1"/>
        </xdr:cNvPicPr>
      </xdr:nvPicPr>
      <xdr:blipFill>
        <a:blip r:link="rId15"/>
        <a:stretch>
          <a:fillRect/>
        </a:stretch>
      </xdr:blipFill>
      <xdr:spPr>
        <a:xfrm>
          <a:off x="504825" y="192366900"/>
          <a:ext cx="2400300" cy="4000500"/>
        </a:xfrm>
        <a:prstGeom prst="rect">
          <a:avLst/>
        </a:prstGeom>
        <a:noFill/>
        <a:ln w="9525" cmpd="sng">
          <a:noFill/>
        </a:ln>
      </xdr:spPr>
    </xdr:pic>
    <xdr:clientData/>
  </xdr:twoCellAnchor>
  <xdr:twoCellAnchor editAs="oneCell">
    <xdr:from>
      <xdr:col>1</xdr:col>
      <xdr:colOff>104775</xdr:colOff>
      <xdr:row>715</xdr:row>
      <xdr:rowOff>0</xdr:rowOff>
    </xdr:from>
    <xdr:to>
      <xdr:col>30</xdr:col>
      <xdr:colOff>57150</xdr:colOff>
      <xdr:row>723</xdr:row>
      <xdr:rowOff>209550</xdr:rowOff>
    </xdr:to>
    <xdr:pic>
      <xdr:nvPicPr>
        <xdr:cNvPr id="490" name="Picture 901"/>
        <xdr:cNvPicPr preferRelativeResize="1">
          <a:picLocks noChangeAspect="1"/>
        </xdr:cNvPicPr>
      </xdr:nvPicPr>
      <xdr:blipFill>
        <a:blip r:link="rId16"/>
        <a:stretch>
          <a:fillRect/>
        </a:stretch>
      </xdr:blipFill>
      <xdr:spPr>
        <a:xfrm>
          <a:off x="257175" y="224742375"/>
          <a:ext cx="4371975" cy="2724150"/>
        </a:xfrm>
        <a:prstGeom prst="rect">
          <a:avLst/>
        </a:prstGeom>
        <a:noFill/>
        <a:ln w="9525" cmpd="sng">
          <a:noFill/>
        </a:ln>
      </xdr:spPr>
    </xdr:pic>
    <xdr:clientData/>
  </xdr:twoCellAnchor>
  <xdr:twoCellAnchor editAs="oneCell">
    <xdr:from>
      <xdr:col>1</xdr:col>
      <xdr:colOff>104775</xdr:colOff>
      <xdr:row>753</xdr:row>
      <xdr:rowOff>0</xdr:rowOff>
    </xdr:from>
    <xdr:to>
      <xdr:col>20</xdr:col>
      <xdr:colOff>38100</xdr:colOff>
      <xdr:row>757</xdr:row>
      <xdr:rowOff>219075</xdr:rowOff>
    </xdr:to>
    <xdr:pic>
      <xdr:nvPicPr>
        <xdr:cNvPr id="491" name="Picture 902"/>
        <xdr:cNvPicPr preferRelativeResize="1">
          <a:picLocks noChangeAspect="1"/>
        </xdr:cNvPicPr>
      </xdr:nvPicPr>
      <xdr:blipFill>
        <a:blip r:link="rId17"/>
        <a:stretch>
          <a:fillRect/>
        </a:stretch>
      </xdr:blipFill>
      <xdr:spPr>
        <a:xfrm>
          <a:off x="257175" y="236686725"/>
          <a:ext cx="2828925" cy="1476375"/>
        </a:xfrm>
        <a:prstGeom prst="rect">
          <a:avLst/>
        </a:prstGeom>
        <a:noFill/>
        <a:ln w="9525" cmpd="sng">
          <a:noFill/>
        </a:ln>
      </xdr:spPr>
    </xdr:pic>
    <xdr:clientData/>
  </xdr:twoCellAnchor>
  <xdr:twoCellAnchor editAs="oneCell">
    <xdr:from>
      <xdr:col>1</xdr:col>
      <xdr:colOff>104775</xdr:colOff>
      <xdr:row>771</xdr:row>
      <xdr:rowOff>0</xdr:rowOff>
    </xdr:from>
    <xdr:to>
      <xdr:col>30</xdr:col>
      <xdr:colOff>57150</xdr:colOff>
      <xdr:row>779</xdr:row>
      <xdr:rowOff>19050</xdr:rowOff>
    </xdr:to>
    <xdr:pic>
      <xdr:nvPicPr>
        <xdr:cNvPr id="492" name="Picture 903"/>
        <xdr:cNvPicPr preferRelativeResize="1">
          <a:picLocks noChangeAspect="1"/>
        </xdr:cNvPicPr>
      </xdr:nvPicPr>
      <xdr:blipFill>
        <a:blip r:link="rId18"/>
        <a:stretch>
          <a:fillRect/>
        </a:stretch>
      </xdr:blipFill>
      <xdr:spPr>
        <a:xfrm>
          <a:off x="257175" y="242344575"/>
          <a:ext cx="4371975" cy="2533650"/>
        </a:xfrm>
        <a:prstGeom prst="rect">
          <a:avLst/>
        </a:prstGeom>
        <a:noFill/>
        <a:ln w="9525" cmpd="sng">
          <a:noFill/>
        </a:ln>
      </xdr:spPr>
    </xdr:pic>
    <xdr:clientData/>
  </xdr:twoCellAnchor>
  <xdr:twoCellAnchor editAs="oneCell">
    <xdr:from>
      <xdr:col>1</xdr:col>
      <xdr:colOff>104775</xdr:colOff>
      <xdr:row>829</xdr:row>
      <xdr:rowOff>0</xdr:rowOff>
    </xdr:from>
    <xdr:to>
      <xdr:col>20</xdr:col>
      <xdr:colOff>38100</xdr:colOff>
      <xdr:row>833</xdr:row>
      <xdr:rowOff>161925</xdr:rowOff>
    </xdr:to>
    <xdr:pic>
      <xdr:nvPicPr>
        <xdr:cNvPr id="493" name="Picture 904"/>
        <xdr:cNvPicPr preferRelativeResize="1">
          <a:picLocks noChangeAspect="1"/>
        </xdr:cNvPicPr>
      </xdr:nvPicPr>
      <xdr:blipFill>
        <a:blip r:link="rId19"/>
        <a:stretch>
          <a:fillRect/>
        </a:stretch>
      </xdr:blipFill>
      <xdr:spPr>
        <a:xfrm>
          <a:off x="257175" y="260575425"/>
          <a:ext cx="2828925" cy="1419225"/>
        </a:xfrm>
        <a:prstGeom prst="rect">
          <a:avLst/>
        </a:prstGeom>
        <a:noFill/>
        <a:ln w="9525" cmpd="sng">
          <a:noFill/>
        </a:ln>
      </xdr:spPr>
    </xdr:pic>
    <xdr:clientData/>
  </xdr:twoCellAnchor>
  <xdr:twoCellAnchor editAs="oneCell">
    <xdr:from>
      <xdr:col>3</xdr:col>
      <xdr:colOff>47625</xdr:colOff>
      <xdr:row>845</xdr:row>
      <xdr:rowOff>0</xdr:rowOff>
    </xdr:from>
    <xdr:to>
      <xdr:col>19</xdr:col>
      <xdr:colOff>9525</xdr:colOff>
      <xdr:row>857</xdr:row>
      <xdr:rowOff>228600</xdr:rowOff>
    </xdr:to>
    <xdr:pic>
      <xdr:nvPicPr>
        <xdr:cNvPr id="494" name="Picture 905"/>
        <xdr:cNvPicPr preferRelativeResize="1">
          <a:picLocks noChangeAspect="1"/>
        </xdr:cNvPicPr>
      </xdr:nvPicPr>
      <xdr:blipFill>
        <a:blip r:link="rId20"/>
        <a:stretch>
          <a:fillRect/>
        </a:stretch>
      </xdr:blipFill>
      <xdr:spPr>
        <a:xfrm>
          <a:off x="504825" y="265604625"/>
          <a:ext cx="2400300" cy="4000500"/>
        </a:xfrm>
        <a:prstGeom prst="rect">
          <a:avLst/>
        </a:prstGeom>
        <a:noFill/>
        <a:ln w="9525" cmpd="sng">
          <a:noFill/>
        </a:ln>
      </xdr:spPr>
    </xdr:pic>
    <xdr:clientData/>
  </xdr:twoCellAnchor>
  <xdr:twoCellAnchor editAs="oneCell">
    <xdr:from>
      <xdr:col>1</xdr:col>
      <xdr:colOff>104775</xdr:colOff>
      <xdr:row>948</xdr:row>
      <xdr:rowOff>0</xdr:rowOff>
    </xdr:from>
    <xdr:to>
      <xdr:col>30</xdr:col>
      <xdr:colOff>57150</xdr:colOff>
      <xdr:row>956</xdr:row>
      <xdr:rowOff>19050</xdr:rowOff>
    </xdr:to>
    <xdr:pic>
      <xdr:nvPicPr>
        <xdr:cNvPr id="495" name="Picture 906"/>
        <xdr:cNvPicPr preferRelativeResize="1">
          <a:picLocks noChangeAspect="1"/>
        </xdr:cNvPicPr>
      </xdr:nvPicPr>
      <xdr:blipFill>
        <a:blip r:link="rId21"/>
        <a:stretch>
          <a:fillRect/>
        </a:stretch>
      </xdr:blipFill>
      <xdr:spPr>
        <a:xfrm>
          <a:off x="257175" y="297980100"/>
          <a:ext cx="4371975" cy="2533650"/>
        </a:xfrm>
        <a:prstGeom prst="rect">
          <a:avLst/>
        </a:prstGeom>
        <a:noFill/>
        <a:ln w="9525" cmpd="sng">
          <a:noFill/>
        </a:ln>
      </xdr:spPr>
    </xdr:pic>
    <xdr:clientData/>
  </xdr:twoCellAnchor>
  <xdr:twoCellAnchor editAs="oneCell">
    <xdr:from>
      <xdr:col>1</xdr:col>
      <xdr:colOff>104775</xdr:colOff>
      <xdr:row>986</xdr:row>
      <xdr:rowOff>0</xdr:rowOff>
    </xdr:from>
    <xdr:to>
      <xdr:col>20</xdr:col>
      <xdr:colOff>38100</xdr:colOff>
      <xdr:row>990</xdr:row>
      <xdr:rowOff>161925</xdr:rowOff>
    </xdr:to>
    <xdr:pic>
      <xdr:nvPicPr>
        <xdr:cNvPr id="496" name="Picture 907"/>
        <xdr:cNvPicPr preferRelativeResize="1">
          <a:picLocks noChangeAspect="1"/>
        </xdr:cNvPicPr>
      </xdr:nvPicPr>
      <xdr:blipFill>
        <a:blip r:link="rId22"/>
        <a:stretch>
          <a:fillRect/>
        </a:stretch>
      </xdr:blipFill>
      <xdr:spPr>
        <a:xfrm>
          <a:off x="257175" y="309924450"/>
          <a:ext cx="2828925" cy="1419225"/>
        </a:xfrm>
        <a:prstGeom prst="rect">
          <a:avLst/>
        </a:prstGeom>
        <a:noFill/>
        <a:ln w="9525" cmpd="sng">
          <a:noFill/>
        </a:ln>
      </xdr:spPr>
    </xdr:pic>
    <xdr:clientData/>
  </xdr:twoCellAnchor>
  <xdr:twoCellAnchor editAs="oneCell">
    <xdr:from>
      <xdr:col>1</xdr:col>
      <xdr:colOff>104775</xdr:colOff>
      <xdr:row>1004</xdr:row>
      <xdr:rowOff>0</xdr:rowOff>
    </xdr:from>
    <xdr:to>
      <xdr:col>30</xdr:col>
      <xdr:colOff>57150</xdr:colOff>
      <xdr:row>1012</xdr:row>
      <xdr:rowOff>209550</xdr:rowOff>
    </xdr:to>
    <xdr:pic>
      <xdr:nvPicPr>
        <xdr:cNvPr id="497" name="Picture 908"/>
        <xdr:cNvPicPr preferRelativeResize="1">
          <a:picLocks noChangeAspect="1"/>
        </xdr:cNvPicPr>
      </xdr:nvPicPr>
      <xdr:blipFill>
        <a:blip r:link="rId23"/>
        <a:stretch>
          <a:fillRect/>
        </a:stretch>
      </xdr:blipFill>
      <xdr:spPr>
        <a:xfrm>
          <a:off x="257175" y="315582300"/>
          <a:ext cx="4371975" cy="2724150"/>
        </a:xfrm>
        <a:prstGeom prst="rect">
          <a:avLst/>
        </a:prstGeom>
        <a:noFill/>
        <a:ln w="9525" cmpd="sng">
          <a:noFill/>
        </a:ln>
      </xdr:spPr>
    </xdr:pic>
    <xdr:clientData/>
  </xdr:twoCellAnchor>
  <xdr:twoCellAnchor editAs="oneCell">
    <xdr:from>
      <xdr:col>1</xdr:col>
      <xdr:colOff>104775</xdr:colOff>
      <xdr:row>1062</xdr:row>
      <xdr:rowOff>0</xdr:rowOff>
    </xdr:from>
    <xdr:to>
      <xdr:col>20</xdr:col>
      <xdr:colOff>38100</xdr:colOff>
      <xdr:row>1066</xdr:row>
      <xdr:rowOff>219075</xdr:rowOff>
    </xdr:to>
    <xdr:pic>
      <xdr:nvPicPr>
        <xdr:cNvPr id="498" name="Picture 909"/>
        <xdr:cNvPicPr preferRelativeResize="1">
          <a:picLocks noChangeAspect="1"/>
        </xdr:cNvPicPr>
      </xdr:nvPicPr>
      <xdr:blipFill>
        <a:blip r:link="rId24"/>
        <a:stretch>
          <a:fillRect/>
        </a:stretch>
      </xdr:blipFill>
      <xdr:spPr>
        <a:xfrm>
          <a:off x="257175" y="333813150"/>
          <a:ext cx="2828925" cy="1476375"/>
        </a:xfrm>
        <a:prstGeom prst="rect">
          <a:avLst/>
        </a:prstGeom>
        <a:noFill/>
        <a:ln w="9525" cmpd="sng">
          <a:noFill/>
        </a:ln>
      </xdr:spPr>
    </xdr:pic>
    <xdr:clientData/>
  </xdr:twoCellAnchor>
  <xdr:twoCellAnchor editAs="oneCell">
    <xdr:from>
      <xdr:col>3</xdr:col>
      <xdr:colOff>47625</xdr:colOff>
      <xdr:row>1078</xdr:row>
      <xdr:rowOff>0</xdr:rowOff>
    </xdr:from>
    <xdr:to>
      <xdr:col>19</xdr:col>
      <xdr:colOff>19050</xdr:colOff>
      <xdr:row>1090</xdr:row>
      <xdr:rowOff>228600</xdr:rowOff>
    </xdr:to>
    <xdr:pic>
      <xdr:nvPicPr>
        <xdr:cNvPr id="499" name="Picture 910"/>
        <xdr:cNvPicPr preferRelativeResize="1">
          <a:picLocks noChangeAspect="1"/>
        </xdr:cNvPicPr>
      </xdr:nvPicPr>
      <xdr:blipFill>
        <a:blip r:link="rId25"/>
        <a:stretch>
          <a:fillRect/>
        </a:stretch>
      </xdr:blipFill>
      <xdr:spPr>
        <a:xfrm>
          <a:off x="504825" y="338842350"/>
          <a:ext cx="2409825" cy="400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196</xdr:row>
      <xdr:rowOff>133350</xdr:rowOff>
    </xdr:from>
    <xdr:to>
      <xdr:col>23</xdr:col>
      <xdr:colOff>95250</xdr:colOff>
      <xdr:row>197</xdr:row>
      <xdr:rowOff>180975</xdr:rowOff>
    </xdr:to>
    <xdr:sp>
      <xdr:nvSpPr>
        <xdr:cNvPr id="1" name="AutoShape 1"/>
        <xdr:cNvSpPr>
          <a:spLocks/>
        </xdr:cNvSpPr>
      </xdr:nvSpPr>
      <xdr:spPr>
        <a:xfrm>
          <a:off x="3524250" y="617410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196</xdr:row>
      <xdr:rowOff>142875</xdr:rowOff>
    </xdr:from>
    <xdr:to>
      <xdr:col>5</xdr:col>
      <xdr:colOff>104775</xdr:colOff>
      <xdr:row>197</xdr:row>
      <xdr:rowOff>171450</xdr:rowOff>
    </xdr:to>
    <xdr:sp>
      <xdr:nvSpPr>
        <xdr:cNvPr id="2" name="AutoShape 2"/>
        <xdr:cNvSpPr>
          <a:spLocks/>
        </xdr:cNvSpPr>
      </xdr:nvSpPr>
      <xdr:spPr>
        <a:xfrm>
          <a:off x="790575" y="617505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200</xdr:row>
      <xdr:rowOff>28575</xdr:rowOff>
    </xdr:from>
    <xdr:to>
      <xdr:col>11</xdr:col>
      <xdr:colOff>66675</xdr:colOff>
      <xdr:row>200</xdr:row>
      <xdr:rowOff>295275</xdr:rowOff>
    </xdr:to>
    <xdr:grpSp>
      <xdr:nvGrpSpPr>
        <xdr:cNvPr id="3" name="Group 3"/>
        <xdr:cNvGrpSpPr>
          <a:grpSpLocks/>
        </xdr:cNvGrpSpPr>
      </xdr:nvGrpSpPr>
      <xdr:grpSpPr>
        <a:xfrm>
          <a:off x="828675" y="62893575"/>
          <a:ext cx="914400" cy="266700"/>
          <a:chOff x="87" y="1884"/>
          <a:chExt cx="96" cy="28"/>
        </a:xfrm>
        <a:solidFill>
          <a:srgbClr val="FFFFFF"/>
        </a:solidFill>
      </xdr:grpSpPr>
      <xdr:sp>
        <xdr:nvSpPr>
          <xdr:cNvPr id="4" name="Line 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 name="Line 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 name="Line 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200</xdr:row>
      <xdr:rowOff>28575</xdr:rowOff>
    </xdr:from>
    <xdr:to>
      <xdr:col>24</xdr:col>
      <xdr:colOff>85725</xdr:colOff>
      <xdr:row>200</xdr:row>
      <xdr:rowOff>285750</xdr:rowOff>
    </xdr:to>
    <xdr:grpSp>
      <xdr:nvGrpSpPr>
        <xdr:cNvPr id="7" name="Group 7"/>
        <xdr:cNvGrpSpPr>
          <a:grpSpLocks/>
        </xdr:cNvGrpSpPr>
      </xdr:nvGrpSpPr>
      <xdr:grpSpPr>
        <a:xfrm>
          <a:off x="1990725" y="62893575"/>
          <a:ext cx="1752600" cy="257175"/>
          <a:chOff x="209" y="1884"/>
          <a:chExt cx="184" cy="27"/>
        </a:xfrm>
        <a:solidFill>
          <a:srgbClr val="FFFFFF"/>
        </a:solidFill>
      </xdr:grpSpPr>
      <xdr:sp>
        <xdr:nvSpPr>
          <xdr:cNvPr id="8" name="Line 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 name="Line 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 name="Line 1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196</xdr:row>
      <xdr:rowOff>133350</xdr:rowOff>
    </xdr:from>
    <xdr:to>
      <xdr:col>23</xdr:col>
      <xdr:colOff>95250</xdr:colOff>
      <xdr:row>197</xdr:row>
      <xdr:rowOff>180975</xdr:rowOff>
    </xdr:to>
    <xdr:sp>
      <xdr:nvSpPr>
        <xdr:cNvPr id="11" name="AutoShape 11"/>
        <xdr:cNvSpPr>
          <a:spLocks/>
        </xdr:cNvSpPr>
      </xdr:nvSpPr>
      <xdr:spPr>
        <a:xfrm>
          <a:off x="3524250" y="617410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196</xdr:row>
      <xdr:rowOff>142875</xdr:rowOff>
    </xdr:from>
    <xdr:to>
      <xdr:col>5</xdr:col>
      <xdr:colOff>104775</xdr:colOff>
      <xdr:row>197</xdr:row>
      <xdr:rowOff>171450</xdr:rowOff>
    </xdr:to>
    <xdr:sp>
      <xdr:nvSpPr>
        <xdr:cNvPr id="12" name="AutoShape 12"/>
        <xdr:cNvSpPr>
          <a:spLocks/>
        </xdr:cNvSpPr>
      </xdr:nvSpPr>
      <xdr:spPr>
        <a:xfrm>
          <a:off x="790575" y="617505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200</xdr:row>
      <xdr:rowOff>28575</xdr:rowOff>
    </xdr:from>
    <xdr:to>
      <xdr:col>11</xdr:col>
      <xdr:colOff>66675</xdr:colOff>
      <xdr:row>200</xdr:row>
      <xdr:rowOff>295275</xdr:rowOff>
    </xdr:to>
    <xdr:grpSp>
      <xdr:nvGrpSpPr>
        <xdr:cNvPr id="13" name="Group 13"/>
        <xdr:cNvGrpSpPr>
          <a:grpSpLocks/>
        </xdr:cNvGrpSpPr>
      </xdr:nvGrpSpPr>
      <xdr:grpSpPr>
        <a:xfrm>
          <a:off x="828675" y="62893575"/>
          <a:ext cx="914400" cy="266700"/>
          <a:chOff x="87" y="1884"/>
          <a:chExt cx="96" cy="28"/>
        </a:xfrm>
        <a:solidFill>
          <a:srgbClr val="FFFFFF"/>
        </a:solidFill>
      </xdr:grpSpPr>
      <xdr:sp>
        <xdr:nvSpPr>
          <xdr:cNvPr id="14" name="Line 1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 name="Line 1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 name="Line 1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200</xdr:row>
      <xdr:rowOff>28575</xdr:rowOff>
    </xdr:from>
    <xdr:to>
      <xdr:col>24</xdr:col>
      <xdr:colOff>85725</xdr:colOff>
      <xdr:row>200</xdr:row>
      <xdr:rowOff>285750</xdr:rowOff>
    </xdr:to>
    <xdr:grpSp>
      <xdr:nvGrpSpPr>
        <xdr:cNvPr id="17" name="Group 17"/>
        <xdr:cNvGrpSpPr>
          <a:grpSpLocks/>
        </xdr:cNvGrpSpPr>
      </xdr:nvGrpSpPr>
      <xdr:grpSpPr>
        <a:xfrm>
          <a:off x="1990725" y="62893575"/>
          <a:ext cx="1752600" cy="257175"/>
          <a:chOff x="209" y="1884"/>
          <a:chExt cx="184" cy="27"/>
        </a:xfrm>
        <a:solidFill>
          <a:srgbClr val="FFFFFF"/>
        </a:solidFill>
      </xdr:grpSpPr>
      <xdr:sp>
        <xdr:nvSpPr>
          <xdr:cNvPr id="18" name="Line 1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 name="Line 1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 name="Line 2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196</xdr:row>
      <xdr:rowOff>133350</xdr:rowOff>
    </xdr:from>
    <xdr:to>
      <xdr:col>23</xdr:col>
      <xdr:colOff>95250</xdr:colOff>
      <xdr:row>197</xdr:row>
      <xdr:rowOff>180975</xdr:rowOff>
    </xdr:to>
    <xdr:sp>
      <xdr:nvSpPr>
        <xdr:cNvPr id="21" name="AutoShape 21"/>
        <xdr:cNvSpPr>
          <a:spLocks/>
        </xdr:cNvSpPr>
      </xdr:nvSpPr>
      <xdr:spPr>
        <a:xfrm>
          <a:off x="3524250" y="617410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196</xdr:row>
      <xdr:rowOff>142875</xdr:rowOff>
    </xdr:from>
    <xdr:to>
      <xdr:col>5</xdr:col>
      <xdr:colOff>104775</xdr:colOff>
      <xdr:row>197</xdr:row>
      <xdr:rowOff>171450</xdr:rowOff>
    </xdr:to>
    <xdr:sp>
      <xdr:nvSpPr>
        <xdr:cNvPr id="22" name="AutoShape 22"/>
        <xdr:cNvSpPr>
          <a:spLocks/>
        </xdr:cNvSpPr>
      </xdr:nvSpPr>
      <xdr:spPr>
        <a:xfrm>
          <a:off x="790575" y="617505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200</xdr:row>
      <xdr:rowOff>28575</xdr:rowOff>
    </xdr:from>
    <xdr:to>
      <xdr:col>11</xdr:col>
      <xdr:colOff>66675</xdr:colOff>
      <xdr:row>200</xdr:row>
      <xdr:rowOff>295275</xdr:rowOff>
    </xdr:to>
    <xdr:grpSp>
      <xdr:nvGrpSpPr>
        <xdr:cNvPr id="23" name="Group 23"/>
        <xdr:cNvGrpSpPr>
          <a:grpSpLocks/>
        </xdr:cNvGrpSpPr>
      </xdr:nvGrpSpPr>
      <xdr:grpSpPr>
        <a:xfrm>
          <a:off x="828675" y="62893575"/>
          <a:ext cx="914400" cy="266700"/>
          <a:chOff x="87" y="1884"/>
          <a:chExt cx="96" cy="28"/>
        </a:xfrm>
        <a:solidFill>
          <a:srgbClr val="FFFFFF"/>
        </a:solidFill>
      </xdr:grpSpPr>
      <xdr:sp>
        <xdr:nvSpPr>
          <xdr:cNvPr id="24" name="Line 2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 name="Line 2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 name="Line 2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200</xdr:row>
      <xdr:rowOff>28575</xdr:rowOff>
    </xdr:from>
    <xdr:to>
      <xdr:col>24</xdr:col>
      <xdr:colOff>85725</xdr:colOff>
      <xdr:row>200</xdr:row>
      <xdr:rowOff>285750</xdr:rowOff>
    </xdr:to>
    <xdr:grpSp>
      <xdr:nvGrpSpPr>
        <xdr:cNvPr id="27" name="Group 27"/>
        <xdr:cNvGrpSpPr>
          <a:grpSpLocks/>
        </xdr:cNvGrpSpPr>
      </xdr:nvGrpSpPr>
      <xdr:grpSpPr>
        <a:xfrm>
          <a:off x="1990725" y="62893575"/>
          <a:ext cx="1752600" cy="257175"/>
          <a:chOff x="209" y="1884"/>
          <a:chExt cx="184" cy="27"/>
        </a:xfrm>
        <a:solidFill>
          <a:srgbClr val="FFFFFF"/>
        </a:solidFill>
      </xdr:grpSpPr>
      <xdr:sp>
        <xdr:nvSpPr>
          <xdr:cNvPr id="28" name="Line 2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 name="Line 2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 name="Line 3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44</xdr:row>
      <xdr:rowOff>133350</xdr:rowOff>
    </xdr:from>
    <xdr:to>
      <xdr:col>14</xdr:col>
      <xdr:colOff>95250</xdr:colOff>
      <xdr:row>45</xdr:row>
      <xdr:rowOff>180975</xdr:rowOff>
    </xdr:to>
    <xdr:sp>
      <xdr:nvSpPr>
        <xdr:cNvPr id="31" name="AutoShape 31"/>
        <xdr:cNvSpPr>
          <a:spLocks/>
        </xdr:cNvSpPr>
      </xdr:nvSpPr>
      <xdr:spPr>
        <a:xfrm>
          <a:off x="2152650" y="139636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44</xdr:row>
      <xdr:rowOff>142875</xdr:rowOff>
    </xdr:from>
    <xdr:to>
      <xdr:col>5</xdr:col>
      <xdr:colOff>104775</xdr:colOff>
      <xdr:row>45</xdr:row>
      <xdr:rowOff>171450</xdr:rowOff>
    </xdr:to>
    <xdr:sp>
      <xdr:nvSpPr>
        <xdr:cNvPr id="32" name="AutoShape 32"/>
        <xdr:cNvSpPr>
          <a:spLocks/>
        </xdr:cNvSpPr>
      </xdr:nvSpPr>
      <xdr:spPr>
        <a:xfrm>
          <a:off x="790575" y="139731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48</xdr:row>
      <xdr:rowOff>28575</xdr:rowOff>
    </xdr:from>
    <xdr:to>
      <xdr:col>11</xdr:col>
      <xdr:colOff>66675</xdr:colOff>
      <xdr:row>48</xdr:row>
      <xdr:rowOff>295275</xdr:rowOff>
    </xdr:to>
    <xdr:grpSp>
      <xdr:nvGrpSpPr>
        <xdr:cNvPr id="33" name="Group 33"/>
        <xdr:cNvGrpSpPr>
          <a:grpSpLocks/>
        </xdr:cNvGrpSpPr>
      </xdr:nvGrpSpPr>
      <xdr:grpSpPr>
        <a:xfrm>
          <a:off x="828675" y="15116175"/>
          <a:ext cx="914400" cy="266700"/>
          <a:chOff x="87" y="1884"/>
          <a:chExt cx="96" cy="28"/>
        </a:xfrm>
        <a:solidFill>
          <a:srgbClr val="FFFFFF"/>
        </a:solidFill>
      </xdr:grpSpPr>
      <xdr:sp>
        <xdr:nvSpPr>
          <xdr:cNvPr id="34" name="Line 3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 name="Line 3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 name="Line 3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48</xdr:row>
      <xdr:rowOff>28575</xdr:rowOff>
    </xdr:from>
    <xdr:to>
      <xdr:col>24</xdr:col>
      <xdr:colOff>85725</xdr:colOff>
      <xdr:row>48</xdr:row>
      <xdr:rowOff>285750</xdr:rowOff>
    </xdr:to>
    <xdr:grpSp>
      <xdr:nvGrpSpPr>
        <xdr:cNvPr id="37" name="Group 37"/>
        <xdr:cNvGrpSpPr>
          <a:grpSpLocks/>
        </xdr:cNvGrpSpPr>
      </xdr:nvGrpSpPr>
      <xdr:grpSpPr>
        <a:xfrm>
          <a:off x="1990725" y="15116175"/>
          <a:ext cx="1752600" cy="257175"/>
          <a:chOff x="209" y="1884"/>
          <a:chExt cx="184" cy="27"/>
        </a:xfrm>
        <a:solidFill>
          <a:srgbClr val="FFFFFF"/>
        </a:solidFill>
      </xdr:grpSpPr>
      <xdr:sp>
        <xdr:nvSpPr>
          <xdr:cNvPr id="38" name="Line 3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 name="Line 3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 name="Line 4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110</xdr:row>
      <xdr:rowOff>133350</xdr:rowOff>
    </xdr:from>
    <xdr:to>
      <xdr:col>14</xdr:col>
      <xdr:colOff>95250</xdr:colOff>
      <xdr:row>111</xdr:row>
      <xdr:rowOff>180975</xdr:rowOff>
    </xdr:to>
    <xdr:sp>
      <xdr:nvSpPr>
        <xdr:cNvPr id="41" name="AutoShape 41"/>
        <xdr:cNvSpPr>
          <a:spLocks/>
        </xdr:cNvSpPr>
      </xdr:nvSpPr>
      <xdr:spPr>
        <a:xfrm>
          <a:off x="2152650" y="347091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110</xdr:row>
      <xdr:rowOff>142875</xdr:rowOff>
    </xdr:from>
    <xdr:to>
      <xdr:col>5</xdr:col>
      <xdr:colOff>104775</xdr:colOff>
      <xdr:row>111</xdr:row>
      <xdr:rowOff>171450</xdr:rowOff>
    </xdr:to>
    <xdr:sp>
      <xdr:nvSpPr>
        <xdr:cNvPr id="42" name="AutoShape 42"/>
        <xdr:cNvSpPr>
          <a:spLocks/>
        </xdr:cNvSpPr>
      </xdr:nvSpPr>
      <xdr:spPr>
        <a:xfrm>
          <a:off x="790575" y="347186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114</xdr:row>
      <xdr:rowOff>28575</xdr:rowOff>
    </xdr:from>
    <xdr:to>
      <xdr:col>11</xdr:col>
      <xdr:colOff>66675</xdr:colOff>
      <xdr:row>114</xdr:row>
      <xdr:rowOff>295275</xdr:rowOff>
    </xdr:to>
    <xdr:grpSp>
      <xdr:nvGrpSpPr>
        <xdr:cNvPr id="43" name="Group 43"/>
        <xdr:cNvGrpSpPr>
          <a:grpSpLocks/>
        </xdr:cNvGrpSpPr>
      </xdr:nvGrpSpPr>
      <xdr:grpSpPr>
        <a:xfrm>
          <a:off x="828675" y="35861625"/>
          <a:ext cx="914400" cy="266700"/>
          <a:chOff x="87" y="1884"/>
          <a:chExt cx="96" cy="28"/>
        </a:xfrm>
        <a:solidFill>
          <a:srgbClr val="FFFFFF"/>
        </a:solidFill>
      </xdr:grpSpPr>
      <xdr:sp>
        <xdr:nvSpPr>
          <xdr:cNvPr id="44" name="Line 4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5" name="Line 4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 name="Line 4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114</xdr:row>
      <xdr:rowOff>28575</xdr:rowOff>
    </xdr:from>
    <xdr:to>
      <xdr:col>24</xdr:col>
      <xdr:colOff>85725</xdr:colOff>
      <xdr:row>114</xdr:row>
      <xdr:rowOff>285750</xdr:rowOff>
    </xdr:to>
    <xdr:grpSp>
      <xdr:nvGrpSpPr>
        <xdr:cNvPr id="47" name="Group 47"/>
        <xdr:cNvGrpSpPr>
          <a:grpSpLocks/>
        </xdr:cNvGrpSpPr>
      </xdr:nvGrpSpPr>
      <xdr:grpSpPr>
        <a:xfrm>
          <a:off x="1990725" y="35861625"/>
          <a:ext cx="1752600" cy="257175"/>
          <a:chOff x="209" y="1884"/>
          <a:chExt cx="184" cy="27"/>
        </a:xfrm>
        <a:solidFill>
          <a:srgbClr val="FFFFFF"/>
        </a:solidFill>
      </xdr:grpSpPr>
      <xdr:sp>
        <xdr:nvSpPr>
          <xdr:cNvPr id="48" name="Line 4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9" name="Line 4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0" name="Line 5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429</xdr:row>
      <xdr:rowOff>133350</xdr:rowOff>
    </xdr:from>
    <xdr:to>
      <xdr:col>23</xdr:col>
      <xdr:colOff>95250</xdr:colOff>
      <xdr:row>430</xdr:row>
      <xdr:rowOff>180975</xdr:rowOff>
    </xdr:to>
    <xdr:sp>
      <xdr:nvSpPr>
        <xdr:cNvPr id="51" name="AutoShape 51"/>
        <xdr:cNvSpPr>
          <a:spLocks/>
        </xdr:cNvSpPr>
      </xdr:nvSpPr>
      <xdr:spPr>
        <a:xfrm>
          <a:off x="3524250" y="1349787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429</xdr:row>
      <xdr:rowOff>142875</xdr:rowOff>
    </xdr:from>
    <xdr:to>
      <xdr:col>5</xdr:col>
      <xdr:colOff>104775</xdr:colOff>
      <xdr:row>430</xdr:row>
      <xdr:rowOff>171450</xdr:rowOff>
    </xdr:to>
    <xdr:sp>
      <xdr:nvSpPr>
        <xdr:cNvPr id="52" name="AutoShape 52"/>
        <xdr:cNvSpPr>
          <a:spLocks/>
        </xdr:cNvSpPr>
      </xdr:nvSpPr>
      <xdr:spPr>
        <a:xfrm>
          <a:off x="790575" y="1349883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433</xdr:row>
      <xdr:rowOff>28575</xdr:rowOff>
    </xdr:from>
    <xdr:to>
      <xdr:col>11</xdr:col>
      <xdr:colOff>66675</xdr:colOff>
      <xdr:row>433</xdr:row>
      <xdr:rowOff>295275</xdr:rowOff>
    </xdr:to>
    <xdr:grpSp>
      <xdr:nvGrpSpPr>
        <xdr:cNvPr id="53" name="Group 53"/>
        <xdr:cNvGrpSpPr>
          <a:grpSpLocks/>
        </xdr:cNvGrpSpPr>
      </xdr:nvGrpSpPr>
      <xdr:grpSpPr>
        <a:xfrm>
          <a:off x="828675" y="136131300"/>
          <a:ext cx="914400" cy="266700"/>
          <a:chOff x="87" y="1884"/>
          <a:chExt cx="96" cy="28"/>
        </a:xfrm>
        <a:solidFill>
          <a:srgbClr val="FFFFFF"/>
        </a:solidFill>
      </xdr:grpSpPr>
      <xdr:sp>
        <xdr:nvSpPr>
          <xdr:cNvPr id="54" name="Line 5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5" name="Line 5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6" name="Line 5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433</xdr:row>
      <xdr:rowOff>28575</xdr:rowOff>
    </xdr:from>
    <xdr:to>
      <xdr:col>24</xdr:col>
      <xdr:colOff>85725</xdr:colOff>
      <xdr:row>433</xdr:row>
      <xdr:rowOff>285750</xdr:rowOff>
    </xdr:to>
    <xdr:grpSp>
      <xdr:nvGrpSpPr>
        <xdr:cNvPr id="57" name="Group 57"/>
        <xdr:cNvGrpSpPr>
          <a:grpSpLocks/>
        </xdr:cNvGrpSpPr>
      </xdr:nvGrpSpPr>
      <xdr:grpSpPr>
        <a:xfrm>
          <a:off x="1990725" y="136131300"/>
          <a:ext cx="1752600" cy="257175"/>
          <a:chOff x="209" y="1884"/>
          <a:chExt cx="184" cy="27"/>
        </a:xfrm>
        <a:solidFill>
          <a:srgbClr val="FFFFFF"/>
        </a:solidFill>
      </xdr:grpSpPr>
      <xdr:sp>
        <xdr:nvSpPr>
          <xdr:cNvPr id="58" name="Line 5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9" name="Line 5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0" name="Line 6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429</xdr:row>
      <xdr:rowOff>133350</xdr:rowOff>
    </xdr:from>
    <xdr:to>
      <xdr:col>23</xdr:col>
      <xdr:colOff>95250</xdr:colOff>
      <xdr:row>430</xdr:row>
      <xdr:rowOff>180975</xdr:rowOff>
    </xdr:to>
    <xdr:sp>
      <xdr:nvSpPr>
        <xdr:cNvPr id="61" name="AutoShape 61"/>
        <xdr:cNvSpPr>
          <a:spLocks/>
        </xdr:cNvSpPr>
      </xdr:nvSpPr>
      <xdr:spPr>
        <a:xfrm>
          <a:off x="3524250" y="1349787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429</xdr:row>
      <xdr:rowOff>142875</xdr:rowOff>
    </xdr:from>
    <xdr:to>
      <xdr:col>5</xdr:col>
      <xdr:colOff>104775</xdr:colOff>
      <xdr:row>430</xdr:row>
      <xdr:rowOff>171450</xdr:rowOff>
    </xdr:to>
    <xdr:sp>
      <xdr:nvSpPr>
        <xdr:cNvPr id="62" name="AutoShape 62"/>
        <xdr:cNvSpPr>
          <a:spLocks/>
        </xdr:cNvSpPr>
      </xdr:nvSpPr>
      <xdr:spPr>
        <a:xfrm>
          <a:off x="790575" y="1349883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433</xdr:row>
      <xdr:rowOff>28575</xdr:rowOff>
    </xdr:from>
    <xdr:to>
      <xdr:col>11</xdr:col>
      <xdr:colOff>66675</xdr:colOff>
      <xdr:row>433</xdr:row>
      <xdr:rowOff>295275</xdr:rowOff>
    </xdr:to>
    <xdr:grpSp>
      <xdr:nvGrpSpPr>
        <xdr:cNvPr id="63" name="Group 63"/>
        <xdr:cNvGrpSpPr>
          <a:grpSpLocks/>
        </xdr:cNvGrpSpPr>
      </xdr:nvGrpSpPr>
      <xdr:grpSpPr>
        <a:xfrm>
          <a:off x="828675" y="136131300"/>
          <a:ext cx="914400" cy="266700"/>
          <a:chOff x="87" y="1884"/>
          <a:chExt cx="96" cy="28"/>
        </a:xfrm>
        <a:solidFill>
          <a:srgbClr val="FFFFFF"/>
        </a:solidFill>
      </xdr:grpSpPr>
      <xdr:sp>
        <xdr:nvSpPr>
          <xdr:cNvPr id="64" name="Line 6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5" name="Line 6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6" name="Line 6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433</xdr:row>
      <xdr:rowOff>28575</xdr:rowOff>
    </xdr:from>
    <xdr:to>
      <xdr:col>24</xdr:col>
      <xdr:colOff>85725</xdr:colOff>
      <xdr:row>433</xdr:row>
      <xdr:rowOff>285750</xdr:rowOff>
    </xdr:to>
    <xdr:grpSp>
      <xdr:nvGrpSpPr>
        <xdr:cNvPr id="67" name="Group 67"/>
        <xdr:cNvGrpSpPr>
          <a:grpSpLocks/>
        </xdr:cNvGrpSpPr>
      </xdr:nvGrpSpPr>
      <xdr:grpSpPr>
        <a:xfrm>
          <a:off x="1990725" y="136131300"/>
          <a:ext cx="1752600" cy="257175"/>
          <a:chOff x="209" y="1884"/>
          <a:chExt cx="184" cy="27"/>
        </a:xfrm>
        <a:solidFill>
          <a:srgbClr val="FFFFFF"/>
        </a:solidFill>
      </xdr:grpSpPr>
      <xdr:sp>
        <xdr:nvSpPr>
          <xdr:cNvPr id="68" name="Line 6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9" name="Line 6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0" name="Line 7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429</xdr:row>
      <xdr:rowOff>133350</xdr:rowOff>
    </xdr:from>
    <xdr:to>
      <xdr:col>23</xdr:col>
      <xdr:colOff>95250</xdr:colOff>
      <xdr:row>430</xdr:row>
      <xdr:rowOff>180975</xdr:rowOff>
    </xdr:to>
    <xdr:sp>
      <xdr:nvSpPr>
        <xdr:cNvPr id="71" name="AutoShape 71"/>
        <xdr:cNvSpPr>
          <a:spLocks/>
        </xdr:cNvSpPr>
      </xdr:nvSpPr>
      <xdr:spPr>
        <a:xfrm>
          <a:off x="3524250" y="1349787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429</xdr:row>
      <xdr:rowOff>142875</xdr:rowOff>
    </xdr:from>
    <xdr:to>
      <xdr:col>5</xdr:col>
      <xdr:colOff>104775</xdr:colOff>
      <xdr:row>430</xdr:row>
      <xdr:rowOff>171450</xdr:rowOff>
    </xdr:to>
    <xdr:sp>
      <xdr:nvSpPr>
        <xdr:cNvPr id="72" name="AutoShape 72"/>
        <xdr:cNvSpPr>
          <a:spLocks/>
        </xdr:cNvSpPr>
      </xdr:nvSpPr>
      <xdr:spPr>
        <a:xfrm>
          <a:off x="790575" y="1349883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433</xdr:row>
      <xdr:rowOff>28575</xdr:rowOff>
    </xdr:from>
    <xdr:to>
      <xdr:col>11</xdr:col>
      <xdr:colOff>66675</xdr:colOff>
      <xdr:row>433</xdr:row>
      <xdr:rowOff>295275</xdr:rowOff>
    </xdr:to>
    <xdr:grpSp>
      <xdr:nvGrpSpPr>
        <xdr:cNvPr id="73" name="Group 73"/>
        <xdr:cNvGrpSpPr>
          <a:grpSpLocks/>
        </xdr:cNvGrpSpPr>
      </xdr:nvGrpSpPr>
      <xdr:grpSpPr>
        <a:xfrm>
          <a:off x="828675" y="136131300"/>
          <a:ext cx="914400" cy="266700"/>
          <a:chOff x="87" y="1884"/>
          <a:chExt cx="96" cy="28"/>
        </a:xfrm>
        <a:solidFill>
          <a:srgbClr val="FFFFFF"/>
        </a:solidFill>
      </xdr:grpSpPr>
      <xdr:sp>
        <xdr:nvSpPr>
          <xdr:cNvPr id="74" name="Line 7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5" name="Line 7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6" name="Line 7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433</xdr:row>
      <xdr:rowOff>28575</xdr:rowOff>
    </xdr:from>
    <xdr:to>
      <xdr:col>24</xdr:col>
      <xdr:colOff>85725</xdr:colOff>
      <xdr:row>433</xdr:row>
      <xdr:rowOff>285750</xdr:rowOff>
    </xdr:to>
    <xdr:grpSp>
      <xdr:nvGrpSpPr>
        <xdr:cNvPr id="77" name="Group 77"/>
        <xdr:cNvGrpSpPr>
          <a:grpSpLocks/>
        </xdr:cNvGrpSpPr>
      </xdr:nvGrpSpPr>
      <xdr:grpSpPr>
        <a:xfrm>
          <a:off x="1990725" y="136131300"/>
          <a:ext cx="1752600" cy="257175"/>
          <a:chOff x="209" y="1884"/>
          <a:chExt cx="184" cy="27"/>
        </a:xfrm>
        <a:solidFill>
          <a:srgbClr val="FFFFFF"/>
        </a:solidFill>
      </xdr:grpSpPr>
      <xdr:sp>
        <xdr:nvSpPr>
          <xdr:cNvPr id="78" name="Line 7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9" name="Line 7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0" name="Line 8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429</xdr:row>
      <xdr:rowOff>133350</xdr:rowOff>
    </xdr:from>
    <xdr:to>
      <xdr:col>23</xdr:col>
      <xdr:colOff>95250</xdr:colOff>
      <xdr:row>430</xdr:row>
      <xdr:rowOff>180975</xdr:rowOff>
    </xdr:to>
    <xdr:sp>
      <xdr:nvSpPr>
        <xdr:cNvPr id="81" name="AutoShape 81"/>
        <xdr:cNvSpPr>
          <a:spLocks/>
        </xdr:cNvSpPr>
      </xdr:nvSpPr>
      <xdr:spPr>
        <a:xfrm>
          <a:off x="3524250" y="1349787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429</xdr:row>
      <xdr:rowOff>142875</xdr:rowOff>
    </xdr:from>
    <xdr:to>
      <xdr:col>5</xdr:col>
      <xdr:colOff>104775</xdr:colOff>
      <xdr:row>430</xdr:row>
      <xdr:rowOff>171450</xdr:rowOff>
    </xdr:to>
    <xdr:sp>
      <xdr:nvSpPr>
        <xdr:cNvPr id="82" name="AutoShape 82"/>
        <xdr:cNvSpPr>
          <a:spLocks/>
        </xdr:cNvSpPr>
      </xdr:nvSpPr>
      <xdr:spPr>
        <a:xfrm>
          <a:off x="790575" y="1349883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433</xdr:row>
      <xdr:rowOff>28575</xdr:rowOff>
    </xdr:from>
    <xdr:to>
      <xdr:col>11</xdr:col>
      <xdr:colOff>66675</xdr:colOff>
      <xdr:row>433</xdr:row>
      <xdr:rowOff>295275</xdr:rowOff>
    </xdr:to>
    <xdr:grpSp>
      <xdr:nvGrpSpPr>
        <xdr:cNvPr id="83" name="Group 83"/>
        <xdr:cNvGrpSpPr>
          <a:grpSpLocks/>
        </xdr:cNvGrpSpPr>
      </xdr:nvGrpSpPr>
      <xdr:grpSpPr>
        <a:xfrm>
          <a:off x="828675" y="136131300"/>
          <a:ext cx="914400" cy="266700"/>
          <a:chOff x="87" y="1884"/>
          <a:chExt cx="96" cy="28"/>
        </a:xfrm>
        <a:solidFill>
          <a:srgbClr val="FFFFFF"/>
        </a:solidFill>
      </xdr:grpSpPr>
      <xdr:sp>
        <xdr:nvSpPr>
          <xdr:cNvPr id="84" name="Line 8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5" name="Line 8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6" name="Line 8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433</xdr:row>
      <xdr:rowOff>28575</xdr:rowOff>
    </xdr:from>
    <xdr:to>
      <xdr:col>24</xdr:col>
      <xdr:colOff>85725</xdr:colOff>
      <xdr:row>433</xdr:row>
      <xdr:rowOff>285750</xdr:rowOff>
    </xdr:to>
    <xdr:grpSp>
      <xdr:nvGrpSpPr>
        <xdr:cNvPr id="87" name="Group 87"/>
        <xdr:cNvGrpSpPr>
          <a:grpSpLocks/>
        </xdr:cNvGrpSpPr>
      </xdr:nvGrpSpPr>
      <xdr:grpSpPr>
        <a:xfrm>
          <a:off x="1990725" y="136131300"/>
          <a:ext cx="1752600" cy="257175"/>
          <a:chOff x="209" y="1884"/>
          <a:chExt cx="184" cy="27"/>
        </a:xfrm>
        <a:solidFill>
          <a:srgbClr val="FFFFFF"/>
        </a:solidFill>
      </xdr:grpSpPr>
      <xdr:sp>
        <xdr:nvSpPr>
          <xdr:cNvPr id="88" name="Line 8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9" name="Line 8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0" name="Line 9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277</xdr:row>
      <xdr:rowOff>133350</xdr:rowOff>
    </xdr:from>
    <xdr:to>
      <xdr:col>14</xdr:col>
      <xdr:colOff>95250</xdr:colOff>
      <xdr:row>278</xdr:row>
      <xdr:rowOff>180975</xdr:rowOff>
    </xdr:to>
    <xdr:sp>
      <xdr:nvSpPr>
        <xdr:cNvPr id="91" name="AutoShape 91"/>
        <xdr:cNvSpPr>
          <a:spLocks/>
        </xdr:cNvSpPr>
      </xdr:nvSpPr>
      <xdr:spPr>
        <a:xfrm>
          <a:off x="2152650" y="872013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277</xdr:row>
      <xdr:rowOff>142875</xdr:rowOff>
    </xdr:from>
    <xdr:to>
      <xdr:col>5</xdr:col>
      <xdr:colOff>104775</xdr:colOff>
      <xdr:row>278</xdr:row>
      <xdr:rowOff>171450</xdr:rowOff>
    </xdr:to>
    <xdr:sp>
      <xdr:nvSpPr>
        <xdr:cNvPr id="92" name="AutoShape 92"/>
        <xdr:cNvSpPr>
          <a:spLocks/>
        </xdr:cNvSpPr>
      </xdr:nvSpPr>
      <xdr:spPr>
        <a:xfrm>
          <a:off x="790575" y="872109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281</xdr:row>
      <xdr:rowOff>28575</xdr:rowOff>
    </xdr:from>
    <xdr:to>
      <xdr:col>11</xdr:col>
      <xdr:colOff>66675</xdr:colOff>
      <xdr:row>281</xdr:row>
      <xdr:rowOff>295275</xdr:rowOff>
    </xdr:to>
    <xdr:grpSp>
      <xdr:nvGrpSpPr>
        <xdr:cNvPr id="93" name="Group 93"/>
        <xdr:cNvGrpSpPr>
          <a:grpSpLocks/>
        </xdr:cNvGrpSpPr>
      </xdr:nvGrpSpPr>
      <xdr:grpSpPr>
        <a:xfrm>
          <a:off x="828675" y="88353900"/>
          <a:ext cx="914400" cy="266700"/>
          <a:chOff x="87" y="1884"/>
          <a:chExt cx="96" cy="28"/>
        </a:xfrm>
        <a:solidFill>
          <a:srgbClr val="FFFFFF"/>
        </a:solidFill>
      </xdr:grpSpPr>
      <xdr:sp>
        <xdr:nvSpPr>
          <xdr:cNvPr id="94" name="Line 9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5" name="Line 9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6" name="Line 9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281</xdr:row>
      <xdr:rowOff>28575</xdr:rowOff>
    </xdr:from>
    <xdr:to>
      <xdr:col>24</xdr:col>
      <xdr:colOff>85725</xdr:colOff>
      <xdr:row>281</xdr:row>
      <xdr:rowOff>285750</xdr:rowOff>
    </xdr:to>
    <xdr:grpSp>
      <xdr:nvGrpSpPr>
        <xdr:cNvPr id="97" name="Group 97"/>
        <xdr:cNvGrpSpPr>
          <a:grpSpLocks/>
        </xdr:cNvGrpSpPr>
      </xdr:nvGrpSpPr>
      <xdr:grpSpPr>
        <a:xfrm>
          <a:off x="1990725" y="88353900"/>
          <a:ext cx="1752600" cy="257175"/>
          <a:chOff x="209" y="1884"/>
          <a:chExt cx="184" cy="27"/>
        </a:xfrm>
        <a:solidFill>
          <a:srgbClr val="FFFFFF"/>
        </a:solidFill>
      </xdr:grpSpPr>
      <xdr:sp>
        <xdr:nvSpPr>
          <xdr:cNvPr id="98" name="Line 9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9" name="Line 9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0" name="Line 10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277</xdr:row>
      <xdr:rowOff>133350</xdr:rowOff>
    </xdr:from>
    <xdr:to>
      <xdr:col>14</xdr:col>
      <xdr:colOff>95250</xdr:colOff>
      <xdr:row>278</xdr:row>
      <xdr:rowOff>180975</xdr:rowOff>
    </xdr:to>
    <xdr:sp>
      <xdr:nvSpPr>
        <xdr:cNvPr id="101" name="AutoShape 101"/>
        <xdr:cNvSpPr>
          <a:spLocks/>
        </xdr:cNvSpPr>
      </xdr:nvSpPr>
      <xdr:spPr>
        <a:xfrm>
          <a:off x="2152650" y="872013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277</xdr:row>
      <xdr:rowOff>142875</xdr:rowOff>
    </xdr:from>
    <xdr:to>
      <xdr:col>5</xdr:col>
      <xdr:colOff>104775</xdr:colOff>
      <xdr:row>278</xdr:row>
      <xdr:rowOff>171450</xdr:rowOff>
    </xdr:to>
    <xdr:sp>
      <xdr:nvSpPr>
        <xdr:cNvPr id="102" name="AutoShape 102"/>
        <xdr:cNvSpPr>
          <a:spLocks/>
        </xdr:cNvSpPr>
      </xdr:nvSpPr>
      <xdr:spPr>
        <a:xfrm>
          <a:off x="790575" y="872109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281</xdr:row>
      <xdr:rowOff>28575</xdr:rowOff>
    </xdr:from>
    <xdr:to>
      <xdr:col>11</xdr:col>
      <xdr:colOff>66675</xdr:colOff>
      <xdr:row>281</xdr:row>
      <xdr:rowOff>295275</xdr:rowOff>
    </xdr:to>
    <xdr:grpSp>
      <xdr:nvGrpSpPr>
        <xdr:cNvPr id="103" name="Group 103"/>
        <xdr:cNvGrpSpPr>
          <a:grpSpLocks/>
        </xdr:cNvGrpSpPr>
      </xdr:nvGrpSpPr>
      <xdr:grpSpPr>
        <a:xfrm>
          <a:off x="828675" y="88353900"/>
          <a:ext cx="914400" cy="266700"/>
          <a:chOff x="87" y="1884"/>
          <a:chExt cx="96" cy="28"/>
        </a:xfrm>
        <a:solidFill>
          <a:srgbClr val="FFFFFF"/>
        </a:solidFill>
      </xdr:grpSpPr>
      <xdr:sp>
        <xdr:nvSpPr>
          <xdr:cNvPr id="104" name="Line 10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5" name="Line 10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6" name="Line 10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281</xdr:row>
      <xdr:rowOff>28575</xdr:rowOff>
    </xdr:from>
    <xdr:to>
      <xdr:col>24</xdr:col>
      <xdr:colOff>85725</xdr:colOff>
      <xdr:row>281</xdr:row>
      <xdr:rowOff>285750</xdr:rowOff>
    </xdr:to>
    <xdr:grpSp>
      <xdr:nvGrpSpPr>
        <xdr:cNvPr id="107" name="Group 107"/>
        <xdr:cNvGrpSpPr>
          <a:grpSpLocks/>
        </xdr:cNvGrpSpPr>
      </xdr:nvGrpSpPr>
      <xdr:grpSpPr>
        <a:xfrm>
          <a:off x="1990725" y="88353900"/>
          <a:ext cx="1752600" cy="257175"/>
          <a:chOff x="209" y="1884"/>
          <a:chExt cx="184" cy="27"/>
        </a:xfrm>
        <a:solidFill>
          <a:srgbClr val="FFFFFF"/>
        </a:solidFill>
      </xdr:grpSpPr>
      <xdr:sp>
        <xdr:nvSpPr>
          <xdr:cNvPr id="108" name="Line 10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9" name="Line 10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0" name="Line 11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343</xdr:row>
      <xdr:rowOff>133350</xdr:rowOff>
    </xdr:from>
    <xdr:to>
      <xdr:col>14</xdr:col>
      <xdr:colOff>95250</xdr:colOff>
      <xdr:row>344</xdr:row>
      <xdr:rowOff>180975</xdr:rowOff>
    </xdr:to>
    <xdr:sp>
      <xdr:nvSpPr>
        <xdr:cNvPr id="111" name="AutoShape 111"/>
        <xdr:cNvSpPr>
          <a:spLocks/>
        </xdr:cNvSpPr>
      </xdr:nvSpPr>
      <xdr:spPr>
        <a:xfrm>
          <a:off x="2152650" y="1079468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343</xdr:row>
      <xdr:rowOff>142875</xdr:rowOff>
    </xdr:from>
    <xdr:to>
      <xdr:col>5</xdr:col>
      <xdr:colOff>104775</xdr:colOff>
      <xdr:row>344</xdr:row>
      <xdr:rowOff>171450</xdr:rowOff>
    </xdr:to>
    <xdr:sp>
      <xdr:nvSpPr>
        <xdr:cNvPr id="112" name="AutoShape 112"/>
        <xdr:cNvSpPr>
          <a:spLocks/>
        </xdr:cNvSpPr>
      </xdr:nvSpPr>
      <xdr:spPr>
        <a:xfrm>
          <a:off x="790575" y="1079563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347</xdr:row>
      <xdr:rowOff>28575</xdr:rowOff>
    </xdr:from>
    <xdr:to>
      <xdr:col>11</xdr:col>
      <xdr:colOff>66675</xdr:colOff>
      <xdr:row>347</xdr:row>
      <xdr:rowOff>295275</xdr:rowOff>
    </xdr:to>
    <xdr:grpSp>
      <xdr:nvGrpSpPr>
        <xdr:cNvPr id="113" name="Group 113"/>
        <xdr:cNvGrpSpPr>
          <a:grpSpLocks/>
        </xdr:cNvGrpSpPr>
      </xdr:nvGrpSpPr>
      <xdr:grpSpPr>
        <a:xfrm>
          <a:off x="828675" y="109099350"/>
          <a:ext cx="914400" cy="266700"/>
          <a:chOff x="87" y="1884"/>
          <a:chExt cx="96" cy="28"/>
        </a:xfrm>
        <a:solidFill>
          <a:srgbClr val="FFFFFF"/>
        </a:solidFill>
      </xdr:grpSpPr>
      <xdr:sp>
        <xdr:nvSpPr>
          <xdr:cNvPr id="114" name="Line 11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5" name="Line 11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6" name="Line 11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347</xdr:row>
      <xdr:rowOff>28575</xdr:rowOff>
    </xdr:from>
    <xdr:to>
      <xdr:col>24</xdr:col>
      <xdr:colOff>85725</xdr:colOff>
      <xdr:row>347</xdr:row>
      <xdr:rowOff>285750</xdr:rowOff>
    </xdr:to>
    <xdr:grpSp>
      <xdr:nvGrpSpPr>
        <xdr:cNvPr id="117" name="Group 117"/>
        <xdr:cNvGrpSpPr>
          <a:grpSpLocks/>
        </xdr:cNvGrpSpPr>
      </xdr:nvGrpSpPr>
      <xdr:grpSpPr>
        <a:xfrm>
          <a:off x="1990725" y="109099350"/>
          <a:ext cx="1752600" cy="257175"/>
          <a:chOff x="209" y="1884"/>
          <a:chExt cx="184" cy="27"/>
        </a:xfrm>
        <a:solidFill>
          <a:srgbClr val="FFFFFF"/>
        </a:solidFill>
      </xdr:grpSpPr>
      <xdr:sp>
        <xdr:nvSpPr>
          <xdr:cNvPr id="118" name="Line 11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9" name="Line 11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0" name="Line 12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343</xdr:row>
      <xdr:rowOff>133350</xdr:rowOff>
    </xdr:from>
    <xdr:to>
      <xdr:col>14</xdr:col>
      <xdr:colOff>95250</xdr:colOff>
      <xdr:row>344</xdr:row>
      <xdr:rowOff>180975</xdr:rowOff>
    </xdr:to>
    <xdr:sp>
      <xdr:nvSpPr>
        <xdr:cNvPr id="121" name="AutoShape 121"/>
        <xdr:cNvSpPr>
          <a:spLocks/>
        </xdr:cNvSpPr>
      </xdr:nvSpPr>
      <xdr:spPr>
        <a:xfrm>
          <a:off x="2152650" y="1079468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343</xdr:row>
      <xdr:rowOff>142875</xdr:rowOff>
    </xdr:from>
    <xdr:to>
      <xdr:col>5</xdr:col>
      <xdr:colOff>104775</xdr:colOff>
      <xdr:row>344</xdr:row>
      <xdr:rowOff>171450</xdr:rowOff>
    </xdr:to>
    <xdr:sp>
      <xdr:nvSpPr>
        <xdr:cNvPr id="122" name="AutoShape 122"/>
        <xdr:cNvSpPr>
          <a:spLocks/>
        </xdr:cNvSpPr>
      </xdr:nvSpPr>
      <xdr:spPr>
        <a:xfrm>
          <a:off x="790575" y="1079563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347</xdr:row>
      <xdr:rowOff>28575</xdr:rowOff>
    </xdr:from>
    <xdr:to>
      <xdr:col>11</xdr:col>
      <xdr:colOff>66675</xdr:colOff>
      <xdr:row>347</xdr:row>
      <xdr:rowOff>295275</xdr:rowOff>
    </xdr:to>
    <xdr:grpSp>
      <xdr:nvGrpSpPr>
        <xdr:cNvPr id="123" name="Group 123"/>
        <xdr:cNvGrpSpPr>
          <a:grpSpLocks/>
        </xdr:cNvGrpSpPr>
      </xdr:nvGrpSpPr>
      <xdr:grpSpPr>
        <a:xfrm>
          <a:off x="828675" y="109099350"/>
          <a:ext cx="914400" cy="266700"/>
          <a:chOff x="87" y="1884"/>
          <a:chExt cx="96" cy="28"/>
        </a:xfrm>
        <a:solidFill>
          <a:srgbClr val="FFFFFF"/>
        </a:solidFill>
      </xdr:grpSpPr>
      <xdr:sp>
        <xdr:nvSpPr>
          <xdr:cNvPr id="124" name="Line 12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5" name="Line 12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6" name="Line 12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347</xdr:row>
      <xdr:rowOff>28575</xdr:rowOff>
    </xdr:from>
    <xdr:to>
      <xdr:col>24</xdr:col>
      <xdr:colOff>85725</xdr:colOff>
      <xdr:row>347</xdr:row>
      <xdr:rowOff>285750</xdr:rowOff>
    </xdr:to>
    <xdr:grpSp>
      <xdr:nvGrpSpPr>
        <xdr:cNvPr id="127" name="Group 127"/>
        <xdr:cNvGrpSpPr>
          <a:grpSpLocks/>
        </xdr:cNvGrpSpPr>
      </xdr:nvGrpSpPr>
      <xdr:grpSpPr>
        <a:xfrm>
          <a:off x="1990725" y="109099350"/>
          <a:ext cx="1752600" cy="257175"/>
          <a:chOff x="209" y="1884"/>
          <a:chExt cx="184" cy="27"/>
        </a:xfrm>
        <a:solidFill>
          <a:srgbClr val="FFFFFF"/>
        </a:solidFill>
      </xdr:grpSpPr>
      <xdr:sp>
        <xdr:nvSpPr>
          <xdr:cNvPr id="128" name="Line 12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9" name="Line 12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0" name="Line 13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662</xdr:row>
      <xdr:rowOff>133350</xdr:rowOff>
    </xdr:from>
    <xdr:to>
      <xdr:col>23</xdr:col>
      <xdr:colOff>95250</xdr:colOff>
      <xdr:row>663</xdr:row>
      <xdr:rowOff>180975</xdr:rowOff>
    </xdr:to>
    <xdr:sp>
      <xdr:nvSpPr>
        <xdr:cNvPr id="131" name="AutoShape 131"/>
        <xdr:cNvSpPr>
          <a:spLocks/>
        </xdr:cNvSpPr>
      </xdr:nvSpPr>
      <xdr:spPr>
        <a:xfrm>
          <a:off x="3524250" y="20821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662</xdr:row>
      <xdr:rowOff>142875</xdr:rowOff>
    </xdr:from>
    <xdr:to>
      <xdr:col>5</xdr:col>
      <xdr:colOff>104775</xdr:colOff>
      <xdr:row>663</xdr:row>
      <xdr:rowOff>171450</xdr:rowOff>
    </xdr:to>
    <xdr:sp>
      <xdr:nvSpPr>
        <xdr:cNvPr id="132" name="AutoShape 132"/>
        <xdr:cNvSpPr>
          <a:spLocks/>
        </xdr:cNvSpPr>
      </xdr:nvSpPr>
      <xdr:spPr>
        <a:xfrm>
          <a:off x="790575" y="2082260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666</xdr:row>
      <xdr:rowOff>28575</xdr:rowOff>
    </xdr:from>
    <xdr:to>
      <xdr:col>11</xdr:col>
      <xdr:colOff>66675</xdr:colOff>
      <xdr:row>666</xdr:row>
      <xdr:rowOff>295275</xdr:rowOff>
    </xdr:to>
    <xdr:grpSp>
      <xdr:nvGrpSpPr>
        <xdr:cNvPr id="133" name="Group 133"/>
        <xdr:cNvGrpSpPr>
          <a:grpSpLocks/>
        </xdr:cNvGrpSpPr>
      </xdr:nvGrpSpPr>
      <xdr:grpSpPr>
        <a:xfrm>
          <a:off x="828675" y="209369025"/>
          <a:ext cx="914400" cy="266700"/>
          <a:chOff x="87" y="1884"/>
          <a:chExt cx="96" cy="28"/>
        </a:xfrm>
        <a:solidFill>
          <a:srgbClr val="FFFFFF"/>
        </a:solidFill>
      </xdr:grpSpPr>
      <xdr:sp>
        <xdr:nvSpPr>
          <xdr:cNvPr id="134" name="Line 13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5" name="Line 13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6" name="Line 13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666</xdr:row>
      <xdr:rowOff>28575</xdr:rowOff>
    </xdr:from>
    <xdr:to>
      <xdr:col>24</xdr:col>
      <xdr:colOff>85725</xdr:colOff>
      <xdr:row>666</xdr:row>
      <xdr:rowOff>285750</xdr:rowOff>
    </xdr:to>
    <xdr:grpSp>
      <xdr:nvGrpSpPr>
        <xdr:cNvPr id="137" name="Group 137"/>
        <xdr:cNvGrpSpPr>
          <a:grpSpLocks/>
        </xdr:cNvGrpSpPr>
      </xdr:nvGrpSpPr>
      <xdr:grpSpPr>
        <a:xfrm>
          <a:off x="1990725" y="209369025"/>
          <a:ext cx="1752600" cy="257175"/>
          <a:chOff x="209" y="1884"/>
          <a:chExt cx="184" cy="27"/>
        </a:xfrm>
        <a:solidFill>
          <a:srgbClr val="FFFFFF"/>
        </a:solidFill>
      </xdr:grpSpPr>
      <xdr:sp>
        <xdr:nvSpPr>
          <xdr:cNvPr id="138" name="Line 13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9" name="Line 13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0" name="Line 14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662</xdr:row>
      <xdr:rowOff>133350</xdr:rowOff>
    </xdr:from>
    <xdr:to>
      <xdr:col>23</xdr:col>
      <xdr:colOff>95250</xdr:colOff>
      <xdr:row>663</xdr:row>
      <xdr:rowOff>180975</xdr:rowOff>
    </xdr:to>
    <xdr:sp>
      <xdr:nvSpPr>
        <xdr:cNvPr id="141" name="AutoShape 141"/>
        <xdr:cNvSpPr>
          <a:spLocks/>
        </xdr:cNvSpPr>
      </xdr:nvSpPr>
      <xdr:spPr>
        <a:xfrm>
          <a:off x="3524250" y="20821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662</xdr:row>
      <xdr:rowOff>142875</xdr:rowOff>
    </xdr:from>
    <xdr:to>
      <xdr:col>5</xdr:col>
      <xdr:colOff>104775</xdr:colOff>
      <xdr:row>663</xdr:row>
      <xdr:rowOff>171450</xdr:rowOff>
    </xdr:to>
    <xdr:sp>
      <xdr:nvSpPr>
        <xdr:cNvPr id="142" name="AutoShape 142"/>
        <xdr:cNvSpPr>
          <a:spLocks/>
        </xdr:cNvSpPr>
      </xdr:nvSpPr>
      <xdr:spPr>
        <a:xfrm>
          <a:off x="790575" y="2082260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666</xdr:row>
      <xdr:rowOff>28575</xdr:rowOff>
    </xdr:from>
    <xdr:to>
      <xdr:col>11</xdr:col>
      <xdr:colOff>66675</xdr:colOff>
      <xdr:row>666</xdr:row>
      <xdr:rowOff>295275</xdr:rowOff>
    </xdr:to>
    <xdr:grpSp>
      <xdr:nvGrpSpPr>
        <xdr:cNvPr id="143" name="Group 143"/>
        <xdr:cNvGrpSpPr>
          <a:grpSpLocks/>
        </xdr:cNvGrpSpPr>
      </xdr:nvGrpSpPr>
      <xdr:grpSpPr>
        <a:xfrm>
          <a:off x="828675" y="209369025"/>
          <a:ext cx="914400" cy="266700"/>
          <a:chOff x="87" y="1884"/>
          <a:chExt cx="96" cy="28"/>
        </a:xfrm>
        <a:solidFill>
          <a:srgbClr val="FFFFFF"/>
        </a:solidFill>
      </xdr:grpSpPr>
      <xdr:sp>
        <xdr:nvSpPr>
          <xdr:cNvPr id="144" name="Line 14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5" name="Line 14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6" name="Line 14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666</xdr:row>
      <xdr:rowOff>28575</xdr:rowOff>
    </xdr:from>
    <xdr:to>
      <xdr:col>24</xdr:col>
      <xdr:colOff>85725</xdr:colOff>
      <xdr:row>666</xdr:row>
      <xdr:rowOff>285750</xdr:rowOff>
    </xdr:to>
    <xdr:grpSp>
      <xdr:nvGrpSpPr>
        <xdr:cNvPr id="147" name="Group 147"/>
        <xdr:cNvGrpSpPr>
          <a:grpSpLocks/>
        </xdr:cNvGrpSpPr>
      </xdr:nvGrpSpPr>
      <xdr:grpSpPr>
        <a:xfrm>
          <a:off x="1990725" y="209369025"/>
          <a:ext cx="1752600" cy="257175"/>
          <a:chOff x="209" y="1884"/>
          <a:chExt cx="184" cy="27"/>
        </a:xfrm>
        <a:solidFill>
          <a:srgbClr val="FFFFFF"/>
        </a:solidFill>
      </xdr:grpSpPr>
      <xdr:sp>
        <xdr:nvSpPr>
          <xdr:cNvPr id="148" name="Line 14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9" name="Line 14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0" name="Line 15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662</xdr:row>
      <xdr:rowOff>133350</xdr:rowOff>
    </xdr:from>
    <xdr:to>
      <xdr:col>23</xdr:col>
      <xdr:colOff>95250</xdr:colOff>
      <xdr:row>663</xdr:row>
      <xdr:rowOff>180975</xdr:rowOff>
    </xdr:to>
    <xdr:sp>
      <xdr:nvSpPr>
        <xdr:cNvPr id="151" name="AutoShape 151"/>
        <xdr:cNvSpPr>
          <a:spLocks/>
        </xdr:cNvSpPr>
      </xdr:nvSpPr>
      <xdr:spPr>
        <a:xfrm>
          <a:off x="3524250" y="20821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662</xdr:row>
      <xdr:rowOff>142875</xdr:rowOff>
    </xdr:from>
    <xdr:to>
      <xdr:col>5</xdr:col>
      <xdr:colOff>104775</xdr:colOff>
      <xdr:row>663</xdr:row>
      <xdr:rowOff>171450</xdr:rowOff>
    </xdr:to>
    <xdr:sp>
      <xdr:nvSpPr>
        <xdr:cNvPr id="152" name="AutoShape 152"/>
        <xdr:cNvSpPr>
          <a:spLocks/>
        </xdr:cNvSpPr>
      </xdr:nvSpPr>
      <xdr:spPr>
        <a:xfrm>
          <a:off x="790575" y="2082260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666</xdr:row>
      <xdr:rowOff>28575</xdr:rowOff>
    </xdr:from>
    <xdr:to>
      <xdr:col>11</xdr:col>
      <xdr:colOff>66675</xdr:colOff>
      <xdr:row>666</xdr:row>
      <xdr:rowOff>295275</xdr:rowOff>
    </xdr:to>
    <xdr:grpSp>
      <xdr:nvGrpSpPr>
        <xdr:cNvPr id="153" name="Group 153"/>
        <xdr:cNvGrpSpPr>
          <a:grpSpLocks/>
        </xdr:cNvGrpSpPr>
      </xdr:nvGrpSpPr>
      <xdr:grpSpPr>
        <a:xfrm>
          <a:off x="828675" y="209369025"/>
          <a:ext cx="914400" cy="266700"/>
          <a:chOff x="87" y="1884"/>
          <a:chExt cx="96" cy="28"/>
        </a:xfrm>
        <a:solidFill>
          <a:srgbClr val="FFFFFF"/>
        </a:solidFill>
      </xdr:grpSpPr>
      <xdr:sp>
        <xdr:nvSpPr>
          <xdr:cNvPr id="154" name="Line 15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5" name="Line 15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6" name="Line 15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666</xdr:row>
      <xdr:rowOff>28575</xdr:rowOff>
    </xdr:from>
    <xdr:to>
      <xdr:col>24</xdr:col>
      <xdr:colOff>85725</xdr:colOff>
      <xdr:row>666</xdr:row>
      <xdr:rowOff>285750</xdr:rowOff>
    </xdr:to>
    <xdr:grpSp>
      <xdr:nvGrpSpPr>
        <xdr:cNvPr id="157" name="Group 157"/>
        <xdr:cNvGrpSpPr>
          <a:grpSpLocks/>
        </xdr:cNvGrpSpPr>
      </xdr:nvGrpSpPr>
      <xdr:grpSpPr>
        <a:xfrm>
          <a:off x="1990725" y="209369025"/>
          <a:ext cx="1752600" cy="257175"/>
          <a:chOff x="209" y="1884"/>
          <a:chExt cx="184" cy="27"/>
        </a:xfrm>
        <a:solidFill>
          <a:srgbClr val="FFFFFF"/>
        </a:solidFill>
      </xdr:grpSpPr>
      <xdr:sp>
        <xdr:nvSpPr>
          <xdr:cNvPr id="158" name="Line 15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9" name="Line 15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0" name="Line 16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662</xdr:row>
      <xdr:rowOff>133350</xdr:rowOff>
    </xdr:from>
    <xdr:to>
      <xdr:col>23</xdr:col>
      <xdr:colOff>95250</xdr:colOff>
      <xdr:row>663</xdr:row>
      <xdr:rowOff>180975</xdr:rowOff>
    </xdr:to>
    <xdr:sp>
      <xdr:nvSpPr>
        <xdr:cNvPr id="161" name="AutoShape 161"/>
        <xdr:cNvSpPr>
          <a:spLocks/>
        </xdr:cNvSpPr>
      </xdr:nvSpPr>
      <xdr:spPr>
        <a:xfrm>
          <a:off x="3524250" y="20821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662</xdr:row>
      <xdr:rowOff>142875</xdr:rowOff>
    </xdr:from>
    <xdr:to>
      <xdr:col>5</xdr:col>
      <xdr:colOff>104775</xdr:colOff>
      <xdr:row>663</xdr:row>
      <xdr:rowOff>171450</xdr:rowOff>
    </xdr:to>
    <xdr:sp>
      <xdr:nvSpPr>
        <xdr:cNvPr id="162" name="AutoShape 162"/>
        <xdr:cNvSpPr>
          <a:spLocks/>
        </xdr:cNvSpPr>
      </xdr:nvSpPr>
      <xdr:spPr>
        <a:xfrm>
          <a:off x="790575" y="2082260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666</xdr:row>
      <xdr:rowOff>28575</xdr:rowOff>
    </xdr:from>
    <xdr:to>
      <xdr:col>11</xdr:col>
      <xdr:colOff>66675</xdr:colOff>
      <xdr:row>666</xdr:row>
      <xdr:rowOff>295275</xdr:rowOff>
    </xdr:to>
    <xdr:grpSp>
      <xdr:nvGrpSpPr>
        <xdr:cNvPr id="163" name="Group 163"/>
        <xdr:cNvGrpSpPr>
          <a:grpSpLocks/>
        </xdr:cNvGrpSpPr>
      </xdr:nvGrpSpPr>
      <xdr:grpSpPr>
        <a:xfrm>
          <a:off x="828675" y="209369025"/>
          <a:ext cx="914400" cy="266700"/>
          <a:chOff x="87" y="1884"/>
          <a:chExt cx="96" cy="28"/>
        </a:xfrm>
        <a:solidFill>
          <a:srgbClr val="FFFFFF"/>
        </a:solidFill>
      </xdr:grpSpPr>
      <xdr:sp>
        <xdr:nvSpPr>
          <xdr:cNvPr id="164" name="Line 16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5" name="Line 16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6" name="Line 16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666</xdr:row>
      <xdr:rowOff>28575</xdr:rowOff>
    </xdr:from>
    <xdr:to>
      <xdr:col>24</xdr:col>
      <xdr:colOff>85725</xdr:colOff>
      <xdr:row>666</xdr:row>
      <xdr:rowOff>285750</xdr:rowOff>
    </xdr:to>
    <xdr:grpSp>
      <xdr:nvGrpSpPr>
        <xdr:cNvPr id="167" name="Group 167"/>
        <xdr:cNvGrpSpPr>
          <a:grpSpLocks/>
        </xdr:cNvGrpSpPr>
      </xdr:nvGrpSpPr>
      <xdr:grpSpPr>
        <a:xfrm>
          <a:off x="1990725" y="209369025"/>
          <a:ext cx="1752600" cy="257175"/>
          <a:chOff x="209" y="1884"/>
          <a:chExt cx="184" cy="27"/>
        </a:xfrm>
        <a:solidFill>
          <a:srgbClr val="FFFFFF"/>
        </a:solidFill>
      </xdr:grpSpPr>
      <xdr:sp>
        <xdr:nvSpPr>
          <xdr:cNvPr id="168" name="Line 16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9" name="Line 16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0" name="Line 17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510</xdr:row>
      <xdr:rowOff>133350</xdr:rowOff>
    </xdr:from>
    <xdr:to>
      <xdr:col>14</xdr:col>
      <xdr:colOff>95250</xdr:colOff>
      <xdr:row>511</xdr:row>
      <xdr:rowOff>180975</xdr:rowOff>
    </xdr:to>
    <xdr:sp>
      <xdr:nvSpPr>
        <xdr:cNvPr id="171" name="AutoShape 171"/>
        <xdr:cNvSpPr>
          <a:spLocks/>
        </xdr:cNvSpPr>
      </xdr:nvSpPr>
      <xdr:spPr>
        <a:xfrm>
          <a:off x="2152650" y="1604391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510</xdr:row>
      <xdr:rowOff>142875</xdr:rowOff>
    </xdr:from>
    <xdr:to>
      <xdr:col>5</xdr:col>
      <xdr:colOff>104775</xdr:colOff>
      <xdr:row>511</xdr:row>
      <xdr:rowOff>171450</xdr:rowOff>
    </xdr:to>
    <xdr:sp>
      <xdr:nvSpPr>
        <xdr:cNvPr id="172" name="AutoShape 172"/>
        <xdr:cNvSpPr>
          <a:spLocks/>
        </xdr:cNvSpPr>
      </xdr:nvSpPr>
      <xdr:spPr>
        <a:xfrm>
          <a:off x="790575" y="1604486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514</xdr:row>
      <xdr:rowOff>28575</xdr:rowOff>
    </xdr:from>
    <xdr:to>
      <xdr:col>11</xdr:col>
      <xdr:colOff>66675</xdr:colOff>
      <xdr:row>514</xdr:row>
      <xdr:rowOff>295275</xdr:rowOff>
    </xdr:to>
    <xdr:grpSp>
      <xdr:nvGrpSpPr>
        <xdr:cNvPr id="173" name="Group 173"/>
        <xdr:cNvGrpSpPr>
          <a:grpSpLocks/>
        </xdr:cNvGrpSpPr>
      </xdr:nvGrpSpPr>
      <xdr:grpSpPr>
        <a:xfrm>
          <a:off x="828675" y="161591625"/>
          <a:ext cx="914400" cy="266700"/>
          <a:chOff x="87" y="1884"/>
          <a:chExt cx="96" cy="28"/>
        </a:xfrm>
        <a:solidFill>
          <a:srgbClr val="FFFFFF"/>
        </a:solidFill>
      </xdr:grpSpPr>
      <xdr:sp>
        <xdr:nvSpPr>
          <xdr:cNvPr id="174" name="Line 17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5" name="Line 17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6" name="Line 17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514</xdr:row>
      <xdr:rowOff>28575</xdr:rowOff>
    </xdr:from>
    <xdr:to>
      <xdr:col>24</xdr:col>
      <xdr:colOff>85725</xdr:colOff>
      <xdr:row>514</xdr:row>
      <xdr:rowOff>285750</xdr:rowOff>
    </xdr:to>
    <xdr:grpSp>
      <xdr:nvGrpSpPr>
        <xdr:cNvPr id="177" name="Group 177"/>
        <xdr:cNvGrpSpPr>
          <a:grpSpLocks/>
        </xdr:cNvGrpSpPr>
      </xdr:nvGrpSpPr>
      <xdr:grpSpPr>
        <a:xfrm>
          <a:off x="1990725" y="161591625"/>
          <a:ext cx="1752600" cy="257175"/>
          <a:chOff x="209" y="1884"/>
          <a:chExt cx="184" cy="27"/>
        </a:xfrm>
        <a:solidFill>
          <a:srgbClr val="FFFFFF"/>
        </a:solidFill>
      </xdr:grpSpPr>
      <xdr:sp>
        <xdr:nvSpPr>
          <xdr:cNvPr id="178" name="Line 17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9" name="Line 17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0" name="Line 18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510</xdr:row>
      <xdr:rowOff>133350</xdr:rowOff>
    </xdr:from>
    <xdr:to>
      <xdr:col>14</xdr:col>
      <xdr:colOff>95250</xdr:colOff>
      <xdr:row>511</xdr:row>
      <xdr:rowOff>180975</xdr:rowOff>
    </xdr:to>
    <xdr:sp>
      <xdr:nvSpPr>
        <xdr:cNvPr id="181" name="AutoShape 181"/>
        <xdr:cNvSpPr>
          <a:spLocks/>
        </xdr:cNvSpPr>
      </xdr:nvSpPr>
      <xdr:spPr>
        <a:xfrm>
          <a:off x="2152650" y="1604391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510</xdr:row>
      <xdr:rowOff>142875</xdr:rowOff>
    </xdr:from>
    <xdr:to>
      <xdr:col>5</xdr:col>
      <xdr:colOff>104775</xdr:colOff>
      <xdr:row>511</xdr:row>
      <xdr:rowOff>171450</xdr:rowOff>
    </xdr:to>
    <xdr:sp>
      <xdr:nvSpPr>
        <xdr:cNvPr id="182" name="AutoShape 182"/>
        <xdr:cNvSpPr>
          <a:spLocks/>
        </xdr:cNvSpPr>
      </xdr:nvSpPr>
      <xdr:spPr>
        <a:xfrm>
          <a:off x="790575" y="1604486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514</xdr:row>
      <xdr:rowOff>28575</xdr:rowOff>
    </xdr:from>
    <xdr:to>
      <xdr:col>11</xdr:col>
      <xdr:colOff>66675</xdr:colOff>
      <xdr:row>514</xdr:row>
      <xdr:rowOff>295275</xdr:rowOff>
    </xdr:to>
    <xdr:grpSp>
      <xdr:nvGrpSpPr>
        <xdr:cNvPr id="183" name="Group 183"/>
        <xdr:cNvGrpSpPr>
          <a:grpSpLocks/>
        </xdr:cNvGrpSpPr>
      </xdr:nvGrpSpPr>
      <xdr:grpSpPr>
        <a:xfrm>
          <a:off x="828675" y="161591625"/>
          <a:ext cx="914400" cy="266700"/>
          <a:chOff x="87" y="1884"/>
          <a:chExt cx="96" cy="28"/>
        </a:xfrm>
        <a:solidFill>
          <a:srgbClr val="FFFFFF"/>
        </a:solidFill>
      </xdr:grpSpPr>
      <xdr:sp>
        <xdr:nvSpPr>
          <xdr:cNvPr id="184" name="Line 18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5" name="Line 18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6" name="Line 18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514</xdr:row>
      <xdr:rowOff>28575</xdr:rowOff>
    </xdr:from>
    <xdr:to>
      <xdr:col>24</xdr:col>
      <xdr:colOff>85725</xdr:colOff>
      <xdr:row>514</xdr:row>
      <xdr:rowOff>285750</xdr:rowOff>
    </xdr:to>
    <xdr:grpSp>
      <xdr:nvGrpSpPr>
        <xdr:cNvPr id="187" name="Group 187"/>
        <xdr:cNvGrpSpPr>
          <a:grpSpLocks/>
        </xdr:cNvGrpSpPr>
      </xdr:nvGrpSpPr>
      <xdr:grpSpPr>
        <a:xfrm>
          <a:off x="1990725" y="161591625"/>
          <a:ext cx="1752600" cy="257175"/>
          <a:chOff x="209" y="1884"/>
          <a:chExt cx="184" cy="27"/>
        </a:xfrm>
        <a:solidFill>
          <a:srgbClr val="FFFFFF"/>
        </a:solidFill>
      </xdr:grpSpPr>
      <xdr:sp>
        <xdr:nvSpPr>
          <xdr:cNvPr id="188" name="Line 18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9" name="Line 18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0" name="Line 19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576</xdr:row>
      <xdr:rowOff>133350</xdr:rowOff>
    </xdr:from>
    <xdr:to>
      <xdr:col>14</xdr:col>
      <xdr:colOff>95250</xdr:colOff>
      <xdr:row>577</xdr:row>
      <xdr:rowOff>180975</xdr:rowOff>
    </xdr:to>
    <xdr:sp>
      <xdr:nvSpPr>
        <xdr:cNvPr id="191" name="AutoShape 191"/>
        <xdr:cNvSpPr>
          <a:spLocks/>
        </xdr:cNvSpPr>
      </xdr:nvSpPr>
      <xdr:spPr>
        <a:xfrm>
          <a:off x="2152650" y="1811845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576</xdr:row>
      <xdr:rowOff>142875</xdr:rowOff>
    </xdr:from>
    <xdr:to>
      <xdr:col>5</xdr:col>
      <xdr:colOff>104775</xdr:colOff>
      <xdr:row>577</xdr:row>
      <xdr:rowOff>171450</xdr:rowOff>
    </xdr:to>
    <xdr:sp>
      <xdr:nvSpPr>
        <xdr:cNvPr id="192" name="AutoShape 192"/>
        <xdr:cNvSpPr>
          <a:spLocks/>
        </xdr:cNvSpPr>
      </xdr:nvSpPr>
      <xdr:spPr>
        <a:xfrm>
          <a:off x="790575" y="1811940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580</xdr:row>
      <xdr:rowOff>28575</xdr:rowOff>
    </xdr:from>
    <xdr:to>
      <xdr:col>11</xdr:col>
      <xdr:colOff>66675</xdr:colOff>
      <xdr:row>580</xdr:row>
      <xdr:rowOff>295275</xdr:rowOff>
    </xdr:to>
    <xdr:grpSp>
      <xdr:nvGrpSpPr>
        <xdr:cNvPr id="193" name="Group 193"/>
        <xdr:cNvGrpSpPr>
          <a:grpSpLocks/>
        </xdr:cNvGrpSpPr>
      </xdr:nvGrpSpPr>
      <xdr:grpSpPr>
        <a:xfrm>
          <a:off x="828675" y="182337075"/>
          <a:ext cx="914400" cy="266700"/>
          <a:chOff x="87" y="1884"/>
          <a:chExt cx="96" cy="28"/>
        </a:xfrm>
        <a:solidFill>
          <a:srgbClr val="FFFFFF"/>
        </a:solidFill>
      </xdr:grpSpPr>
      <xdr:sp>
        <xdr:nvSpPr>
          <xdr:cNvPr id="194" name="Line 19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5" name="Line 19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6" name="Line 19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580</xdr:row>
      <xdr:rowOff>28575</xdr:rowOff>
    </xdr:from>
    <xdr:to>
      <xdr:col>24</xdr:col>
      <xdr:colOff>85725</xdr:colOff>
      <xdr:row>580</xdr:row>
      <xdr:rowOff>285750</xdr:rowOff>
    </xdr:to>
    <xdr:grpSp>
      <xdr:nvGrpSpPr>
        <xdr:cNvPr id="197" name="Group 197"/>
        <xdr:cNvGrpSpPr>
          <a:grpSpLocks/>
        </xdr:cNvGrpSpPr>
      </xdr:nvGrpSpPr>
      <xdr:grpSpPr>
        <a:xfrm>
          <a:off x="1990725" y="182337075"/>
          <a:ext cx="1752600" cy="257175"/>
          <a:chOff x="209" y="1884"/>
          <a:chExt cx="184" cy="27"/>
        </a:xfrm>
        <a:solidFill>
          <a:srgbClr val="FFFFFF"/>
        </a:solidFill>
      </xdr:grpSpPr>
      <xdr:sp>
        <xdr:nvSpPr>
          <xdr:cNvPr id="198" name="Line 19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9" name="Line 19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0" name="Line 20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576</xdr:row>
      <xdr:rowOff>133350</xdr:rowOff>
    </xdr:from>
    <xdr:to>
      <xdr:col>14</xdr:col>
      <xdr:colOff>95250</xdr:colOff>
      <xdr:row>577</xdr:row>
      <xdr:rowOff>180975</xdr:rowOff>
    </xdr:to>
    <xdr:sp>
      <xdr:nvSpPr>
        <xdr:cNvPr id="201" name="AutoShape 201"/>
        <xdr:cNvSpPr>
          <a:spLocks/>
        </xdr:cNvSpPr>
      </xdr:nvSpPr>
      <xdr:spPr>
        <a:xfrm>
          <a:off x="2152650" y="1811845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576</xdr:row>
      <xdr:rowOff>142875</xdr:rowOff>
    </xdr:from>
    <xdr:to>
      <xdr:col>5</xdr:col>
      <xdr:colOff>104775</xdr:colOff>
      <xdr:row>577</xdr:row>
      <xdr:rowOff>171450</xdr:rowOff>
    </xdr:to>
    <xdr:sp>
      <xdr:nvSpPr>
        <xdr:cNvPr id="202" name="AutoShape 202"/>
        <xdr:cNvSpPr>
          <a:spLocks/>
        </xdr:cNvSpPr>
      </xdr:nvSpPr>
      <xdr:spPr>
        <a:xfrm>
          <a:off x="790575" y="1811940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580</xdr:row>
      <xdr:rowOff>28575</xdr:rowOff>
    </xdr:from>
    <xdr:to>
      <xdr:col>11</xdr:col>
      <xdr:colOff>66675</xdr:colOff>
      <xdr:row>580</xdr:row>
      <xdr:rowOff>295275</xdr:rowOff>
    </xdr:to>
    <xdr:grpSp>
      <xdr:nvGrpSpPr>
        <xdr:cNvPr id="203" name="Group 203"/>
        <xdr:cNvGrpSpPr>
          <a:grpSpLocks/>
        </xdr:cNvGrpSpPr>
      </xdr:nvGrpSpPr>
      <xdr:grpSpPr>
        <a:xfrm>
          <a:off x="828675" y="182337075"/>
          <a:ext cx="914400" cy="266700"/>
          <a:chOff x="87" y="1884"/>
          <a:chExt cx="96" cy="28"/>
        </a:xfrm>
        <a:solidFill>
          <a:srgbClr val="FFFFFF"/>
        </a:solidFill>
      </xdr:grpSpPr>
      <xdr:sp>
        <xdr:nvSpPr>
          <xdr:cNvPr id="204" name="Line 20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5" name="Line 20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6" name="Line 20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580</xdr:row>
      <xdr:rowOff>28575</xdr:rowOff>
    </xdr:from>
    <xdr:to>
      <xdr:col>24</xdr:col>
      <xdr:colOff>85725</xdr:colOff>
      <xdr:row>580</xdr:row>
      <xdr:rowOff>285750</xdr:rowOff>
    </xdr:to>
    <xdr:grpSp>
      <xdr:nvGrpSpPr>
        <xdr:cNvPr id="207" name="Group 207"/>
        <xdr:cNvGrpSpPr>
          <a:grpSpLocks/>
        </xdr:cNvGrpSpPr>
      </xdr:nvGrpSpPr>
      <xdr:grpSpPr>
        <a:xfrm>
          <a:off x="1990725" y="182337075"/>
          <a:ext cx="1752600" cy="257175"/>
          <a:chOff x="209" y="1884"/>
          <a:chExt cx="184" cy="27"/>
        </a:xfrm>
        <a:solidFill>
          <a:srgbClr val="FFFFFF"/>
        </a:solidFill>
      </xdr:grpSpPr>
      <xdr:sp>
        <xdr:nvSpPr>
          <xdr:cNvPr id="208" name="Line 20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9" name="Line 20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0" name="Line 21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211" name="AutoShape 21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12" name="AutoShape 21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13" name="Group 213"/>
        <xdr:cNvGrpSpPr>
          <a:grpSpLocks/>
        </xdr:cNvGrpSpPr>
      </xdr:nvGrpSpPr>
      <xdr:grpSpPr>
        <a:xfrm>
          <a:off x="828675" y="219084525"/>
          <a:ext cx="914400" cy="0"/>
          <a:chOff x="87" y="1884"/>
          <a:chExt cx="96" cy="28"/>
        </a:xfrm>
        <a:solidFill>
          <a:srgbClr val="FFFFFF"/>
        </a:solidFill>
      </xdr:grpSpPr>
      <xdr:sp>
        <xdr:nvSpPr>
          <xdr:cNvPr id="214" name="Line 21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5" name="Line 21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6" name="Line 21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17" name="Group 217"/>
        <xdr:cNvGrpSpPr>
          <a:grpSpLocks/>
        </xdr:cNvGrpSpPr>
      </xdr:nvGrpSpPr>
      <xdr:grpSpPr>
        <a:xfrm>
          <a:off x="1990725" y="219084525"/>
          <a:ext cx="1752600" cy="0"/>
          <a:chOff x="209" y="1884"/>
          <a:chExt cx="184" cy="27"/>
        </a:xfrm>
        <a:solidFill>
          <a:srgbClr val="FFFFFF"/>
        </a:solidFill>
      </xdr:grpSpPr>
      <xdr:sp>
        <xdr:nvSpPr>
          <xdr:cNvPr id="218" name="Line 21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9" name="Line 21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0" name="Line 22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221" name="AutoShape 22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22" name="AutoShape 22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23" name="Group 223"/>
        <xdr:cNvGrpSpPr>
          <a:grpSpLocks/>
        </xdr:cNvGrpSpPr>
      </xdr:nvGrpSpPr>
      <xdr:grpSpPr>
        <a:xfrm>
          <a:off x="828675" y="219084525"/>
          <a:ext cx="914400" cy="0"/>
          <a:chOff x="87" y="1884"/>
          <a:chExt cx="96" cy="28"/>
        </a:xfrm>
        <a:solidFill>
          <a:srgbClr val="FFFFFF"/>
        </a:solidFill>
      </xdr:grpSpPr>
      <xdr:sp>
        <xdr:nvSpPr>
          <xdr:cNvPr id="224" name="Line 22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5" name="Line 22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6" name="Line 22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27" name="Group 227"/>
        <xdr:cNvGrpSpPr>
          <a:grpSpLocks/>
        </xdr:cNvGrpSpPr>
      </xdr:nvGrpSpPr>
      <xdr:grpSpPr>
        <a:xfrm>
          <a:off x="1990725" y="219084525"/>
          <a:ext cx="1752600" cy="0"/>
          <a:chOff x="209" y="1884"/>
          <a:chExt cx="184" cy="27"/>
        </a:xfrm>
        <a:solidFill>
          <a:srgbClr val="FFFFFF"/>
        </a:solidFill>
      </xdr:grpSpPr>
      <xdr:sp>
        <xdr:nvSpPr>
          <xdr:cNvPr id="228" name="Line 22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9" name="Line 22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0" name="Line 23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231" name="AutoShape 23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32" name="AutoShape 23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33" name="Group 233"/>
        <xdr:cNvGrpSpPr>
          <a:grpSpLocks/>
        </xdr:cNvGrpSpPr>
      </xdr:nvGrpSpPr>
      <xdr:grpSpPr>
        <a:xfrm>
          <a:off x="828675" y="219084525"/>
          <a:ext cx="914400" cy="0"/>
          <a:chOff x="87" y="1884"/>
          <a:chExt cx="96" cy="28"/>
        </a:xfrm>
        <a:solidFill>
          <a:srgbClr val="FFFFFF"/>
        </a:solidFill>
      </xdr:grpSpPr>
      <xdr:sp>
        <xdr:nvSpPr>
          <xdr:cNvPr id="234" name="Line 23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5" name="Line 23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6" name="Line 23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37" name="Group 237"/>
        <xdr:cNvGrpSpPr>
          <a:grpSpLocks/>
        </xdr:cNvGrpSpPr>
      </xdr:nvGrpSpPr>
      <xdr:grpSpPr>
        <a:xfrm>
          <a:off x="1990725" y="219084525"/>
          <a:ext cx="1752600" cy="0"/>
          <a:chOff x="209" y="1884"/>
          <a:chExt cx="184" cy="27"/>
        </a:xfrm>
        <a:solidFill>
          <a:srgbClr val="FFFFFF"/>
        </a:solidFill>
      </xdr:grpSpPr>
      <xdr:sp>
        <xdr:nvSpPr>
          <xdr:cNvPr id="238" name="Line 23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9" name="Line 23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0" name="Line 24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241" name="AutoShape 24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42" name="AutoShape 24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43" name="Group 243"/>
        <xdr:cNvGrpSpPr>
          <a:grpSpLocks/>
        </xdr:cNvGrpSpPr>
      </xdr:nvGrpSpPr>
      <xdr:grpSpPr>
        <a:xfrm>
          <a:off x="828675" y="219084525"/>
          <a:ext cx="914400" cy="0"/>
          <a:chOff x="87" y="1884"/>
          <a:chExt cx="96" cy="28"/>
        </a:xfrm>
        <a:solidFill>
          <a:srgbClr val="FFFFFF"/>
        </a:solidFill>
      </xdr:grpSpPr>
      <xdr:sp>
        <xdr:nvSpPr>
          <xdr:cNvPr id="244" name="Line 24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5" name="Line 24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6" name="Line 24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47" name="Group 247"/>
        <xdr:cNvGrpSpPr>
          <a:grpSpLocks/>
        </xdr:cNvGrpSpPr>
      </xdr:nvGrpSpPr>
      <xdr:grpSpPr>
        <a:xfrm>
          <a:off x="1990725" y="219084525"/>
          <a:ext cx="1752600" cy="0"/>
          <a:chOff x="209" y="1884"/>
          <a:chExt cx="184" cy="27"/>
        </a:xfrm>
        <a:solidFill>
          <a:srgbClr val="FFFFFF"/>
        </a:solidFill>
      </xdr:grpSpPr>
      <xdr:sp>
        <xdr:nvSpPr>
          <xdr:cNvPr id="248" name="Line 24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9" name="Line 24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0" name="Line 25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251" name="AutoShape 25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52" name="AutoShape 25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53" name="Group 253"/>
        <xdr:cNvGrpSpPr>
          <a:grpSpLocks/>
        </xdr:cNvGrpSpPr>
      </xdr:nvGrpSpPr>
      <xdr:grpSpPr>
        <a:xfrm>
          <a:off x="828675" y="219084525"/>
          <a:ext cx="914400" cy="0"/>
          <a:chOff x="87" y="1884"/>
          <a:chExt cx="96" cy="28"/>
        </a:xfrm>
        <a:solidFill>
          <a:srgbClr val="FFFFFF"/>
        </a:solidFill>
      </xdr:grpSpPr>
      <xdr:sp>
        <xdr:nvSpPr>
          <xdr:cNvPr id="254" name="Line 25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5" name="Line 25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6" name="Line 25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57" name="Group 257"/>
        <xdr:cNvGrpSpPr>
          <a:grpSpLocks/>
        </xdr:cNvGrpSpPr>
      </xdr:nvGrpSpPr>
      <xdr:grpSpPr>
        <a:xfrm>
          <a:off x="1990725" y="219084525"/>
          <a:ext cx="1752600" cy="0"/>
          <a:chOff x="209" y="1884"/>
          <a:chExt cx="184" cy="27"/>
        </a:xfrm>
        <a:solidFill>
          <a:srgbClr val="FFFFFF"/>
        </a:solidFill>
      </xdr:grpSpPr>
      <xdr:sp>
        <xdr:nvSpPr>
          <xdr:cNvPr id="258" name="Line 25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59" name="Line 25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0" name="Line 26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261" name="AutoShape 26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62" name="AutoShape 26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63" name="Group 263"/>
        <xdr:cNvGrpSpPr>
          <a:grpSpLocks/>
        </xdr:cNvGrpSpPr>
      </xdr:nvGrpSpPr>
      <xdr:grpSpPr>
        <a:xfrm>
          <a:off x="828675" y="219084525"/>
          <a:ext cx="914400" cy="0"/>
          <a:chOff x="87" y="1884"/>
          <a:chExt cx="96" cy="28"/>
        </a:xfrm>
        <a:solidFill>
          <a:srgbClr val="FFFFFF"/>
        </a:solidFill>
      </xdr:grpSpPr>
      <xdr:sp>
        <xdr:nvSpPr>
          <xdr:cNvPr id="264" name="Line 26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5" name="Line 26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6" name="Line 26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67" name="Group 267"/>
        <xdr:cNvGrpSpPr>
          <a:grpSpLocks/>
        </xdr:cNvGrpSpPr>
      </xdr:nvGrpSpPr>
      <xdr:grpSpPr>
        <a:xfrm>
          <a:off x="1990725" y="219084525"/>
          <a:ext cx="1752600" cy="0"/>
          <a:chOff x="209" y="1884"/>
          <a:chExt cx="184" cy="27"/>
        </a:xfrm>
        <a:solidFill>
          <a:srgbClr val="FFFFFF"/>
        </a:solidFill>
      </xdr:grpSpPr>
      <xdr:sp>
        <xdr:nvSpPr>
          <xdr:cNvPr id="268" name="Line 26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69" name="Line 26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0" name="Line 27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271" name="AutoShape 27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72" name="AutoShape 27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73" name="Group 273"/>
        <xdr:cNvGrpSpPr>
          <a:grpSpLocks/>
        </xdr:cNvGrpSpPr>
      </xdr:nvGrpSpPr>
      <xdr:grpSpPr>
        <a:xfrm>
          <a:off x="828675" y="219084525"/>
          <a:ext cx="914400" cy="0"/>
          <a:chOff x="87" y="1884"/>
          <a:chExt cx="96" cy="28"/>
        </a:xfrm>
        <a:solidFill>
          <a:srgbClr val="FFFFFF"/>
        </a:solidFill>
      </xdr:grpSpPr>
      <xdr:sp>
        <xdr:nvSpPr>
          <xdr:cNvPr id="274" name="Line 27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5" name="Line 27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6" name="Line 27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77" name="Group 277"/>
        <xdr:cNvGrpSpPr>
          <a:grpSpLocks/>
        </xdr:cNvGrpSpPr>
      </xdr:nvGrpSpPr>
      <xdr:grpSpPr>
        <a:xfrm>
          <a:off x="1990725" y="219084525"/>
          <a:ext cx="1752600" cy="0"/>
          <a:chOff x="209" y="1884"/>
          <a:chExt cx="184" cy="27"/>
        </a:xfrm>
        <a:solidFill>
          <a:srgbClr val="FFFFFF"/>
        </a:solidFill>
      </xdr:grpSpPr>
      <xdr:sp>
        <xdr:nvSpPr>
          <xdr:cNvPr id="278" name="Line 27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9" name="Line 27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0" name="Line 28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281" name="AutoShape 28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82" name="AutoShape 28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83" name="Group 283"/>
        <xdr:cNvGrpSpPr>
          <a:grpSpLocks/>
        </xdr:cNvGrpSpPr>
      </xdr:nvGrpSpPr>
      <xdr:grpSpPr>
        <a:xfrm>
          <a:off x="828675" y="219084525"/>
          <a:ext cx="914400" cy="0"/>
          <a:chOff x="87" y="1884"/>
          <a:chExt cx="96" cy="28"/>
        </a:xfrm>
        <a:solidFill>
          <a:srgbClr val="FFFFFF"/>
        </a:solidFill>
      </xdr:grpSpPr>
      <xdr:sp>
        <xdr:nvSpPr>
          <xdr:cNvPr id="284" name="Line 28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5" name="Line 28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6" name="Line 28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87" name="Group 287"/>
        <xdr:cNvGrpSpPr>
          <a:grpSpLocks/>
        </xdr:cNvGrpSpPr>
      </xdr:nvGrpSpPr>
      <xdr:grpSpPr>
        <a:xfrm>
          <a:off x="1990725" y="219084525"/>
          <a:ext cx="1752600" cy="0"/>
          <a:chOff x="209" y="1884"/>
          <a:chExt cx="184" cy="27"/>
        </a:xfrm>
        <a:solidFill>
          <a:srgbClr val="FFFFFF"/>
        </a:solidFill>
      </xdr:grpSpPr>
      <xdr:sp>
        <xdr:nvSpPr>
          <xdr:cNvPr id="288" name="Line 28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9" name="Line 28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0" name="Line 29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291" name="AutoShape 29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292" name="AutoShape 29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293" name="Group 293"/>
        <xdr:cNvGrpSpPr>
          <a:grpSpLocks/>
        </xdr:cNvGrpSpPr>
      </xdr:nvGrpSpPr>
      <xdr:grpSpPr>
        <a:xfrm>
          <a:off x="828675" y="219084525"/>
          <a:ext cx="914400" cy="0"/>
          <a:chOff x="87" y="1884"/>
          <a:chExt cx="96" cy="28"/>
        </a:xfrm>
        <a:solidFill>
          <a:srgbClr val="FFFFFF"/>
        </a:solidFill>
      </xdr:grpSpPr>
      <xdr:sp>
        <xdr:nvSpPr>
          <xdr:cNvPr id="294" name="Line 29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5" name="Line 29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6" name="Line 29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297" name="Group 297"/>
        <xdr:cNvGrpSpPr>
          <a:grpSpLocks/>
        </xdr:cNvGrpSpPr>
      </xdr:nvGrpSpPr>
      <xdr:grpSpPr>
        <a:xfrm>
          <a:off x="1990725" y="219084525"/>
          <a:ext cx="1752600" cy="0"/>
          <a:chOff x="209" y="1884"/>
          <a:chExt cx="184" cy="27"/>
        </a:xfrm>
        <a:solidFill>
          <a:srgbClr val="FFFFFF"/>
        </a:solidFill>
      </xdr:grpSpPr>
      <xdr:sp>
        <xdr:nvSpPr>
          <xdr:cNvPr id="298" name="Line 29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9" name="Line 29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0" name="Line 30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301" name="AutoShape 30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302" name="AutoShape 30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303" name="Group 303"/>
        <xdr:cNvGrpSpPr>
          <a:grpSpLocks/>
        </xdr:cNvGrpSpPr>
      </xdr:nvGrpSpPr>
      <xdr:grpSpPr>
        <a:xfrm>
          <a:off x="828675" y="219084525"/>
          <a:ext cx="914400" cy="0"/>
          <a:chOff x="87" y="1884"/>
          <a:chExt cx="96" cy="28"/>
        </a:xfrm>
        <a:solidFill>
          <a:srgbClr val="FFFFFF"/>
        </a:solidFill>
      </xdr:grpSpPr>
      <xdr:sp>
        <xdr:nvSpPr>
          <xdr:cNvPr id="304" name="Line 30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5" name="Line 30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6" name="Line 30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307" name="Group 307"/>
        <xdr:cNvGrpSpPr>
          <a:grpSpLocks/>
        </xdr:cNvGrpSpPr>
      </xdr:nvGrpSpPr>
      <xdr:grpSpPr>
        <a:xfrm>
          <a:off x="1990725" y="219084525"/>
          <a:ext cx="1752600" cy="0"/>
          <a:chOff x="209" y="1884"/>
          <a:chExt cx="184" cy="27"/>
        </a:xfrm>
        <a:solidFill>
          <a:srgbClr val="FFFFFF"/>
        </a:solidFill>
      </xdr:grpSpPr>
      <xdr:sp>
        <xdr:nvSpPr>
          <xdr:cNvPr id="308" name="Line 30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9" name="Line 30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0" name="Line 31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311" name="AutoShape 31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312" name="AutoShape 31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313" name="Group 313"/>
        <xdr:cNvGrpSpPr>
          <a:grpSpLocks/>
        </xdr:cNvGrpSpPr>
      </xdr:nvGrpSpPr>
      <xdr:grpSpPr>
        <a:xfrm>
          <a:off x="828675" y="219084525"/>
          <a:ext cx="914400" cy="0"/>
          <a:chOff x="87" y="1884"/>
          <a:chExt cx="96" cy="28"/>
        </a:xfrm>
        <a:solidFill>
          <a:srgbClr val="FFFFFF"/>
        </a:solidFill>
      </xdr:grpSpPr>
      <xdr:sp>
        <xdr:nvSpPr>
          <xdr:cNvPr id="314" name="Line 31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5" name="Line 31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6" name="Line 31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317" name="Group 317"/>
        <xdr:cNvGrpSpPr>
          <a:grpSpLocks/>
        </xdr:cNvGrpSpPr>
      </xdr:nvGrpSpPr>
      <xdr:grpSpPr>
        <a:xfrm>
          <a:off x="1990725" y="219084525"/>
          <a:ext cx="1752600" cy="0"/>
          <a:chOff x="209" y="1884"/>
          <a:chExt cx="184" cy="27"/>
        </a:xfrm>
        <a:solidFill>
          <a:srgbClr val="FFFFFF"/>
        </a:solidFill>
      </xdr:grpSpPr>
      <xdr:sp>
        <xdr:nvSpPr>
          <xdr:cNvPr id="318" name="Line 31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9" name="Line 31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0" name="Line 32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321" name="AutoShape 32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322" name="AutoShape 32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323" name="Group 323"/>
        <xdr:cNvGrpSpPr>
          <a:grpSpLocks/>
        </xdr:cNvGrpSpPr>
      </xdr:nvGrpSpPr>
      <xdr:grpSpPr>
        <a:xfrm>
          <a:off x="828675" y="219084525"/>
          <a:ext cx="914400" cy="0"/>
          <a:chOff x="87" y="1884"/>
          <a:chExt cx="96" cy="28"/>
        </a:xfrm>
        <a:solidFill>
          <a:srgbClr val="FFFFFF"/>
        </a:solidFill>
      </xdr:grpSpPr>
      <xdr:sp>
        <xdr:nvSpPr>
          <xdr:cNvPr id="324" name="Line 32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5" name="Line 32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6" name="Line 32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327" name="Group 327"/>
        <xdr:cNvGrpSpPr>
          <a:grpSpLocks/>
        </xdr:cNvGrpSpPr>
      </xdr:nvGrpSpPr>
      <xdr:grpSpPr>
        <a:xfrm>
          <a:off x="1990725" y="219084525"/>
          <a:ext cx="1752600" cy="0"/>
          <a:chOff x="209" y="1884"/>
          <a:chExt cx="184" cy="27"/>
        </a:xfrm>
        <a:solidFill>
          <a:srgbClr val="FFFFFF"/>
        </a:solidFill>
      </xdr:grpSpPr>
      <xdr:sp>
        <xdr:nvSpPr>
          <xdr:cNvPr id="328" name="Line 32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9" name="Line 32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0" name="Line 33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331" name="AutoShape 33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332" name="AutoShape 33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333" name="Group 333"/>
        <xdr:cNvGrpSpPr>
          <a:grpSpLocks/>
        </xdr:cNvGrpSpPr>
      </xdr:nvGrpSpPr>
      <xdr:grpSpPr>
        <a:xfrm>
          <a:off x="828675" y="219084525"/>
          <a:ext cx="914400" cy="0"/>
          <a:chOff x="87" y="1884"/>
          <a:chExt cx="96" cy="28"/>
        </a:xfrm>
        <a:solidFill>
          <a:srgbClr val="FFFFFF"/>
        </a:solidFill>
      </xdr:grpSpPr>
      <xdr:sp>
        <xdr:nvSpPr>
          <xdr:cNvPr id="334" name="Line 33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5" name="Line 33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6" name="Line 33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337" name="Group 337"/>
        <xdr:cNvGrpSpPr>
          <a:grpSpLocks/>
        </xdr:cNvGrpSpPr>
      </xdr:nvGrpSpPr>
      <xdr:grpSpPr>
        <a:xfrm>
          <a:off x="1990725" y="219084525"/>
          <a:ext cx="1752600" cy="0"/>
          <a:chOff x="209" y="1884"/>
          <a:chExt cx="184" cy="27"/>
        </a:xfrm>
        <a:solidFill>
          <a:srgbClr val="FFFFFF"/>
        </a:solidFill>
      </xdr:grpSpPr>
      <xdr:sp>
        <xdr:nvSpPr>
          <xdr:cNvPr id="338" name="Line 33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9" name="Line 33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0" name="Line 34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341" name="AutoShape 34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342" name="AutoShape 34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343" name="Group 343"/>
        <xdr:cNvGrpSpPr>
          <a:grpSpLocks/>
        </xdr:cNvGrpSpPr>
      </xdr:nvGrpSpPr>
      <xdr:grpSpPr>
        <a:xfrm>
          <a:off x="828675" y="219084525"/>
          <a:ext cx="914400" cy="0"/>
          <a:chOff x="87" y="1884"/>
          <a:chExt cx="96" cy="28"/>
        </a:xfrm>
        <a:solidFill>
          <a:srgbClr val="FFFFFF"/>
        </a:solidFill>
      </xdr:grpSpPr>
      <xdr:sp>
        <xdr:nvSpPr>
          <xdr:cNvPr id="344" name="Line 34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5" name="Line 34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6" name="Line 34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347" name="Group 347"/>
        <xdr:cNvGrpSpPr>
          <a:grpSpLocks/>
        </xdr:cNvGrpSpPr>
      </xdr:nvGrpSpPr>
      <xdr:grpSpPr>
        <a:xfrm>
          <a:off x="1990725" y="219084525"/>
          <a:ext cx="1752600" cy="0"/>
          <a:chOff x="209" y="1884"/>
          <a:chExt cx="184" cy="27"/>
        </a:xfrm>
        <a:solidFill>
          <a:srgbClr val="FFFFFF"/>
        </a:solidFill>
      </xdr:grpSpPr>
      <xdr:sp>
        <xdr:nvSpPr>
          <xdr:cNvPr id="348" name="Line 34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9" name="Line 34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0" name="Line 35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351" name="AutoShape 35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352" name="AutoShape 35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353" name="Group 353"/>
        <xdr:cNvGrpSpPr>
          <a:grpSpLocks/>
        </xdr:cNvGrpSpPr>
      </xdr:nvGrpSpPr>
      <xdr:grpSpPr>
        <a:xfrm>
          <a:off x="828675" y="219084525"/>
          <a:ext cx="914400" cy="0"/>
          <a:chOff x="87" y="1884"/>
          <a:chExt cx="96" cy="28"/>
        </a:xfrm>
        <a:solidFill>
          <a:srgbClr val="FFFFFF"/>
        </a:solidFill>
      </xdr:grpSpPr>
      <xdr:sp>
        <xdr:nvSpPr>
          <xdr:cNvPr id="354" name="Line 35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5" name="Line 35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6" name="Line 35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357" name="Group 357"/>
        <xdr:cNvGrpSpPr>
          <a:grpSpLocks/>
        </xdr:cNvGrpSpPr>
      </xdr:nvGrpSpPr>
      <xdr:grpSpPr>
        <a:xfrm>
          <a:off x="1990725" y="219084525"/>
          <a:ext cx="1752600" cy="0"/>
          <a:chOff x="209" y="1884"/>
          <a:chExt cx="184" cy="27"/>
        </a:xfrm>
        <a:solidFill>
          <a:srgbClr val="FFFFFF"/>
        </a:solidFill>
      </xdr:grpSpPr>
      <xdr:sp>
        <xdr:nvSpPr>
          <xdr:cNvPr id="358" name="Line 35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9" name="Line 35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0" name="Line 36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361" name="AutoShape 361"/>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362" name="AutoShape 36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363" name="Group 363"/>
        <xdr:cNvGrpSpPr>
          <a:grpSpLocks/>
        </xdr:cNvGrpSpPr>
      </xdr:nvGrpSpPr>
      <xdr:grpSpPr>
        <a:xfrm>
          <a:off x="828675" y="219084525"/>
          <a:ext cx="914400" cy="0"/>
          <a:chOff x="87" y="1884"/>
          <a:chExt cx="96" cy="28"/>
        </a:xfrm>
        <a:solidFill>
          <a:srgbClr val="FFFFFF"/>
        </a:solidFill>
      </xdr:grpSpPr>
      <xdr:sp>
        <xdr:nvSpPr>
          <xdr:cNvPr id="364" name="Line 364"/>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5" name="Line 365"/>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6" name="Line 366"/>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367" name="Group 367"/>
        <xdr:cNvGrpSpPr>
          <a:grpSpLocks/>
        </xdr:cNvGrpSpPr>
      </xdr:nvGrpSpPr>
      <xdr:grpSpPr>
        <a:xfrm>
          <a:off x="1990725" y="219084525"/>
          <a:ext cx="1752600" cy="0"/>
          <a:chOff x="209" y="1884"/>
          <a:chExt cx="184" cy="27"/>
        </a:xfrm>
        <a:solidFill>
          <a:srgbClr val="FFFFFF"/>
        </a:solidFill>
      </xdr:grpSpPr>
      <xdr:sp>
        <xdr:nvSpPr>
          <xdr:cNvPr id="368" name="Line 368"/>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9" name="Line 369"/>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0" name="Line 370"/>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429</xdr:row>
      <xdr:rowOff>133350</xdr:rowOff>
    </xdr:from>
    <xdr:to>
      <xdr:col>23</xdr:col>
      <xdr:colOff>95250</xdr:colOff>
      <xdr:row>430</xdr:row>
      <xdr:rowOff>180975</xdr:rowOff>
    </xdr:to>
    <xdr:sp>
      <xdr:nvSpPr>
        <xdr:cNvPr id="371" name="AutoShape 371"/>
        <xdr:cNvSpPr>
          <a:spLocks/>
        </xdr:cNvSpPr>
      </xdr:nvSpPr>
      <xdr:spPr>
        <a:xfrm>
          <a:off x="3524250" y="1349787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429</xdr:row>
      <xdr:rowOff>142875</xdr:rowOff>
    </xdr:from>
    <xdr:to>
      <xdr:col>5</xdr:col>
      <xdr:colOff>104775</xdr:colOff>
      <xdr:row>430</xdr:row>
      <xdr:rowOff>171450</xdr:rowOff>
    </xdr:to>
    <xdr:sp>
      <xdr:nvSpPr>
        <xdr:cNvPr id="372" name="AutoShape 372"/>
        <xdr:cNvSpPr>
          <a:spLocks/>
        </xdr:cNvSpPr>
      </xdr:nvSpPr>
      <xdr:spPr>
        <a:xfrm>
          <a:off x="790575" y="1349883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429</xdr:row>
      <xdr:rowOff>133350</xdr:rowOff>
    </xdr:from>
    <xdr:to>
      <xdr:col>23</xdr:col>
      <xdr:colOff>95250</xdr:colOff>
      <xdr:row>430</xdr:row>
      <xdr:rowOff>180975</xdr:rowOff>
    </xdr:to>
    <xdr:sp>
      <xdr:nvSpPr>
        <xdr:cNvPr id="373" name="AutoShape 373"/>
        <xdr:cNvSpPr>
          <a:spLocks/>
        </xdr:cNvSpPr>
      </xdr:nvSpPr>
      <xdr:spPr>
        <a:xfrm>
          <a:off x="3524250" y="1349787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429</xdr:row>
      <xdr:rowOff>142875</xdr:rowOff>
    </xdr:from>
    <xdr:to>
      <xdr:col>5</xdr:col>
      <xdr:colOff>104775</xdr:colOff>
      <xdr:row>430</xdr:row>
      <xdr:rowOff>171450</xdr:rowOff>
    </xdr:to>
    <xdr:sp>
      <xdr:nvSpPr>
        <xdr:cNvPr id="374" name="AutoShape 374"/>
        <xdr:cNvSpPr>
          <a:spLocks/>
        </xdr:cNvSpPr>
      </xdr:nvSpPr>
      <xdr:spPr>
        <a:xfrm>
          <a:off x="790575" y="1349883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429</xdr:row>
      <xdr:rowOff>133350</xdr:rowOff>
    </xdr:from>
    <xdr:to>
      <xdr:col>23</xdr:col>
      <xdr:colOff>95250</xdr:colOff>
      <xdr:row>430</xdr:row>
      <xdr:rowOff>180975</xdr:rowOff>
    </xdr:to>
    <xdr:sp>
      <xdr:nvSpPr>
        <xdr:cNvPr id="375" name="AutoShape 375"/>
        <xdr:cNvSpPr>
          <a:spLocks/>
        </xdr:cNvSpPr>
      </xdr:nvSpPr>
      <xdr:spPr>
        <a:xfrm>
          <a:off x="3524250" y="1349787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429</xdr:row>
      <xdr:rowOff>142875</xdr:rowOff>
    </xdr:from>
    <xdr:to>
      <xdr:col>5</xdr:col>
      <xdr:colOff>104775</xdr:colOff>
      <xdr:row>430</xdr:row>
      <xdr:rowOff>171450</xdr:rowOff>
    </xdr:to>
    <xdr:sp>
      <xdr:nvSpPr>
        <xdr:cNvPr id="376" name="AutoShape 376"/>
        <xdr:cNvSpPr>
          <a:spLocks/>
        </xdr:cNvSpPr>
      </xdr:nvSpPr>
      <xdr:spPr>
        <a:xfrm>
          <a:off x="790575" y="1349883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277</xdr:row>
      <xdr:rowOff>133350</xdr:rowOff>
    </xdr:from>
    <xdr:to>
      <xdr:col>14</xdr:col>
      <xdr:colOff>95250</xdr:colOff>
      <xdr:row>278</xdr:row>
      <xdr:rowOff>180975</xdr:rowOff>
    </xdr:to>
    <xdr:sp>
      <xdr:nvSpPr>
        <xdr:cNvPr id="377" name="AutoShape 377"/>
        <xdr:cNvSpPr>
          <a:spLocks/>
        </xdr:cNvSpPr>
      </xdr:nvSpPr>
      <xdr:spPr>
        <a:xfrm>
          <a:off x="2152650" y="8720137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277</xdr:row>
      <xdr:rowOff>142875</xdr:rowOff>
    </xdr:from>
    <xdr:to>
      <xdr:col>5</xdr:col>
      <xdr:colOff>104775</xdr:colOff>
      <xdr:row>278</xdr:row>
      <xdr:rowOff>171450</xdr:rowOff>
    </xdr:to>
    <xdr:sp>
      <xdr:nvSpPr>
        <xdr:cNvPr id="378" name="AutoShape 378"/>
        <xdr:cNvSpPr>
          <a:spLocks/>
        </xdr:cNvSpPr>
      </xdr:nvSpPr>
      <xdr:spPr>
        <a:xfrm>
          <a:off x="790575" y="8721090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281</xdr:row>
      <xdr:rowOff>28575</xdr:rowOff>
    </xdr:from>
    <xdr:to>
      <xdr:col>11</xdr:col>
      <xdr:colOff>66675</xdr:colOff>
      <xdr:row>281</xdr:row>
      <xdr:rowOff>295275</xdr:rowOff>
    </xdr:to>
    <xdr:grpSp>
      <xdr:nvGrpSpPr>
        <xdr:cNvPr id="379" name="Group 379"/>
        <xdr:cNvGrpSpPr>
          <a:grpSpLocks/>
        </xdr:cNvGrpSpPr>
      </xdr:nvGrpSpPr>
      <xdr:grpSpPr>
        <a:xfrm>
          <a:off x="828675" y="88353900"/>
          <a:ext cx="914400" cy="266700"/>
          <a:chOff x="87" y="1884"/>
          <a:chExt cx="96" cy="28"/>
        </a:xfrm>
        <a:solidFill>
          <a:srgbClr val="FFFFFF"/>
        </a:solidFill>
      </xdr:grpSpPr>
      <xdr:sp>
        <xdr:nvSpPr>
          <xdr:cNvPr id="380" name="Line 38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1" name="Line 38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2" name="Line 38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281</xdr:row>
      <xdr:rowOff>28575</xdr:rowOff>
    </xdr:from>
    <xdr:to>
      <xdr:col>24</xdr:col>
      <xdr:colOff>85725</xdr:colOff>
      <xdr:row>281</xdr:row>
      <xdr:rowOff>285750</xdr:rowOff>
    </xdr:to>
    <xdr:grpSp>
      <xdr:nvGrpSpPr>
        <xdr:cNvPr id="383" name="Group 383"/>
        <xdr:cNvGrpSpPr>
          <a:grpSpLocks/>
        </xdr:cNvGrpSpPr>
      </xdr:nvGrpSpPr>
      <xdr:grpSpPr>
        <a:xfrm>
          <a:off x="1990725" y="88353900"/>
          <a:ext cx="1752600" cy="257175"/>
          <a:chOff x="209" y="1884"/>
          <a:chExt cx="184" cy="27"/>
        </a:xfrm>
        <a:solidFill>
          <a:srgbClr val="FFFFFF"/>
        </a:solidFill>
      </xdr:grpSpPr>
      <xdr:sp>
        <xdr:nvSpPr>
          <xdr:cNvPr id="384" name="Line 38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5" name="Line 38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86" name="Line 38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343</xdr:row>
      <xdr:rowOff>133350</xdr:rowOff>
    </xdr:from>
    <xdr:to>
      <xdr:col>14</xdr:col>
      <xdr:colOff>95250</xdr:colOff>
      <xdr:row>344</xdr:row>
      <xdr:rowOff>180975</xdr:rowOff>
    </xdr:to>
    <xdr:sp>
      <xdr:nvSpPr>
        <xdr:cNvPr id="387" name="AutoShape 387"/>
        <xdr:cNvSpPr>
          <a:spLocks/>
        </xdr:cNvSpPr>
      </xdr:nvSpPr>
      <xdr:spPr>
        <a:xfrm>
          <a:off x="2152650" y="107946825"/>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343</xdr:row>
      <xdr:rowOff>142875</xdr:rowOff>
    </xdr:from>
    <xdr:to>
      <xdr:col>5</xdr:col>
      <xdr:colOff>104775</xdr:colOff>
      <xdr:row>344</xdr:row>
      <xdr:rowOff>171450</xdr:rowOff>
    </xdr:to>
    <xdr:sp>
      <xdr:nvSpPr>
        <xdr:cNvPr id="388" name="AutoShape 388"/>
        <xdr:cNvSpPr>
          <a:spLocks/>
        </xdr:cNvSpPr>
      </xdr:nvSpPr>
      <xdr:spPr>
        <a:xfrm>
          <a:off x="790575" y="107956350"/>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347</xdr:row>
      <xdr:rowOff>28575</xdr:rowOff>
    </xdr:from>
    <xdr:to>
      <xdr:col>11</xdr:col>
      <xdr:colOff>66675</xdr:colOff>
      <xdr:row>347</xdr:row>
      <xdr:rowOff>295275</xdr:rowOff>
    </xdr:to>
    <xdr:grpSp>
      <xdr:nvGrpSpPr>
        <xdr:cNvPr id="389" name="Group 389"/>
        <xdr:cNvGrpSpPr>
          <a:grpSpLocks/>
        </xdr:cNvGrpSpPr>
      </xdr:nvGrpSpPr>
      <xdr:grpSpPr>
        <a:xfrm>
          <a:off x="828675" y="109099350"/>
          <a:ext cx="914400" cy="266700"/>
          <a:chOff x="87" y="1884"/>
          <a:chExt cx="96" cy="28"/>
        </a:xfrm>
        <a:solidFill>
          <a:srgbClr val="FFFFFF"/>
        </a:solidFill>
      </xdr:grpSpPr>
      <xdr:sp>
        <xdr:nvSpPr>
          <xdr:cNvPr id="390" name="Line 390"/>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1" name="Line 391"/>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2" name="Line 392"/>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347</xdr:row>
      <xdr:rowOff>28575</xdr:rowOff>
    </xdr:from>
    <xdr:to>
      <xdr:col>24</xdr:col>
      <xdr:colOff>85725</xdr:colOff>
      <xdr:row>347</xdr:row>
      <xdr:rowOff>285750</xdr:rowOff>
    </xdr:to>
    <xdr:grpSp>
      <xdr:nvGrpSpPr>
        <xdr:cNvPr id="393" name="Group 393"/>
        <xdr:cNvGrpSpPr>
          <a:grpSpLocks/>
        </xdr:cNvGrpSpPr>
      </xdr:nvGrpSpPr>
      <xdr:grpSpPr>
        <a:xfrm>
          <a:off x="1990725" y="109099350"/>
          <a:ext cx="1752600" cy="257175"/>
          <a:chOff x="209" y="1884"/>
          <a:chExt cx="184" cy="27"/>
        </a:xfrm>
        <a:solidFill>
          <a:srgbClr val="FFFFFF"/>
        </a:solidFill>
      </xdr:grpSpPr>
      <xdr:sp>
        <xdr:nvSpPr>
          <xdr:cNvPr id="394" name="Line 394"/>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5" name="Line 395"/>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96" name="Line 396"/>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662</xdr:row>
      <xdr:rowOff>133350</xdr:rowOff>
    </xdr:from>
    <xdr:to>
      <xdr:col>23</xdr:col>
      <xdr:colOff>95250</xdr:colOff>
      <xdr:row>663</xdr:row>
      <xdr:rowOff>180975</xdr:rowOff>
    </xdr:to>
    <xdr:sp>
      <xdr:nvSpPr>
        <xdr:cNvPr id="397" name="AutoShape 397"/>
        <xdr:cNvSpPr>
          <a:spLocks/>
        </xdr:cNvSpPr>
      </xdr:nvSpPr>
      <xdr:spPr>
        <a:xfrm>
          <a:off x="3524250" y="20821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662</xdr:row>
      <xdr:rowOff>142875</xdr:rowOff>
    </xdr:from>
    <xdr:to>
      <xdr:col>5</xdr:col>
      <xdr:colOff>104775</xdr:colOff>
      <xdr:row>663</xdr:row>
      <xdr:rowOff>171450</xdr:rowOff>
    </xdr:to>
    <xdr:sp>
      <xdr:nvSpPr>
        <xdr:cNvPr id="398" name="AutoShape 398"/>
        <xdr:cNvSpPr>
          <a:spLocks/>
        </xdr:cNvSpPr>
      </xdr:nvSpPr>
      <xdr:spPr>
        <a:xfrm>
          <a:off x="790575" y="2082260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662</xdr:row>
      <xdr:rowOff>133350</xdr:rowOff>
    </xdr:from>
    <xdr:to>
      <xdr:col>23</xdr:col>
      <xdr:colOff>95250</xdr:colOff>
      <xdr:row>663</xdr:row>
      <xdr:rowOff>180975</xdr:rowOff>
    </xdr:to>
    <xdr:sp>
      <xdr:nvSpPr>
        <xdr:cNvPr id="399" name="AutoShape 399"/>
        <xdr:cNvSpPr>
          <a:spLocks/>
        </xdr:cNvSpPr>
      </xdr:nvSpPr>
      <xdr:spPr>
        <a:xfrm>
          <a:off x="3524250" y="20821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662</xdr:row>
      <xdr:rowOff>142875</xdr:rowOff>
    </xdr:from>
    <xdr:to>
      <xdr:col>5</xdr:col>
      <xdr:colOff>104775</xdr:colOff>
      <xdr:row>663</xdr:row>
      <xdr:rowOff>171450</xdr:rowOff>
    </xdr:to>
    <xdr:sp>
      <xdr:nvSpPr>
        <xdr:cNvPr id="400" name="AutoShape 400"/>
        <xdr:cNvSpPr>
          <a:spLocks/>
        </xdr:cNvSpPr>
      </xdr:nvSpPr>
      <xdr:spPr>
        <a:xfrm>
          <a:off x="790575" y="2082260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662</xdr:row>
      <xdr:rowOff>133350</xdr:rowOff>
    </xdr:from>
    <xdr:to>
      <xdr:col>23</xdr:col>
      <xdr:colOff>95250</xdr:colOff>
      <xdr:row>663</xdr:row>
      <xdr:rowOff>180975</xdr:rowOff>
    </xdr:to>
    <xdr:sp>
      <xdr:nvSpPr>
        <xdr:cNvPr id="401" name="AutoShape 401"/>
        <xdr:cNvSpPr>
          <a:spLocks/>
        </xdr:cNvSpPr>
      </xdr:nvSpPr>
      <xdr:spPr>
        <a:xfrm>
          <a:off x="3524250" y="2082165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662</xdr:row>
      <xdr:rowOff>142875</xdr:rowOff>
    </xdr:from>
    <xdr:to>
      <xdr:col>5</xdr:col>
      <xdr:colOff>104775</xdr:colOff>
      <xdr:row>663</xdr:row>
      <xdr:rowOff>171450</xdr:rowOff>
    </xdr:to>
    <xdr:sp>
      <xdr:nvSpPr>
        <xdr:cNvPr id="402" name="AutoShape 402"/>
        <xdr:cNvSpPr>
          <a:spLocks/>
        </xdr:cNvSpPr>
      </xdr:nvSpPr>
      <xdr:spPr>
        <a:xfrm>
          <a:off x="790575" y="2082260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510</xdr:row>
      <xdr:rowOff>133350</xdr:rowOff>
    </xdr:from>
    <xdr:to>
      <xdr:col>14</xdr:col>
      <xdr:colOff>95250</xdr:colOff>
      <xdr:row>511</xdr:row>
      <xdr:rowOff>180975</xdr:rowOff>
    </xdr:to>
    <xdr:sp>
      <xdr:nvSpPr>
        <xdr:cNvPr id="403" name="AutoShape 403"/>
        <xdr:cNvSpPr>
          <a:spLocks/>
        </xdr:cNvSpPr>
      </xdr:nvSpPr>
      <xdr:spPr>
        <a:xfrm>
          <a:off x="2152650" y="16043910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510</xdr:row>
      <xdr:rowOff>142875</xdr:rowOff>
    </xdr:from>
    <xdr:to>
      <xdr:col>5</xdr:col>
      <xdr:colOff>104775</xdr:colOff>
      <xdr:row>511</xdr:row>
      <xdr:rowOff>171450</xdr:rowOff>
    </xdr:to>
    <xdr:sp>
      <xdr:nvSpPr>
        <xdr:cNvPr id="404" name="AutoShape 404"/>
        <xdr:cNvSpPr>
          <a:spLocks/>
        </xdr:cNvSpPr>
      </xdr:nvSpPr>
      <xdr:spPr>
        <a:xfrm>
          <a:off x="790575" y="16044862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514</xdr:row>
      <xdr:rowOff>28575</xdr:rowOff>
    </xdr:from>
    <xdr:to>
      <xdr:col>11</xdr:col>
      <xdr:colOff>66675</xdr:colOff>
      <xdr:row>514</xdr:row>
      <xdr:rowOff>295275</xdr:rowOff>
    </xdr:to>
    <xdr:grpSp>
      <xdr:nvGrpSpPr>
        <xdr:cNvPr id="405" name="Group 405"/>
        <xdr:cNvGrpSpPr>
          <a:grpSpLocks/>
        </xdr:cNvGrpSpPr>
      </xdr:nvGrpSpPr>
      <xdr:grpSpPr>
        <a:xfrm>
          <a:off x="828675" y="161591625"/>
          <a:ext cx="914400" cy="266700"/>
          <a:chOff x="87" y="1884"/>
          <a:chExt cx="96" cy="28"/>
        </a:xfrm>
        <a:solidFill>
          <a:srgbClr val="FFFFFF"/>
        </a:solidFill>
      </xdr:grpSpPr>
      <xdr:sp>
        <xdr:nvSpPr>
          <xdr:cNvPr id="406" name="Line 40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7" name="Line 40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8" name="Line 40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514</xdr:row>
      <xdr:rowOff>28575</xdr:rowOff>
    </xdr:from>
    <xdr:to>
      <xdr:col>24</xdr:col>
      <xdr:colOff>85725</xdr:colOff>
      <xdr:row>514</xdr:row>
      <xdr:rowOff>285750</xdr:rowOff>
    </xdr:to>
    <xdr:grpSp>
      <xdr:nvGrpSpPr>
        <xdr:cNvPr id="409" name="Group 409"/>
        <xdr:cNvGrpSpPr>
          <a:grpSpLocks/>
        </xdr:cNvGrpSpPr>
      </xdr:nvGrpSpPr>
      <xdr:grpSpPr>
        <a:xfrm>
          <a:off x="1990725" y="161591625"/>
          <a:ext cx="1752600" cy="257175"/>
          <a:chOff x="209" y="1884"/>
          <a:chExt cx="184" cy="27"/>
        </a:xfrm>
        <a:solidFill>
          <a:srgbClr val="FFFFFF"/>
        </a:solidFill>
      </xdr:grpSpPr>
      <xdr:sp>
        <xdr:nvSpPr>
          <xdr:cNvPr id="410" name="Line 41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1" name="Line 41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2" name="Line 41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576</xdr:row>
      <xdr:rowOff>133350</xdr:rowOff>
    </xdr:from>
    <xdr:to>
      <xdr:col>14</xdr:col>
      <xdr:colOff>95250</xdr:colOff>
      <xdr:row>577</xdr:row>
      <xdr:rowOff>180975</xdr:rowOff>
    </xdr:to>
    <xdr:sp>
      <xdr:nvSpPr>
        <xdr:cNvPr id="413" name="AutoShape 413"/>
        <xdr:cNvSpPr>
          <a:spLocks/>
        </xdr:cNvSpPr>
      </xdr:nvSpPr>
      <xdr:spPr>
        <a:xfrm>
          <a:off x="2152650" y="1811845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576</xdr:row>
      <xdr:rowOff>142875</xdr:rowOff>
    </xdr:from>
    <xdr:to>
      <xdr:col>5</xdr:col>
      <xdr:colOff>104775</xdr:colOff>
      <xdr:row>577</xdr:row>
      <xdr:rowOff>171450</xdr:rowOff>
    </xdr:to>
    <xdr:sp>
      <xdr:nvSpPr>
        <xdr:cNvPr id="414" name="AutoShape 414"/>
        <xdr:cNvSpPr>
          <a:spLocks/>
        </xdr:cNvSpPr>
      </xdr:nvSpPr>
      <xdr:spPr>
        <a:xfrm>
          <a:off x="790575" y="181194075"/>
          <a:ext cx="7620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580</xdr:row>
      <xdr:rowOff>28575</xdr:rowOff>
    </xdr:from>
    <xdr:to>
      <xdr:col>11</xdr:col>
      <xdr:colOff>66675</xdr:colOff>
      <xdr:row>580</xdr:row>
      <xdr:rowOff>295275</xdr:rowOff>
    </xdr:to>
    <xdr:grpSp>
      <xdr:nvGrpSpPr>
        <xdr:cNvPr id="415" name="Group 415"/>
        <xdr:cNvGrpSpPr>
          <a:grpSpLocks/>
        </xdr:cNvGrpSpPr>
      </xdr:nvGrpSpPr>
      <xdr:grpSpPr>
        <a:xfrm>
          <a:off x="828675" y="182337075"/>
          <a:ext cx="914400" cy="266700"/>
          <a:chOff x="87" y="1884"/>
          <a:chExt cx="96" cy="28"/>
        </a:xfrm>
        <a:solidFill>
          <a:srgbClr val="FFFFFF"/>
        </a:solidFill>
      </xdr:grpSpPr>
      <xdr:sp>
        <xdr:nvSpPr>
          <xdr:cNvPr id="416" name="Line 416"/>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7" name="Line 417"/>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8" name="Line 418"/>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580</xdr:row>
      <xdr:rowOff>28575</xdr:rowOff>
    </xdr:from>
    <xdr:to>
      <xdr:col>24</xdr:col>
      <xdr:colOff>85725</xdr:colOff>
      <xdr:row>580</xdr:row>
      <xdr:rowOff>285750</xdr:rowOff>
    </xdr:to>
    <xdr:grpSp>
      <xdr:nvGrpSpPr>
        <xdr:cNvPr id="419" name="Group 419"/>
        <xdr:cNvGrpSpPr>
          <a:grpSpLocks/>
        </xdr:cNvGrpSpPr>
      </xdr:nvGrpSpPr>
      <xdr:grpSpPr>
        <a:xfrm>
          <a:off x="1990725" y="182337075"/>
          <a:ext cx="1752600" cy="257175"/>
          <a:chOff x="209" y="1884"/>
          <a:chExt cx="184" cy="27"/>
        </a:xfrm>
        <a:solidFill>
          <a:srgbClr val="FFFFFF"/>
        </a:solidFill>
      </xdr:grpSpPr>
      <xdr:sp>
        <xdr:nvSpPr>
          <xdr:cNvPr id="420" name="Line 420"/>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21" name="Line 421"/>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22" name="Line 422"/>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423" name="AutoShape 423"/>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24" name="AutoShape 424"/>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697</xdr:row>
      <xdr:rowOff>0</xdr:rowOff>
    </xdr:from>
    <xdr:to>
      <xdr:col>23</xdr:col>
      <xdr:colOff>95250</xdr:colOff>
      <xdr:row>697</xdr:row>
      <xdr:rowOff>0</xdr:rowOff>
    </xdr:to>
    <xdr:sp>
      <xdr:nvSpPr>
        <xdr:cNvPr id="425" name="AutoShape 425"/>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26" name="AutoShape 426"/>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697</xdr:row>
      <xdr:rowOff>0</xdr:rowOff>
    </xdr:from>
    <xdr:to>
      <xdr:col>23</xdr:col>
      <xdr:colOff>95250</xdr:colOff>
      <xdr:row>697</xdr:row>
      <xdr:rowOff>0</xdr:rowOff>
    </xdr:to>
    <xdr:sp>
      <xdr:nvSpPr>
        <xdr:cNvPr id="427" name="AutoShape 427"/>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28" name="AutoShape 428"/>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697</xdr:row>
      <xdr:rowOff>0</xdr:rowOff>
    </xdr:from>
    <xdr:to>
      <xdr:col>14</xdr:col>
      <xdr:colOff>95250</xdr:colOff>
      <xdr:row>697</xdr:row>
      <xdr:rowOff>0</xdr:rowOff>
    </xdr:to>
    <xdr:sp>
      <xdr:nvSpPr>
        <xdr:cNvPr id="429" name="AutoShape 429"/>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30" name="AutoShape 430"/>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431" name="Group 431"/>
        <xdr:cNvGrpSpPr>
          <a:grpSpLocks/>
        </xdr:cNvGrpSpPr>
      </xdr:nvGrpSpPr>
      <xdr:grpSpPr>
        <a:xfrm>
          <a:off x="828675" y="219084525"/>
          <a:ext cx="914400" cy="0"/>
          <a:chOff x="87" y="1884"/>
          <a:chExt cx="96" cy="28"/>
        </a:xfrm>
        <a:solidFill>
          <a:srgbClr val="FFFFFF"/>
        </a:solidFill>
      </xdr:grpSpPr>
      <xdr:sp>
        <xdr:nvSpPr>
          <xdr:cNvPr id="432" name="Line 43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3" name="Line 43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4" name="Line 43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435" name="Group 435"/>
        <xdr:cNvGrpSpPr>
          <a:grpSpLocks/>
        </xdr:cNvGrpSpPr>
      </xdr:nvGrpSpPr>
      <xdr:grpSpPr>
        <a:xfrm>
          <a:off x="1990725" y="219084525"/>
          <a:ext cx="1752600" cy="0"/>
          <a:chOff x="209" y="1884"/>
          <a:chExt cx="184" cy="27"/>
        </a:xfrm>
        <a:solidFill>
          <a:srgbClr val="FFFFFF"/>
        </a:solidFill>
      </xdr:grpSpPr>
      <xdr:sp>
        <xdr:nvSpPr>
          <xdr:cNvPr id="436" name="Line 43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7" name="Line 43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8" name="Line 43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439" name="AutoShape 439"/>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40" name="AutoShape 440"/>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441" name="Group 441"/>
        <xdr:cNvGrpSpPr>
          <a:grpSpLocks/>
        </xdr:cNvGrpSpPr>
      </xdr:nvGrpSpPr>
      <xdr:grpSpPr>
        <a:xfrm>
          <a:off x="828675" y="219084525"/>
          <a:ext cx="914400" cy="0"/>
          <a:chOff x="87" y="1884"/>
          <a:chExt cx="96" cy="28"/>
        </a:xfrm>
        <a:solidFill>
          <a:srgbClr val="FFFFFF"/>
        </a:solidFill>
      </xdr:grpSpPr>
      <xdr:sp>
        <xdr:nvSpPr>
          <xdr:cNvPr id="442" name="Line 442"/>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3" name="Line 443"/>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4" name="Line 444"/>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445" name="Group 445"/>
        <xdr:cNvGrpSpPr>
          <a:grpSpLocks/>
        </xdr:cNvGrpSpPr>
      </xdr:nvGrpSpPr>
      <xdr:grpSpPr>
        <a:xfrm>
          <a:off x="1990725" y="219084525"/>
          <a:ext cx="1752600" cy="0"/>
          <a:chOff x="209" y="1884"/>
          <a:chExt cx="184" cy="27"/>
        </a:xfrm>
        <a:solidFill>
          <a:srgbClr val="FFFFFF"/>
        </a:solidFill>
      </xdr:grpSpPr>
      <xdr:sp>
        <xdr:nvSpPr>
          <xdr:cNvPr id="446" name="Line 446"/>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7" name="Line 447"/>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8" name="Line 448"/>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23</xdr:col>
      <xdr:colOff>19050</xdr:colOff>
      <xdr:row>697</xdr:row>
      <xdr:rowOff>0</xdr:rowOff>
    </xdr:from>
    <xdr:to>
      <xdr:col>23</xdr:col>
      <xdr:colOff>95250</xdr:colOff>
      <xdr:row>697</xdr:row>
      <xdr:rowOff>0</xdr:rowOff>
    </xdr:to>
    <xdr:sp>
      <xdr:nvSpPr>
        <xdr:cNvPr id="449" name="AutoShape 449"/>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50" name="AutoShape 450"/>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697</xdr:row>
      <xdr:rowOff>0</xdr:rowOff>
    </xdr:from>
    <xdr:to>
      <xdr:col>23</xdr:col>
      <xdr:colOff>95250</xdr:colOff>
      <xdr:row>697</xdr:row>
      <xdr:rowOff>0</xdr:rowOff>
    </xdr:to>
    <xdr:sp>
      <xdr:nvSpPr>
        <xdr:cNvPr id="451" name="AutoShape 451"/>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52" name="AutoShape 452"/>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23</xdr:col>
      <xdr:colOff>19050</xdr:colOff>
      <xdr:row>697</xdr:row>
      <xdr:rowOff>0</xdr:rowOff>
    </xdr:from>
    <xdr:to>
      <xdr:col>23</xdr:col>
      <xdr:colOff>95250</xdr:colOff>
      <xdr:row>697</xdr:row>
      <xdr:rowOff>0</xdr:rowOff>
    </xdr:to>
    <xdr:sp>
      <xdr:nvSpPr>
        <xdr:cNvPr id="453" name="AutoShape 453"/>
        <xdr:cNvSpPr>
          <a:spLocks/>
        </xdr:cNvSpPr>
      </xdr:nvSpPr>
      <xdr:spPr>
        <a:xfrm>
          <a:off x="35242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54" name="AutoShape 454"/>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14</xdr:col>
      <xdr:colOff>19050</xdr:colOff>
      <xdr:row>697</xdr:row>
      <xdr:rowOff>0</xdr:rowOff>
    </xdr:from>
    <xdr:to>
      <xdr:col>14</xdr:col>
      <xdr:colOff>95250</xdr:colOff>
      <xdr:row>697</xdr:row>
      <xdr:rowOff>0</xdr:rowOff>
    </xdr:to>
    <xdr:sp>
      <xdr:nvSpPr>
        <xdr:cNvPr id="455" name="AutoShape 455"/>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56" name="AutoShape 456"/>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457" name="Group 457"/>
        <xdr:cNvGrpSpPr>
          <a:grpSpLocks/>
        </xdr:cNvGrpSpPr>
      </xdr:nvGrpSpPr>
      <xdr:grpSpPr>
        <a:xfrm>
          <a:off x="828675" y="219084525"/>
          <a:ext cx="914400" cy="0"/>
          <a:chOff x="87" y="1884"/>
          <a:chExt cx="96" cy="28"/>
        </a:xfrm>
        <a:solidFill>
          <a:srgbClr val="FFFFFF"/>
        </a:solidFill>
      </xdr:grpSpPr>
      <xdr:sp>
        <xdr:nvSpPr>
          <xdr:cNvPr id="458" name="Line 45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59" name="Line 45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0" name="Line 46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461" name="Group 461"/>
        <xdr:cNvGrpSpPr>
          <a:grpSpLocks/>
        </xdr:cNvGrpSpPr>
      </xdr:nvGrpSpPr>
      <xdr:grpSpPr>
        <a:xfrm>
          <a:off x="1990725" y="219084525"/>
          <a:ext cx="1752600" cy="0"/>
          <a:chOff x="209" y="1884"/>
          <a:chExt cx="184" cy="27"/>
        </a:xfrm>
        <a:solidFill>
          <a:srgbClr val="FFFFFF"/>
        </a:solidFill>
      </xdr:grpSpPr>
      <xdr:sp>
        <xdr:nvSpPr>
          <xdr:cNvPr id="462" name="Line 46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3" name="Line 46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4" name="Line 46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14</xdr:col>
      <xdr:colOff>19050</xdr:colOff>
      <xdr:row>697</xdr:row>
      <xdr:rowOff>0</xdr:rowOff>
    </xdr:from>
    <xdr:to>
      <xdr:col>14</xdr:col>
      <xdr:colOff>95250</xdr:colOff>
      <xdr:row>697</xdr:row>
      <xdr:rowOff>0</xdr:rowOff>
    </xdr:to>
    <xdr:sp>
      <xdr:nvSpPr>
        <xdr:cNvPr id="465" name="AutoShape 465"/>
        <xdr:cNvSpPr>
          <a:spLocks/>
        </xdr:cNvSpPr>
      </xdr:nvSpPr>
      <xdr:spPr>
        <a:xfrm>
          <a:off x="2152650" y="21908452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28575</xdr:colOff>
      <xdr:row>697</xdr:row>
      <xdr:rowOff>0</xdr:rowOff>
    </xdr:from>
    <xdr:to>
      <xdr:col>5</xdr:col>
      <xdr:colOff>104775</xdr:colOff>
      <xdr:row>697</xdr:row>
      <xdr:rowOff>0</xdr:rowOff>
    </xdr:to>
    <xdr:sp>
      <xdr:nvSpPr>
        <xdr:cNvPr id="466" name="AutoShape 466"/>
        <xdr:cNvSpPr>
          <a:spLocks/>
        </xdr:cNvSpPr>
      </xdr:nvSpPr>
      <xdr:spPr>
        <a:xfrm>
          <a:off x="790575" y="21908452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5</xdr:col>
      <xdr:colOff>66675</xdr:colOff>
      <xdr:row>697</xdr:row>
      <xdr:rowOff>0</xdr:rowOff>
    </xdr:from>
    <xdr:to>
      <xdr:col>11</xdr:col>
      <xdr:colOff>66675</xdr:colOff>
      <xdr:row>697</xdr:row>
      <xdr:rowOff>0</xdr:rowOff>
    </xdr:to>
    <xdr:grpSp>
      <xdr:nvGrpSpPr>
        <xdr:cNvPr id="467" name="Group 467"/>
        <xdr:cNvGrpSpPr>
          <a:grpSpLocks/>
        </xdr:cNvGrpSpPr>
      </xdr:nvGrpSpPr>
      <xdr:grpSpPr>
        <a:xfrm>
          <a:off x="828675" y="219084525"/>
          <a:ext cx="914400" cy="0"/>
          <a:chOff x="87" y="1884"/>
          <a:chExt cx="96" cy="28"/>
        </a:xfrm>
        <a:solidFill>
          <a:srgbClr val="FFFFFF"/>
        </a:solidFill>
      </xdr:grpSpPr>
      <xdr:sp>
        <xdr:nvSpPr>
          <xdr:cNvPr id="468" name="Line 468"/>
          <xdr:cNvSpPr>
            <a:spLocks/>
          </xdr:cNvSpPr>
        </xdr:nvSpPr>
        <xdr:spPr>
          <a:xfrm>
            <a:off x="87" y="1901"/>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9" name="Line 469"/>
          <xdr:cNvSpPr>
            <a:spLocks/>
          </xdr:cNvSpPr>
        </xdr:nvSpPr>
        <xdr:spPr>
          <a:xfrm flipV="1">
            <a:off x="90" y="1884"/>
            <a:ext cx="7" cy="2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0" name="Line 470"/>
          <xdr:cNvSpPr>
            <a:spLocks/>
          </xdr:cNvSpPr>
        </xdr:nvSpPr>
        <xdr:spPr>
          <a:xfrm>
            <a:off x="97" y="1884"/>
            <a:ext cx="8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13</xdr:col>
      <xdr:colOff>9525</xdr:colOff>
      <xdr:row>697</xdr:row>
      <xdr:rowOff>0</xdr:rowOff>
    </xdr:from>
    <xdr:to>
      <xdr:col>24</xdr:col>
      <xdr:colOff>85725</xdr:colOff>
      <xdr:row>697</xdr:row>
      <xdr:rowOff>0</xdr:rowOff>
    </xdr:to>
    <xdr:grpSp>
      <xdr:nvGrpSpPr>
        <xdr:cNvPr id="471" name="Group 471"/>
        <xdr:cNvGrpSpPr>
          <a:grpSpLocks/>
        </xdr:cNvGrpSpPr>
      </xdr:nvGrpSpPr>
      <xdr:grpSpPr>
        <a:xfrm>
          <a:off x="1990725" y="219084525"/>
          <a:ext cx="1752600" cy="0"/>
          <a:chOff x="209" y="1884"/>
          <a:chExt cx="184" cy="27"/>
        </a:xfrm>
        <a:solidFill>
          <a:srgbClr val="FFFFFF"/>
        </a:solidFill>
      </xdr:grpSpPr>
      <xdr:sp>
        <xdr:nvSpPr>
          <xdr:cNvPr id="472" name="Line 472"/>
          <xdr:cNvSpPr>
            <a:spLocks/>
          </xdr:cNvSpPr>
        </xdr:nvSpPr>
        <xdr:spPr>
          <a:xfrm>
            <a:off x="209" y="1900"/>
            <a:ext cx="4"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3" name="Line 473"/>
          <xdr:cNvSpPr>
            <a:spLocks/>
          </xdr:cNvSpPr>
        </xdr:nvSpPr>
        <xdr:spPr>
          <a:xfrm flipV="1">
            <a:off x="213" y="1884"/>
            <a:ext cx="6"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4" name="Line 474"/>
          <xdr:cNvSpPr>
            <a:spLocks/>
          </xdr:cNvSpPr>
        </xdr:nvSpPr>
        <xdr:spPr>
          <a:xfrm>
            <a:off x="219" y="1884"/>
            <a:ext cx="17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editAs="oneCell">
    <xdr:from>
      <xdr:col>1</xdr:col>
      <xdr:colOff>104775</xdr:colOff>
      <xdr:row>14</xdr:row>
      <xdr:rowOff>0</xdr:rowOff>
    </xdr:from>
    <xdr:to>
      <xdr:col>30</xdr:col>
      <xdr:colOff>57150</xdr:colOff>
      <xdr:row>22</xdr:row>
      <xdr:rowOff>19050</xdr:rowOff>
    </xdr:to>
    <xdr:pic>
      <xdr:nvPicPr>
        <xdr:cNvPr id="475" name="Picture 475"/>
        <xdr:cNvPicPr preferRelativeResize="1">
          <a:picLocks noChangeAspect="1"/>
        </xdr:cNvPicPr>
      </xdr:nvPicPr>
      <xdr:blipFill>
        <a:blip r:link="rId1"/>
        <a:stretch>
          <a:fillRect/>
        </a:stretch>
      </xdr:blipFill>
      <xdr:spPr>
        <a:xfrm>
          <a:off x="257175" y="4400550"/>
          <a:ext cx="4371975" cy="2533650"/>
        </a:xfrm>
        <a:prstGeom prst="rect">
          <a:avLst/>
        </a:prstGeom>
        <a:noFill/>
        <a:ln w="9525" cmpd="sng">
          <a:noFill/>
        </a:ln>
      </xdr:spPr>
    </xdr:pic>
    <xdr:clientData/>
  </xdr:twoCellAnchor>
  <xdr:twoCellAnchor editAs="oneCell">
    <xdr:from>
      <xdr:col>1</xdr:col>
      <xdr:colOff>104775</xdr:colOff>
      <xdr:row>52</xdr:row>
      <xdr:rowOff>0</xdr:rowOff>
    </xdr:from>
    <xdr:to>
      <xdr:col>20</xdr:col>
      <xdr:colOff>38100</xdr:colOff>
      <xdr:row>56</xdr:row>
      <xdr:rowOff>161925</xdr:rowOff>
    </xdr:to>
    <xdr:pic>
      <xdr:nvPicPr>
        <xdr:cNvPr id="476" name="Picture 476"/>
        <xdr:cNvPicPr preferRelativeResize="1">
          <a:picLocks noChangeAspect="1"/>
        </xdr:cNvPicPr>
      </xdr:nvPicPr>
      <xdr:blipFill>
        <a:blip r:link="rId2"/>
        <a:stretch>
          <a:fillRect/>
        </a:stretch>
      </xdr:blipFill>
      <xdr:spPr>
        <a:xfrm>
          <a:off x="257175" y="16344900"/>
          <a:ext cx="2828925" cy="1419225"/>
        </a:xfrm>
        <a:prstGeom prst="rect">
          <a:avLst/>
        </a:prstGeom>
        <a:noFill/>
        <a:ln w="9525" cmpd="sng">
          <a:noFill/>
        </a:ln>
      </xdr:spPr>
    </xdr:pic>
    <xdr:clientData/>
  </xdr:twoCellAnchor>
  <xdr:twoCellAnchor editAs="oneCell">
    <xdr:from>
      <xdr:col>1</xdr:col>
      <xdr:colOff>104775</xdr:colOff>
      <xdr:row>70</xdr:row>
      <xdr:rowOff>0</xdr:rowOff>
    </xdr:from>
    <xdr:to>
      <xdr:col>30</xdr:col>
      <xdr:colOff>57150</xdr:colOff>
      <xdr:row>78</xdr:row>
      <xdr:rowOff>209550</xdr:rowOff>
    </xdr:to>
    <xdr:pic>
      <xdr:nvPicPr>
        <xdr:cNvPr id="477" name="Picture 477"/>
        <xdr:cNvPicPr preferRelativeResize="1">
          <a:picLocks noChangeAspect="1"/>
        </xdr:cNvPicPr>
      </xdr:nvPicPr>
      <xdr:blipFill>
        <a:blip r:link="rId3"/>
        <a:stretch>
          <a:fillRect/>
        </a:stretch>
      </xdr:blipFill>
      <xdr:spPr>
        <a:xfrm>
          <a:off x="257175" y="22002750"/>
          <a:ext cx="4371975" cy="2724150"/>
        </a:xfrm>
        <a:prstGeom prst="rect">
          <a:avLst/>
        </a:prstGeom>
        <a:noFill/>
        <a:ln w="9525" cmpd="sng">
          <a:noFill/>
        </a:ln>
      </xdr:spPr>
    </xdr:pic>
    <xdr:clientData/>
  </xdr:twoCellAnchor>
  <xdr:twoCellAnchor editAs="oneCell">
    <xdr:from>
      <xdr:col>1</xdr:col>
      <xdr:colOff>104775</xdr:colOff>
      <xdr:row>128</xdr:row>
      <xdr:rowOff>0</xdr:rowOff>
    </xdr:from>
    <xdr:to>
      <xdr:col>20</xdr:col>
      <xdr:colOff>38100</xdr:colOff>
      <xdr:row>132</xdr:row>
      <xdr:rowOff>219075</xdr:rowOff>
    </xdr:to>
    <xdr:pic>
      <xdr:nvPicPr>
        <xdr:cNvPr id="478" name="Picture 478"/>
        <xdr:cNvPicPr preferRelativeResize="1">
          <a:picLocks noChangeAspect="1"/>
        </xdr:cNvPicPr>
      </xdr:nvPicPr>
      <xdr:blipFill>
        <a:blip r:link="rId4"/>
        <a:stretch>
          <a:fillRect/>
        </a:stretch>
      </xdr:blipFill>
      <xdr:spPr>
        <a:xfrm>
          <a:off x="257175" y="40233600"/>
          <a:ext cx="2828925" cy="1476375"/>
        </a:xfrm>
        <a:prstGeom prst="rect">
          <a:avLst/>
        </a:prstGeom>
        <a:noFill/>
        <a:ln w="9525" cmpd="sng">
          <a:noFill/>
        </a:ln>
      </xdr:spPr>
    </xdr:pic>
    <xdr:clientData/>
  </xdr:twoCellAnchor>
  <xdr:twoCellAnchor editAs="oneCell">
    <xdr:from>
      <xdr:col>3</xdr:col>
      <xdr:colOff>47625</xdr:colOff>
      <xdr:row>144</xdr:row>
      <xdr:rowOff>0</xdr:rowOff>
    </xdr:from>
    <xdr:to>
      <xdr:col>19</xdr:col>
      <xdr:colOff>19050</xdr:colOff>
      <xdr:row>156</xdr:row>
      <xdr:rowOff>219075</xdr:rowOff>
    </xdr:to>
    <xdr:pic>
      <xdr:nvPicPr>
        <xdr:cNvPr id="479" name="Picture 479"/>
        <xdr:cNvPicPr preferRelativeResize="1">
          <a:picLocks noChangeAspect="1"/>
        </xdr:cNvPicPr>
      </xdr:nvPicPr>
      <xdr:blipFill>
        <a:blip r:link="rId5"/>
        <a:stretch>
          <a:fillRect/>
        </a:stretch>
      </xdr:blipFill>
      <xdr:spPr>
        <a:xfrm>
          <a:off x="504825" y="45262800"/>
          <a:ext cx="2409825" cy="3990975"/>
        </a:xfrm>
        <a:prstGeom prst="rect">
          <a:avLst/>
        </a:prstGeom>
        <a:noFill/>
        <a:ln w="9525" cmpd="sng">
          <a:noFill/>
        </a:ln>
      </xdr:spPr>
    </xdr:pic>
    <xdr:clientData/>
  </xdr:twoCellAnchor>
  <xdr:twoCellAnchor editAs="oneCell">
    <xdr:from>
      <xdr:col>1</xdr:col>
      <xdr:colOff>104775</xdr:colOff>
      <xdr:row>247</xdr:row>
      <xdr:rowOff>0</xdr:rowOff>
    </xdr:from>
    <xdr:to>
      <xdr:col>30</xdr:col>
      <xdr:colOff>57150</xdr:colOff>
      <xdr:row>255</xdr:row>
      <xdr:rowOff>19050</xdr:rowOff>
    </xdr:to>
    <xdr:pic>
      <xdr:nvPicPr>
        <xdr:cNvPr id="480" name="Picture 480"/>
        <xdr:cNvPicPr preferRelativeResize="1">
          <a:picLocks noChangeAspect="1"/>
        </xdr:cNvPicPr>
      </xdr:nvPicPr>
      <xdr:blipFill>
        <a:blip r:link="rId6"/>
        <a:stretch>
          <a:fillRect/>
        </a:stretch>
      </xdr:blipFill>
      <xdr:spPr>
        <a:xfrm>
          <a:off x="257175" y="77638275"/>
          <a:ext cx="4371975" cy="2533650"/>
        </a:xfrm>
        <a:prstGeom prst="rect">
          <a:avLst/>
        </a:prstGeom>
        <a:noFill/>
        <a:ln w="9525" cmpd="sng">
          <a:noFill/>
        </a:ln>
      </xdr:spPr>
    </xdr:pic>
    <xdr:clientData/>
  </xdr:twoCellAnchor>
  <xdr:twoCellAnchor editAs="oneCell">
    <xdr:from>
      <xdr:col>1</xdr:col>
      <xdr:colOff>104775</xdr:colOff>
      <xdr:row>285</xdr:row>
      <xdr:rowOff>0</xdr:rowOff>
    </xdr:from>
    <xdr:to>
      <xdr:col>20</xdr:col>
      <xdr:colOff>38100</xdr:colOff>
      <xdr:row>289</xdr:row>
      <xdr:rowOff>161925</xdr:rowOff>
    </xdr:to>
    <xdr:pic>
      <xdr:nvPicPr>
        <xdr:cNvPr id="481" name="Picture 481"/>
        <xdr:cNvPicPr preferRelativeResize="1">
          <a:picLocks noChangeAspect="1"/>
        </xdr:cNvPicPr>
      </xdr:nvPicPr>
      <xdr:blipFill>
        <a:blip r:link="rId7"/>
        <a:stretch>
          <a:fillRect/>
        </a:stretch>
      </xdr:blipFill>
      <xdr:spPr>
        <a:xfrm>
          <a:off x="257175" y="89582625"/>
          <a:ext cx="2828925" cy="1419225"/>
        </a:xfrm>
        <a:prstGeom prst="rect">
          <a:avLst/>
        </a:prstGeom>
        <a:noFill/>
        <a:ln w="9525" cmpd="sng">
          <a:noFill/>
        </a:ln>
      </xdr:spPr>
    </xdr:pic>
    <xdr:clientData/>
  </xdr:twoCellAnchor>
  <xdr:twoCellAnchor editAs="oneCell">
    <xdr:from>
      <xdr:col>1</xdr:col>
      <xdr:colOff>104775</xdr:colOff>
      <xdr:row>303</xdr:row>
      <xdr:rowOff>0</xdr:rowOff>
    </xdr:from>
    <xdr:to>
      <xdr:col>30</xdr:col>
      <xdr:colOff>57150</xdr:colOff>
      <xdr:row>311</xdr:row>
      <xdr:rowOff>209550</xdr:rowOff>
    </xdr:to>
    <xdr:pic>
      <xdr:nvPicPr>
        <xdr:cNvPr id="482" name="Picture 482"/>
        <xdr:cNvPicPr preferRelativeResize="1">
          <a:picLocks noChangeAspect="1"/>
        </xdr:cNvPicPr>
      </xdr:nvPicPr>
      <xdr:blipFill>
        <a:blip r:link="rId8"/>
        <a:stretch>
          <a:fillRect/>
        </a:stretch>
      </xdr:blipFill>
      <xdr:spPr>
        <a:xfrm>
          <a:off x="257175" y="95240475"/>
          <a:ext cx="4371975" cy="2724150"/>
        </a:xfrm>
        <a:prstGeom prst="rect">
          <a:avLst/>
        </a:prstGeom>
        <a:noFill/>
        <a:ln w="9525" cmpd="sng">
          <a:noFill/>
        </a:ln>
      </xdr:spPr>
    </xdr:pic>
    <xdr:clientData/>
  </xdr:twoCellAnchor>
  <xdr:twoCellAnchor editAs="oneCell">
    <xdr:from>
      <xdr:col>1</xdr:col>
      <xdr:colOff>104775</xdr:colOff>
      <xdr:row>361</xdr:row>
      <xdr:rowOff>0</xdr:rowOff>
    </xdr:from>
    <xdr:to>
      <xdr:col>20</xdr:col>
      <xdr:colOff>38100</xdr:colOff>
      <xdr:row>365</xdr:row>
      <xdr:rowOff>219075</xdr:rowOff>
    </xdr:to>
    <xdr:pic>
      <xdr:nvPicPr>
        <xdr:cNvPr id="483" name="Picture 483"/>
        <xdr:cNvPicPr preferRelativeResize="1">
          <a:picLocks noChangeAspect="1"/>
        </xdr:cNvPicPr>
      </xdr:nvPicPr>
      <xdr:blipFill>
        <a:blip r:link="rId9"/>
        <a:stretch>
          <a:fillRect/>
        </a:stretch>
      </xdr:blipFill>
      <xdr:spPr>
        <a:xfrm>
          <a:off x="257175" y="113471325"/>
          <a:ext cx="2828925" cy="1476375"/>
        </a:xfrm>
        <a:prstGeom prst="rect">
          <a:avLst/>
        </a:prstGeom>
        <a:noFill/>
        <a:ln w="9525" cmpd="sng">
          <a:noFill/>
        </a:ln>
      </xdr:spPr>
    </xdr:pic>
    <xdr:clientData/>
  </xdr:twoCellAnchor>
  <xdr:twoCellAnchor editAs="oneCell">
    <xdr:from>
      <xdr:col>3</xdr:col>
      <xdr:colOff>47625</xdr:colOff>
      <xdr:row>377</xdr:row>
      <xdr:rowOff>0</xdr:rowOff>
    </xdr:from>
    <xdr:to>
      <xdr:col>19</xdr:col>
      <xdr:colOff>28575</xdr:colOff>
      <xdr:row>389</xdr:row>
      <xdr:rowOff>228600</xdr:rowOff>
    </xdr:to>
    <xdr:pic>
      <xdr:nvPicPr>
        <xdr:cNvPr id="484" name="Picture 484"/>
        <xdr:cNvPicPr preferRelativeResize="1">
          <a:picLocks noChangeAspect="1"/>
        </xdr:cNvPicPr>
      </xdr:nvPicPr>
      <xdr:blipFill>
        <a:blip r:link="rId10"/>
        <a:stretch>
          <a:fillRect/>
        </a:stretch>
      </xdr:blipFill>
      <xdr:spPr>
        <a:xfrm>
          <a:off x="504825" y="118500525"/>
          <a:ext cx="2419350" cy="4000500"/>
        </a:xfrm>
        <a:prstGeom prst="rect">
          <a:avLst/>
        </a:prstGeom>
        <a:noFill/>
        <a:ln w="9525" cmpd="sng">
          <a:noFill/>
        </a:ln>
      </xdr:spPr>
    </xdr:pic>
    <xdr:clientData/>
  </xdr:twoCellAnchor>
  <xdr:twoCellAnchor editAs="oneCell">
    <xdr:from>
      <xdr:col>1</xdr:col>
      <xdr:colOff>104775</xdr:colOff>
      <xdr:row>480</xdr:row>
      <xdr:rowOff>0</xdr:rowOff>
    </xdr:from>
    <xdr:to>
      <xdr:col>30</xdr:col>
      <xdr:colOff>57150</xdr:colOff>
      <xdr:row>488</xdr:row>
      <xdr:rowOff>19050</xdr:rowOff>
    </xdr:to>
    <xdr:pic>
      <xdr:nvPicPr>
        <xdr:cNvPr id="485" name="Picture 485"/>
        <xdr:cNvPicPr preferRelativeResize="1">
          <a:picLocks noChangeAspect="1"/>
        </xdr:cNvPicPr>
      </xdr:nvPicPr>
      <xdr:blipFill>
        <a:blip r:link="rId11"/>
        <a:stretch>
          <a:fillRect/>
        </a:stretch>
      </xdr:blipFill>
      <xdr:spPr>
        <a:xfrm>
          <a:off x="257175" y="150876000"/>
          <a:ext cx="4371975" cy="2533650"/>
        </a:xfrm>
        <a:prstGeom prst="rect">
          <a:avLst/>
        </a:prstGeom>
        <a:noFill/>
        <a:ln w="9525" cmpd="sng">
          <a:noFill/>
        </a:ln>
      </xdr:spPr>
    </xdr:pic>
    <xdr:clientData/>
  </xdr:twoCellAnchor>
  <xdr:twoCellAnchor editAs="oneCell">
    <xdr:from>
      <xdr:col>1</xdr:col>
      <xdr:colOff>104775</xdr:colOff>
      <xdr:row>518</xdr:row>
      <xdr:rowOff>0</xdr:rowOff>
    </xdr:from>
    <xdr:to>
      <xdr:col>20</xdr:col>
      <xdr:colOff>38100</xdr:colOff>
      <xdr:row>522</xdr:row>
      <xdr:rowOff>161925</xdr:rowOff>
    </xdr:to>
    <xdr:pic>
      <xdr:nvPicPr>
        <xdr:cNvPr id="486" name="Picture 486"/>
        <xdr:cNvPicPr preferRelativeResize="1">
          <a:picLocks noChangeAspect="1"/>
        </xdr:cNvPicPr>
      </xdr:nvPicPr>
      <xdr:blipFill>
        <a:blip r:link="rId12"/>
        <a:stretch>
          <a:fillRect/>
        </a:stretch>
      </xdr:blipFill>
      <xdr:spPr>
        <a:xfrm>
          <a:off x="257175" y="162820350"/>
          <a:ext cx="2828925" cy="1419225"/>
        </a:xfrm>
        <a:prstGeom prst="rect">
          <a:avLst/>
        </a:prstGeom>
        <a:noFill/>
        <a:ln w="9525" cmpd="sng">
          <a:noFill/>
        </a:ln>
      </xdr:spPr>
    </xdr:pic>
    <xdr:clientData/>
  </xdr:twoCellAnchor>
  <xdr:twoCellAnchor editAs="oneCell">
    <xdr:from>
      <xdr:col>1</xdr:col>
      <xdr:colOff>104775</xdr:colOff>
      <xdr:row>536</xdr:row>
      <xdr:rowOff>0</xdr:rowOff>
    </xdr:from>
    <xdr:to>
      <xdr:col>30</xdr:col>
      <xdr:colOff>57150</xdr:colOff>
      <xdr:row>544</xdr:row>
      <xdr:rowOff>209550</xdr:rowOff>
    </xdr:to>
    <xdr:pic>
      <xdr:nvPicPr>
        <xdr:cNvPr id="487" name="Picture 487"/>
        <xdr:cNvPicPr preferRelativeResize="1">
          <a:picLocks noChangeAspect="1"/>
        </xdr:cNvPicPr>
      </xdr:nvPicPr>
      <xdr:blipFill>
        <a:blip r:link="rId13"/>
        <a:stretch>
          <a:fillRect/>
        </a:stretch>
      </xdr:blipFill>
      <xdr:spPr>
        <a:xfrm>
          <a:off x="257175" y="168478200"/>
          <a:ext cx="4371975" cy="2724150"/>
        </a:xfrm>
        <a:prstGeom prst="rect">
          <a:avLst/>
        </a:prstGeom>
        <a:noFill/>
        <a:ln w="9525" cmpd="sng">
          <a:noFill/>
        </a:ln>
      </xdr:spPr>
    </xdr:pic>
    <xdr:clientData/>
  </xdr:twoCellAnchor>
  <xdr:twoCellAnchor editAs="oneCell">
    <xdr:from>
      <xdr:col>1</xdr:col>
      <xdr:colOff>104775</xdr:colOff>
      <xdr:row>594</xdr:row>
      <xdr:rowOff>0</xdr:rowOff>
    </xdr:from>
    <xdr:to>
      <xdr:col>20</xdr:col>
      <xdr:colOff>38100</xdr:colOff>
      <xdr:row>598</xdr:row>
      <xdr:rowOff>219075</xdr:rowOff>
    </xdr:to>
    <xdr:pic>
      <xdr:nvPicPr>
        <xdr:cNvPr id="488" name="Picture 488"/>
        <xdr:cNvPicPr preferRelativeResize="1">
          <a:picLocks noChangeAspect="1"/>
        </xdr:cNvPicPr>
      </xdr:nvPicPr>
      <xdr:blipFill>
        <a:blip r:link="rId14"/>
        <a:stretch>
          <a:fillRect/>
        </a:stretch>
      </xdr:blipFill>
      <xdr:spPr>
        <a:xfrm>
          <a:off x="257175" y="186709050"/>
          <a:ext cx="2828925" cy="1476375"/>
        </a:xfrm>
        <a:prstGeom prst="rect">
          <a:avLst/>
        </a:prstGeom>
        <a:noFill/>
        <a:ln w="9525" cmpd="sng">
          <a:noFill/>
        </a:ln>
      </xdr:spPr>
    </xdr:pic>
    <xdr:clientData/>
  </xdr:twoCellAnchor>
  <xdr:twoCellAnchor editAs="oneCell">
    <xdr:from>
      <xdr:col>3</xdr:col>
      <xdr:colOff>47625</xdr:colOff>
      <xdr:row>610</xdr:row>
      <xdr:rowOff>0</xdr:rowOff>
    </xdr:from>
    <xdr:to>
      <xdr:col>19</xdr:col>
      <xdr:colOff>28575</xdr:colOff>
      <xdr:row>622</xdr:row>
      <xdr:rowOff>228600</xdr:rowOff>
    </xdr:to>
    <xdr:pic>
      <xdr:nvPicPr>
        <xdr:cNvPr id="489" name="Picture 489"/>
        <xdr:cNvPicPr preferRelativeResize="1">
          <a:picLocks noChangeAspect="1"/>
        </xdr:cNvPicPr>
      </xdr:nvPicPr>
      <xdr:blipFill>
        <a:blip r:link="rId15"/>
        <a:stretch>
          <a:fillRect/>
        </a:stretch>
      </xdr:blipFill>
      <xdr:spPr>
        <a:xfrm>
          <a:off x="504825" y="191738250"/>
          <a:ext cx="2419350" cy="400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4</xdr:row>
      <xdr:rowOff>66675</xdr:rowOff>
    </xdr:from>
    <xdr:to>
      <xdr:col>6</xdr:col>
      <xdr:colOff>133350</xdr:colOff>
      <xdr:row>4</xdr:row>
      <xdr:rowOff>219075</xdr:rowOff>
    </xdr:to>
    <xdr:grpSp>
      <xdr:nvGrpSpPr>
        <xdr:cNvPr id="1" name="Group 1"/>
        <xdr:cNvGrpSpPr>
          <a:grpSpLocks/>
        </xdr:cNvGrpSpPr>
      </xdr:nvGrpSpPr>
      <xdr:grpSpPr>
        <a:xfrm>
          <a:off x="771525" y="1323975"/>
          <a:ext cx="390525" cy="152400"/>
          <a:chOff x="97" y="139"/>
          <a:chExt cx="41" cy="16"/>
        </a:xfrm>
        <a:solidFill>
          <a:srgbClr val="FFFFFF"/>
        </a:solidFill>
      </xdr:grpSpPr>
      <xdr:sp>
        <xdr:nvSpPr>
          <xdr:cNvPr id="2" name="Line 2"/>
          <xdr:cNvSpPr>
            <a:spLocks/>
          </xdr:cNvSpPr>
        </xdr:nvSpPr>
        <xdr:spPr>
          <a:xfrm>
            <a:off x="103" y="139"/>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 name="Line 3"/>
          <xdr:cNvSpPr>
            <a:spLocks/>
          </xdr:cNvSpPr>
        </xdr:nvSpPr>
        <xdr:spPr>
          <a:xfrm flipH="1">
            <a:off x="99" y="139"/>
            <a:ext cx="4"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 name="Line 4"/>
          <xdr:cNvSpPr>
            <a:spLocks/>
          </xdr:cNvSpPr>
        </xdr:nvSpPr>
        <xdr:spPr>
          <a:xfrm flipH="1" flipV="1">
            <a:off x="97" y="146"/>
            <a:ext cx="2"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xdr:col>
      <xdr:colOff>161925</xdr:colOff>
      <xdr:row>25</xdr:row>
      <xdr:rowOff>57150</xdr:rowOff>
    </xdr:from>
    <xdr:to>
      <xdr:col>13</xdr:col>
      <xdr:colOff>161925</xdr:colOff>
      <xdr:row>29</xdr:row>
      <xdr:rowOff>133350</xdr:rowOff>
    </xdr:to>
    <xdr:grpSp>
      <xdr:nvGrpSpPr>
        <xdr:cNvPr id="5" name="Group 9"/>
        <xdr:cNvGrpSpPr>
          <a:grpSpLocks/>
        </xdr:cNvGrpSpPr>
      </xdr:nvGrpSpPr>
      <xdr:grpSpPr>
        <a:xfrm>
          <a:off x="333375" y="7667625"/>
          <a:ext cx="2057400" cy="1333500"/>
          <a:chOff x="17" y="706"/>
          <a:chExt cx="216" cy="140"/>
        </a:xfrm>
        <a:solidFill>
          <a:srgbClr val="FFFFFF"/>
        </a:solidFill>
      </xdr:grpSpPr>
      <xdr:sp>
        <xdr:nvSpPr>
          <xdr:cNvPr id="6" name="Rectangle 10"/>
          <xdr:cNvSpPr>
            <a:spLocks/>
          </xdr:cNvSpPr>
        </xdr:nvSpPr>
        <xdr:spPr>
          <a:xfrm>
            <a:off x="76" y="758"/>
            <a:ext cx="147" cy="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 name="Rectangle 11"/>
          <xdr:cNvSpPr>
            <a:spLocks/>
          </xdr:cNvSpPr>
        </xdr:nvSpPr>
        <xdr:spPr>
          <a:xfrm>
            <a:off x="126" y="765"/>
            <a:ext cx="8" cy="6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8" name="Drawing 44"/>
          <xdr:cNvSpPr>
            <a:spLocks/>
          </xdr:cNvSpPr>
        </xdr:nvSpPr>
        <xdr:spPr>
          <a:xfrm>
            <a:off x="134" y="765"/>
            <a:ext cx="20" cy="16"/>
          </a:xfrm>
          <a:custGeom>
            <a:pathLst>
              <a:path h="16384" w="16384">
                <a:moveTo>
                  <a:pt x="0" y="16384"/>
                </a:moveTo>
                <a:lnTo>
                  <a:pt x="16384" y="0"/>
                </a:lnTo>
                <a:lnTo>
                  <a:pt x="0" y="0"/>
                </a:lnTo>
                <a:lnTo>
                  <a:pt x="0" y="16384"/>
                </a:lnTo>
                <a:close/>
              </a:path>
            </a:pathLst>
          </a:custGeom>
          <a:solidFill>
            <a:srgbClr val="FFFF00"/>
          </a:solidFill>
          <a:ln w="1"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9" name="Drawing 45"/>
          <xdr:cNvSpPr>
            <a:spLocks/>
          </xdr:cNvSpPr>
        </xdr:nvSpPr>
        <xdr:spPr>
          <a:xfrm>
            <a:off x="108" y="765"/>
            <a:ext cx="18" cy="16"/>
          </a:xfrm>
          <a:custGeom>
            <a:pathLst>
              <a:path h="16384" w="16384">
                <a:moveTo>
                  <a:pt x="16384" y="16384"/>
                </a:moveTo>
                <a:lnTo>
                  <a:pt x="15953" y="16384"/>
                </a:lnTo>
                <a:lnTo>
                  <a:pt x="0" y="0"/>
                </a:lnTo>
                <a:lnTo>
                  <a:pt x="16384" y="0"/>
                </a:lnTo>
                <a:lnTo>
                  <a:pt x="16384" y="16384"/>
                </a:lnTo>
                <a:close/>
              </a:path>
            </a:pathLst>
          </a:custGeom>
          <a:solidFill>
            <a:srgbClr val="FFFF00"/>
          </a:solidFill>
          <a:ln w="1"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0" name="Line 14"/>
          <xdr:cNvSpPr>
            <a:spLocks/>
          </xdr:cNvSpPr>
        </xdr:nvSpPr>
        <xdr:spPr>
          <a:xfrm>
            <a:off x="135" y="765"/>
            <a:ext cx="8" cy="9"/>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1" name="Line 15"/>
          <xdr:cNvSpPr>
            <a:spLocks/>
          </xdr:cNvSpPr>
        </xdr:nvSpPr>
        <xdr:spPr>
          <a:xfrm>
            <a:off x="223" y="747"/>
            <a:ext cx="0" cy="32"/>
          </a:xfrm>
          <a:prstGeom prst="line">
            <a:avLst/>
          </a:prstGeom>
          <a:solidFill>
            <a:srgbClr val="FFFFFF"/>
          </a:solid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2" name="Line 16"/>
          <xdr:cNvSpPr>
            <a:spLocks/>
          </xdr:cNvSpPr>
        </xdr:nvSpPr>
        <xdr:spPr>
          <a:xfrm>
            <a:off x="110" y="829"/>
            <a:ext cx="44" cy="0"/>
          </a:xfrm>
          <a:prstGeom prst="line">
            <a:avLst/>
          </a:prstGeom>
          <a:solidFill>
            <a:srgbClr val="FFFFFF"/>
          </a:solid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3" name="Arc 17"/>
          <xdr:cNvSpPr>
            <a:spLocks/>
          </xdr:cNvSpPr>
        </xdr:nvSpPr>
        <xdr:spPr>
          <a:xfrm>
            <a:off x="141" y="770"/>
            <a:ext cx="31" cy="16"/>
          </a:xfrm>
          <a:prstGeom prst="arc">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4" name="Line 18"/>
          <xdr:cNvSpPr>
            <a:spLocks/>
          </xdr:cNvSpPr>
        </xdr:nvSpPr>
        <xdr:spPr>
          <a:xfrm flipV="1">
            <a:off x="126" y="731"/>
            <a:ext cx="0" cy="22"/>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5" name="Line 19"/>
          <xdr:cNvSpPr>
            <a:spLocks/>
          </xdr:cNvSpPr>
        </xdr:nvSpPr>
        <xdr:spPr>
          <a:xfrm flipV="1">
            <a:off x="106" y="730"/>
            <a:ext cx="0" cy="2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6" name="Line 20"/>
          <xdr:cNvSpPr>
            <a:spLocks/>
          </xdr:cNvSpPr>
        </xdr:nvSpPr>
        <xdr:spPr>
          <a:xfrm>
            <a:off x="104" y="733"/>
            <a:ext cx="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7" name="Line 21"/>
          <xdr:cNvSpPr>
            <a:spLocks/>
          </xdr:cNvSpPr>
        </xdr:nvSpPr>
        <xdr:spPr>
          <a:xfrm flipH="1">
            <a:off x="35" y="765"/>
            <a:ext cx="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8" name="Line 22"/>
          <xdr:cNvSpPr>
            <a:spLocks/>
          </xdr:cNvSpPr>
        </xdr:nvSpPr>
        <xdr:spPr>
          <a:xfrm flipH="1">
            <a:off x="35" y="781"/>
            <a:ext cx="34"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19" name="Line 23"/>
          <xdr:cNvSpPr>
            <a:spLocks/>
          </xdr:cNvSpPr>
        </xdr:nvSpPr>
        <xdr:spPr>
          <a:xfrm>
            <a:off x="41" y="764"/>
            <a:ext cx="0" cy="2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0" name="Oval 24"/>
          <xdr:cNvSpPr>
            <a:spLocks/>
          </xdr:cNvSpPr>
        </xdr:nvSpPr>
        <xdr:spPr>
          <a:xfrm>
            <a:off x="104" y="733"/>
            <a:ext cx="4"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1" name="Oval 25"/>
          <xdr:cNvSpPr>
            <a:spLocks/>
          </xdr:cNvSpPr>
        </xdr:nvSpPr>
        <xdr:spPr>
          <a:xfrm>
            <a:off x="124" y="732"/>
            <a:ext cx="5"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2" name="Oval 26"/>
          <xdr:cNvSpPr>
            <a:spLocks/>
          </xdr:cNvSpPr>
        </xdr:nvSpPr>
        <xdr:spPr>
          <a:xfrm>
            <a:off x="39" y="780"/>
            <a:ext cx="4"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3" name="Oval 27"/>
          <xdr:cNvSpPr>
            <a:spLocks/>
          </xdr:cNvSpPr>
        </xdr:nvSpPr>
        <xdr:spPr>
          <a:xfrm>
            <a:off x="39" y="764"/>
            <a:ext cx="4"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4" name="Rectangle 79"/>
          <xdr:cNvSpPr>
            <a:spLocks/>
          </xdr:cNvSpPr>
        </xdr:nvSpPr>
        <xdr:spPr>
          <a:xfrm>
            <a:off x="17" y="706"/>
            <a:ext cx="216" cy="140"/>
          </a:xfrm>
          <a:prstGeom prst="roundRect">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xdr:from>
      <xdr:col>1</xdr:col>
      <xdr:colOff>0</xdr:colOff>
      <xdr:row>17</xdr:row>
      <xdr:rowOff>304800</xdr:rowOff>
    </xdr:from>
    <xdr:to>
      <xdr:col>15</xdr:col>
      <xdr:colOff>47625</xdr:colOff>
      <xdr:row>24</xdr:row>
      <xdr:rowOff>38100</xdr:rowOff>
    </xdr:to>
    <xdr:grpSp>
      <xdr:nvGrpSpPr>
        <xdr:cNvPr id="25" name="Group 29"/>
        <xdr:cNvGrpSpPr>
          <a:grpSpLocks/>
        </xdr:cNvGrpSpPr>
      </xdr:nvGrpSpPr>
      <xdr:grpSpPr>
        <a:xfrm>
          <a:off x="171450" y="5400675"/>
          <a:ext cx="2447925" cy="1933575"/>
          <a:chOff x="18" y="435"/>
          <a:chExt cx="257" cy="203"/>
        </a:xfrm>
        <a:solidFill>
          <a:srgbClr val="FFFFFF"/>
        </a:solidFill>
      </xdr:grpSpPr>
      <xdr:sp>
        <xdr:nvSpPr>
          <xdr:cNvPr id="26" name="Rectangle 30"/>
          <xdr:cNvSpPr>
            <a:spLocks/>
          </xdr:cNvSpPr>
        </xdr:nvSpPr>
        <xdr:spPr>
          <a:xfrm>
            <a:off x="25" y="459"/>
            <a:ext cx="202" cy="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7" name="Rectangle 31"/>
          <xdr:cNvSpPr>
            <a:spLocks/>
          </xdr:cNvSpPr>
        </xdr:nvSpPr>
        <xdr:spPr>
          <a:xfrm>
            <a:off x="43" y="462"/>
            <a:ext cx="3" cy="1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8" name="Rectangle 32"/>
          <xdr:cNvSpPr>
            <a:spLocks/>
          </xdr:cNvSpPr>
        </xdr:nvSpPr>
        <xdr:spPr>
          <a:xfrm>
            <a:off x="25" y="609"/>
            <a:ext cx="202" cy="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29" name="Rectangle 33"/>
          <xdr:cNvSpPr>
            <a:spLocks/>
          </xdr:cNvSpPr>
        </xdr:nvSpPr>
        <xdr:spPr>
          <a:xfrm>
            <a:off x="207" y="462"/>
            <a:ext cx="3" cy="14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0" name="Line 34"/>
          <xdr:cNvSpPr>
            <a:spLocks/>
          </xdr:cNvSpPr>
        </xdr:nvSpPr>
        <xdr:spPr>
          <a:xfrm>
            <a:off x="25" y="618"/>
            <a:ext cx="0" cy="2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1" name="Line 35"/>
          <xdr:cNvSpPr>
            <a:spLocks/>
          </xdr:cNvSpPr>
        </xdr:nvSpPr>
        <xdr:spPr>
          <a:xfrm>
            <a:off x="25" y="634"/>
            <a:ext cx="202"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2" name="Line 36"/>
          <xdr:cNvSpPr>
            <a:spLocks/>
          </xdr:cNvSpPr>
        </xdr:nvSpPr>
        <xdr:spPr>
          <a:xfrm>
            <a:off x="228" y="618"/>
            <a:ext cx="0" cy="2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3" name="Arc 37"/>
          <xdr:cNvSpPr>
            <a:spLocks/>
          </xdr:cNvSpPr>
        </xdr:nvSpPr>
        <xdr:spPr>
          <a:xfrm flipV="1">
            <a:off x="46" y="462"/>
            <a:ext cx="6" cy="6"/>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4" name="Arc 38"/>
          <xdr:cNvSpPr>
            <a:spLocks/>
          </xdr:cNvSpPr>
        </xdr:nvSpPr>
        <xdr:spPr>
          <a:xfrm flipH="1" flipV="1">
            <a:off x="202" y="462"/>
            <a:ext cx="5" cy="6"/>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5" name="Arc 39"/>
          <xdr:cNvSpPr>
            <a:spLocks/>
          </xdr:cNvSpPr>
        </xdr:nvSpPr>
        <xdr:spPr>
          <a:xfrm>
            <a:off x="46" y="604"/>
            <a:ext cx="5" cy="5"/>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6" name="Arc 40"/>
          <xdr:cNvSpPr>
            <a:spLocks/>
          </xdr:cNvSpPr>
        </xdr:nvSpPr>
        <xdr:spPr>
          <a:xfrm flipH="1">
            <a:off x="202" y="604"/>
            <a:ext cx="5" cy="5"/>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37" name="Line 41"/>
          <xdr:cNvSpPr>
            <a:spLocks/>
          </xdr:cNvSpPr>
        </xdr:nvSpPr>
        <xdr:spPr>
          <a:xfrm flipV="1">
            <a:off x="271" y="459"/>
            <a:ext cx="0" cy="2"/>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8" name="Line 42"/>
          <xdr:cNvSpPr>
            <a:spLocks/>
          </xdr:cNvSpPr>
        </xdr:nvSpPr>
        <xdr:spPr>
          <a:xfrm>
            <a:off x="271" y="607"/>
            <a:ext cx="0" cy="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39" name="Oval 43"/>
          <xdr:cNvSpPr>
            <a:spLocks/>
          </xdr:cNvSpPr>
        </xdr:nvSpPr>
        <xdr:spPr>
          <a:xfrm>
            <a:off x="23" y="632"/>
            <a:ext cx="3"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0" name="Oval 44"/>
          <xdr:cNvSpPr>
            <a:spLocks/>
          </xdr:cNvSpPr>
        </xdr:nvSpPr>
        <xdr:spPr>
          <a:xfrm>
            <a:off x="226" y="632"/>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1" name="Arc 45"/>
          <xdr:cNvSpPr>
            <a:spLocks/>
          </xdr:cNvSpPr>
        </xdr:nvSpPr>
        <xdr:spPr>
          <a:xfrm flipH="1" flipV="1">
            <a:off x="43" y="462"/>
            <a:ext cx="0" cy="6"/>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2" name="Arc 46"/>
          <xdr:cNvSpPr>
            <a:spLocks/>
          </xdr:cNvSpPr>
        </xdr:nvSpPr>
        <xdr:spPr>
          <a:xfrm flipH="1" flipV="1">
            <a:off x="43" y="462"/>
            <a:ext cx="0" cy="6"/>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3" name="Arc 47"/>
          <xdr:cNvSpPr>
            <a:spLocks/>
          </xdr:cNvSpPr>
        </xdr:nvSpPr>
        <xdr:spPr>
          <a:xfrm flipH="1" flipV="1">
            <a:off x="38" y="462"/>
            <a:ext cx="5" cy="6"/>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4" name="Arc 48"/>
          <xdr:cNvSpPr>
            <a:spLocks/>
          </xdr:cNvSpPr>
        </xdr:nvSpPr>
        <xdr:spPr>
          <a:xfrm flipV="1">
            <a:off x="210" y="462"/>
            <a:ext cx="4" cy="6"/>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5" name="Arc 49"/>
          <xdr:cNvSpPr>
            <a:spLocks/>
          </xdr:cNvSpPr>
        </xdr:nvSpPr>
        <xdr:spPr>
          <a:xfrm>
            <a:off x="210" y="604"/>
            <a:ext cx="4" cy="5"/>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6" name="Arc 50"/>
          <xdr:cNvSpPr>
            <a:spLocks/>
          </xdr:cNvSpPr>
        </xdr:nvSpPr>
        <xdr:spPr>
          <a:xfrm flipH="1">
            <a:off x="39" y="604"/>
            <a:ext cx="4" cy="5"/>
          </a:xfrm>
          <a:prstGeom prst="arc">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7" name="Line 51"/>
          <xdr:cNvSpPr>
            <a:spLocks/>
          </xdr:cNvSpPr>
        </xdr:nvSpPr>
        <xdr:spPr>
          <a:xfrm flipV="1">
            <a:off x="48" y="589"/>
            <a:ext cx="23"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8" name="Line 52"/>
          <xdr:cNvSpPr>
            <a:spLocks/>
          </xdr:cNvSpPr>
        </xdr:nvSpPr>
        <xdr:spPr>
          <a:xfrm>
            <a:off x="71" y="589"/>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49" name="Line 53"/>
          <xdr:cNvSpPr>
            <a:spLocks/>
          </xdr:cNvSpPr>
        </xdr:nvSpPr>
        <xdr:spPr>
          <a:xfrm flipV="1">
            <a:off x="89" y="579"/>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0" name="Line 54"/>
          <xdr:cNvSpPr>
            <a:spLocks/>
          </xdr:cNvSpPr>
        </xdr:nvSpPr>
        <xdr:spPr>
          <a:xfrm flipH="1" flipV="1">
            <a:off x="89" y="579"/>
            <a:ext cx="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1" name="Line 55"/>
          <xdr:cNvSpPr>
            <a:spLocks/>
          </xdr:cNvSpPr>
        </xdr:nvSpPr>
        <xdr:spPr>
          <a:xfrm flipV="1">
            <a:off x="89" y="589"/>
            <a:ext cx="5"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2" name="Line 56"/>
          <xdr:cNvSpPr>
            <a:spLocks/>
          </xdr:cNvSpPr>
        </xdr:nvSpPr>
        <xdr:spPr>
          <a:xfrm>
            <a:off x="143" y="491"/>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3" name="Line 57"/>
          <xdr:cNvSpPr>
            <a:spLocks/>
          </xdr:cNvSpPr>
        </xdr:nvSpPr>
        <xdr:spPr>
          <a:xfrm flipV="1">
            <a:off x="161" y="481"/>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4" name="Line 58"/>
          <xdr:cNvSpPr>
            <a:spLocks/>
          </xdr:cNvSpPr>
        </xdr:nvSpPr>
        <xdr:spPr>
          <a:xfrm flipH="1" flipV="1">
            <a:off x="161" y="481"/>
            <a:ext cx="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5" name="Line 59"/>
          <xdr:cNvSpPr>
            <a:spLocks/>
          </xdr:cNvSpPr>
        </xdr:nvSpPr>
        <xdr:spPr>
          <a:xfrm flipV="1">
            <a:off x="161" y="491"/>
            <a:ext cx="5"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6" name="Line 60"/>
          <xdr:cNvSpPr>
            <a:spLocks/>
          </xdr:cNvSpPr>
        </xdr:nvSpPr>
        <xdr:spPr>
          <a:xfrm flipV="1">
            <a:off x="175" y="465"/>
            <a:ext cx="27"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7" name="Line 61"/>
          <xdr:cNvSpPr>
            <a:spLocks/>
          </xdr:cNvSpPr>
        </xdr:nvSpPr>
        <xdr:spPr>
          <a:xfrm>
            <a:off x="18" y="537"/>
            <a:ext cx="5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8" name="Line 62"/>
          <xdr:cNvSpPr>
            <a:spLocks/>
          </xdr:cNvSpPr>
        </xdr:nvSpPr>
        <xdr:spPr>
          <a:xfrm>
            <a:off x="79" y="537"/>
            <a:ext cx="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59" name="Line 63"/>
          <xdr:cNvSpPr>
            <a:spLocks/>
          </xdr:cNvSpPr>
        </xdr:nvSpPr>
        <xdr:spPr>
          <a:xfrm>
            <a:off x="90" y="537"/>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0" name="Line 64"/>
          <xdr:cNvSpPr>
            <a:spLocks/>
          </xdr:cNvSpPr>
        </xdr:nvSpPr>
        <xdr:spPr>
          <a:xfrm>
            <a:off x="169" y="537"/>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1" name="Line 65"/>
          <xdr:cNvSpPr>
            <a:spLocks/>
          </xdr:cNvSpPr>
        </xdr:nvSpPr>
        <xdr:spPr>
          <a:xfrm>
            <a:off x="180" y="537"/>
            <a:ext cx="5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2" name="Line 66"/>
          <xdr:cNvSpPr>
            <a:spLocks/>
          </xdr:cNvSpPr>
        </xdr:nvSpPr>
        <xdr:spPr>
          <a:xfrm>
            <a:off x="247" y="537"/>
            <a:ext cx="2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3" name="Line 67"/>
          <xdr:cNvSpPr>
            <a:spLocks/>
          </xdr:cNvSpPr>
        </xdr:nvSpPr>
        <xdr:spPr>
          <a:xfrm>
            <a:off x="271" y="536"/>
            <a:ext cx="0" cy="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64" name="Line 68"/>
          <xdr:cNvSpPr>
            <a:spLocks/>
          </xdr:cNvSpPr>
        </xdr:nvSpPr>
        <xdr:spPr>
          <a:xfrm flipV="1">
            <a:off x="271" y="537"/>
            <a:ext cx="0" cy="2"/>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65" name="Line 69"/>
          <xdr:cNvSpPr>
            <a:spLocks/>
          </xdr:cNvSpPr>
        </xdr:nvSpPr>
        <xdr:spPr>
          <a:xfrm>
            <a:off x="91" y="457"/>
            <a:ext cx="0" cy="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66" name="Line 70"/>
          <xdr:cNvSpPr>
            <a:spLocks/>
          </xdr:cNvSpPr>
        </xdr:nvSpPr>
        <xdr:spPr>
          <a:xfrm flipV="1">
            <a:off x="91" y="462"/>
            <a:ext cx="0" cy="2"/>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67" name="Line 71"/>
          <xdr:cNvSpPr>
            <a:spLocks/>
          </xdr:cNvSpPr>
        </xdr:nvSpPr>
        <xdr:spPr>
          <a:xfrm>
            <a:off x="91" y="435"/>
            <a:ext cx="0" cy="4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68" name="Line 72"/>
          <xdr:cNvSpPr>
            <a:spLocks/>
          </xdr:cNvSpPr>
        </xdr:nvSpPr>
        <xdr:spPr>
          <a:xfrm>
            <a:off x="181" y="606"/>
            <a:ext cx="0" cy="3"/>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69" name="Line 73"/>
          <xdr:cNvSpPr>
            <a:spLocks/>
          </xdr:cNvSpPr>
        </xdr:nvSpPr>
        <xdr:spPr>
          <a:xfrm flipV="1">
            <a:off x="181" y="610"/>
            <a:ext cx="0" cy="2"/>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돋움"/>
                <a:ea typeface="돋움"/>
                <a:cs typeface="돋움"/>
              </a:rPr>
              <a:t/>
            </a:r>
          </a:p>
        </xdr:txBody>
      </xdr:sp>
      <xdr:sp>
        <xdr:nvSpPr>
          <xdr:cNvPr id="70" name="Line 74"/>
          <xdr:cNvSpPr>
            <a:spLocks/>
          </xdr:cNvSpPr>
        </xdr:nvSpPr>
        <xdr:spPr>
          <a:xfrm>
            <a:off x="181" y="584"/>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1" name="Line 75"/>
          <xdr:cNvSpPr>
            <a:spLocks/>
          </xdr:cNvSpPr>
        </xdr:nvSpPr>
        <xdr:spPr>
          <a:xfrm>
            <a:off x="271" y="459"/>
            <a:ext cx="0" cy="1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2" name="Line 76"/>
          <xdr:cNvSpPr>
            <a:spLocks/>
          </xdr:cNvSpPr>
        </xdr:nvSpPr>
        <xdr:spPr>
          <a:xfrm>
            <a:off x="232" y="459"/>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sp>
        <xdr:nvSpPr>
          <xdr:cNvPr id="73" name="Line 77"/>
          <xdr:cNvSpPr>
            <a:spLocks/>
          </xdr:cNvSpPr>
        </xdr:nvSpPr>
        <xdr:spPr>
          <a:xfrm>
            <a:off x="231" y="611"/>
            <a:ext cx="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grpSp>
    <xdr:clientData/>
  </xdr:twoCellAnchor>
  <xdr:twoCellAnchor editAs="oneCell">
    <xdr:from>
      <xdr:col>2</xdr:col>
      <xdr:colOff>0</xdr:colOff>
      <xdr:row>53</xdr:row>
      <xdr:rowOff>0</xdr:rowOff>
    </xdr:from>
    <xdr:to>
      <xdr:col>12</xdr:col>
      <xdr:colOff>28575</xdr:colOff>
      <xdr:row>56</xdr:row>
      <xdr:rowOff>180975</xdr:rowOff>
    </xdr:to>
    <xdr:pic>
      <xdr:nvPicPr>
        <xdr:cNvPr id="74" name="Picture 122"/>
        <xdr:cNvPicPr preferRelativeResize="1">
          <a:picLocks noChangeAspect="1"/>
        </xdr:cNvPicPr>
      </xdr:nvPicPr>
      <xdr:blipFill>
        <a:blip r:embed="rId1"/>
        <a:stretch>
          <a:fillRect/>
        </a:stretch>
      </xdr:blipFill>
      <xdr:spPr>
        <a:xfrm>
          <a:off x="342900" y="15916275"/>
          <a:ext cx="17430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J1165"/>
  <sheetViews>
    <sheetView zoomScaleSheetLayoutView="100" workbookViewId="0" topLeftCell="A1">
      <selection activeCell="A1" sqref="A1:IV16384"/>
    </sheetView>
  </sheetViews>
  <sheetFormatPr defaultColWidth="8.88671875" defaultRowHeight="24.75" customHeight="1"/>
  <cols>
    <col min="1" max="16384" width="1.77734375" style="5" customWidth="1"/>
  </cols>
  <sheetData>
    <row r="1" s="3" customFormat="1" ht="24.75" customHeight="1">
      <c r="A1" s="2" t="s">
        <v>248</v>
      </c>
    </row>
    <row r="2" s="3" customFormat="1" ht="24.75" customHeight="1">
      <c r="A2" s="2" t="s">
        <v>147</v>
      </c>
    </row>
    <row r="3" spans="1:2" ht="24.75" customHeight="1">
      <c r="A3" s="4"/>
      <c r="B3" s="145" t="s">
        <v>265</v>
      </c>
    </row>
    <row r="4" spans="3:43" ht="24.75" customHeight="1">
      <c r="C4" s="5" t="s">
        <v>207</v>
      </c>
      <c r="O4" s="146">
        <v>5781.70733254</v>
      </c>
      <c r="P4" s="146"/>
      <c r="Q4" s="146"/>
      <c r="R4" s="146"/>
      <c r="S4" s="146"/>
      <c r="T4" s="5" t="s">
        <v>111</v>
      </c>
      <c r="Z4" s="5" t="s">
        <v>12</v>
      </c>
      <c r="AE4" s="5" t="s">
        <v>105</v>
      </c>
      <c r="AG4" s="146">
        <v>2.4</v>
      </c>
      <c r="AH4" s="146"/>
      <c r="AI4" s="146"/>
      <c r="AJ4" s="5" t="s">
        <v>106</v>
      </c>
      <c r="AL4" s="5" t="s">
        <v>107</v>
      </c>
      <c r="AN4" s="146">
        <v>2.1</v>
      </c>
      <c r="AO4" s="146"/>
      <c r="AP4" s="146"/>
      <c r="AQ4" s="5" t="s">
        <v>106</v>
      </c>
    </row>
    <row r="5" spans="3:36" ht="24.75" customHeight="1">
      <c r="C5" s="5" t="s">
        <v>208</v>
      </c>
      <c r="O5" s="146">
        <v>369.49014934</v>
      </c>
      <c r="P5" s="146"/>
      <c r="Q5" s="146"/>
      <c r="R5" s="146"/>
      <c r="S5" s="146"/>
      <c r="T5" s="5" t="s">
        <v>112</v>
      </c>
      <c r="Z5" s="5" t="s">
        <v>13</v>
      </c>
      <c r="AE5" s="5" t="s">
        <v>108</v>
      </c>
      <c r="AG5" s="146">
        <v>2.2</v>
      </c>
      <c r="AH5" s="146"/>
      <c r="AI5" s="146"/>
      <c r="AJ5" s="5" t="s">
        <v>106</v>
      </c>
    </row>
    <row r="6" spans="3:36" ht="24.75" customHeight="1">
      <c r="C6" s="5" t="s">
        <v>174</v>
      </c>
      <c r="J6" s="53"/>
      <c r="K6" s="53"/>
      <c r="L6" s="53"/>
      <c r="M6" s="53"/>
      <c r="N6" s="53"/>
      <c r="O6" s="146">
        <v>392.6304892</v>
      </c>
      <c r="P6" s="146"/>
      <c r="Q6" s="146"/>
      <c r="R6" s="146"/>
      <c r="S6" s="146"/>
      <c r="T6" s="5" t="s">
        <v>111</v>
      </c>
      <c r="Z6" s="5" t="s">
        <v>14</v>
      </c>
      <c r="AE6" s="147" t="s">
        <v>109</v>
      </c>
      <c r="AF6" s="147"/>
      <c r="AG6" s="148">
        <f>DEGREES(ATAN((AG4-AN4)/2/AG5))</f>
        <v>3.900493742381888</v>
      </c>
      <c r="AH6" s="148"/>
      <c r="AI6" s="148"/>
      <c r="AJ6" s="149" t="s">
        <v>110</v>
      </c>
    </row>
    <row r="7" spans="3:28" ht="24.75" customHeight="1">
      <c r="C7" s="5" t="s">
        <v>175</v>
      </c>
      <c r="O7" s="150">
        <v>-54.605530927</v>
      </c>
      <c r="P7" s="150"/>
      <c r="Q7" s="150"/>
      <c r="R7" s="150"/>
      <c r="S7" s="150"/>
      <c r="T7" s="5" t="s">
        <v>218</v>
      </c>
      <c r="AB7" s="151" t="s">
        <v>11</v>
      </c>
    </row>
    <row r="8" spans="3:47" ht="24.75" customHeight="1">
      <c r="C8" s="5" t="s">
        <v>176</v>
      </c>
      <c r="O8" s="150">
        <v>63.294367826</v>
      </c>
      <c r="P8" s="150"/>
      <c r="Q8" s="150"/>
      <c r="R8" s="150"/>
      <c r="S8" s="150"/>
      <c r="T8" s="5" t="s">
        <v>218</v>
      </c>
      <c r="AU8" s="152"/>
    </row>
    <row r="9" spans="3:85" ht="24.75" customHeight="1">
      <c r="C9" s="5" t="s">
        <v>177</v>
      </c>
      <c r="F9" s="153" t="s">
        <v>266</v>
      </c>
      <c r="G9" s="153"/>
      <c r="H9" s="153"/>
      <c r="I9" s="153"/>
      <c r="J9" s="145" t="s">
        <v>257</v>
      </c>
      <c r="L9" s="5" t="s">
        <v>148</v>
      </c>
      <c r="O9" s="102">
        <f>HLOOKUP(F9,AX10:CJ13,AU10,FALSE)</f>
        <v>210</v>
      </c>
      <c r="P9" s="102"/>
      <c r="Q9" s="102"/>
      <c r="R9" s="102"/>
      <c r="S9" s="5" t="s">
        <v>218</v>
      </c>
      <c r="W9" s="5" t="s">
        <v>149</v>
      </c>
      <c r="Z9" s="150">
        <v>157.866666667</v>
      </c>
      <c r="AA9" s="150"/>
      <c r="AB9" s="150"/>
      <c r="AC9" s="150"/>
      <c r="AD9" s="5" t="s">
        <v>218</v>
      </c>
      <c r="AH9" s="5" t="s">
        <v>150</v>
      </c>
      <c r="AK9" s="102">
        <f>HLOOKUP(F9,AX15:CJ18,AU15,FALSE)</f>
        <v>120</v>
      </c>
      <c r="AL9" s="102"/>
      <c r="AM9" s="102"/>
      <c r="AN9" s="102"/>
      <c r="AO9" s="5" t="s">
        <v>218</v>
      </c>
      <c r="AU9" s="143" t="s">
        <v>220</v>
      </c>
      <c r="AV9" s="143"/>
      <c r="AW9" s="143"/>
      <c r="AX9" s="143"/>
      <c r="AY9" s="143"/>
      <c r="AZ9" s="143"/>
      <c r="BA9" s="143"/>
      <c r="BB9" s="143"/>
      <c r="BC9" s="143"/>
      <c r="BD9" s="143"/>
      <c r="BE9" s="143"/>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row>
    <row r="10" spans="3:88" ht="24.75" customHeight="1">
      <c r="C10" s="5" t="s">
        <v>189</v>
      </c>
      <c r="H10" s="154">
        <v>22</v>
      </c>
      <c r="I10" s="154"/>
      <c r="J10" s="154"/>
      <c r="K10" s="155" t="s">
        <v>267</v>
      </c>
      <c r="L10" s="156">
        <v>10</v>
      </c>
      <c r="M10" s="156"/>
      <c r="N10" s="156"/>
      <c r="O10" s="5" t="s">
        <v>40</v>
      </c>
      <c r="R10" s="124">
        <f>IF(H10=20,IF(L10=10,39000,31000),IF(H10=22,IF(L10=10,48000,39000),IF(H10=24,IF(L10=10,56000,45000),"確認希望")))</f>
        <v>48000</v>
      </c>
      <c r="S10" s="124"/>
      <c r="T10" s="124"/>
      <c r="U10" s="5" t="s">
        <v>41</v>
      </c>
      <c r="V10" s="144">
        <v>2</v>
      </c>
      <c r="W10" s="144"/>
      <c r="X10" s="144"/>
      <c r="Y10" s="144"/>
      <c r="Z10" s="8" t="s">
        <v>34</v>
      </c>
      <c r="AA10" s="92">
        <f>+R10*V10</f>
        <v>96000</v>
      </c>
      <c r="AB10" s="92"/>
      <c r="AC10" s="92"/>
      <c r="AD10" s="5" t="s">
        <v>113</v>
      </c>
      <c r="AU10" s="135">
        <f>IF(AM19&lt;=40,2,IF(AM19&lt;=75,3,4))</f>
        <v>2</v>
      </c>
      <c r="AV10" s="136"/>
      <c r="AW10" s="137"/>
      <c r="AX10" s="138" t="s">
        <v>91</v>
      </c>
      <c r="AY10" s="139"/>
      <c r="AZ10" s="140"/>
      <c r="BA10" s="138" t="s">
        <v>92</v>
      </c>
      <c r="BB10" s="139"/>
      <c r="BC10" s="140"/>
      <c r="BD10" s="138" t="s">
        <v>93</v>
      </c>
      <c r="BE10" s="139"/>
      <c r="BF10" s="140"/>
      <c r="BG10" s="138" t="s">
        <v>132</v>
      </c>
      <c r="BH10" s="139"/>
      <c r="BI10" s="140"/>
      <c r="BJ10" s="138" t="s">
        <v>90</v>
      </c>
      <c r="BK10" s="139"/>
      <c r="BL10" s="140"/>
      <c r="BM10" s="157" t="s">
        <v>133</v>
      </c>
      <c r="BN10" s="158"/>
      <c r="BO10" s="159"/>
      <c r="BP10" s="138" t="s">
        <v>94</v>
      </c>
      <c r="BQ10" s="139"/>
      <c r="BR10" s="140"/>
      <c r="BS10" s="138" t="s">
        <v>95</v>
      </c>
      <c r="BT10" s="139"/>
      <c r="BU10" s="140"/>
      <c r="BV10" s="138" t="s">
        <v>96</v>
      </c>
      <c r="BW10" s="139"/>
      <c r="BX10" s="140"/>
      <c r="BY10" s="157" t="s">
        <v>134</v>
      </c>
      <c r="BZ10" s="158"/>
      <c r="CA10" s="159"/>
      <c r="CB10" s="138" t="s">
        <v>97</v>
      </c>
      <c r="CC10" s="139"/>
      <c r="CD10" s="140"/>
      <c r="CE10" s="138" t="s">
        <v>98</v>
      </c>
      <c r="CF10" s="139"/>
      <c r="CG10" s="140"/>
      <c r="CH10" s="157" t="s">
        <v>135</v>
      </c>
      <c r="CI10" s="158"/>
      <c r="CJ10" s="159"/>
    </row>
    <row r="11" spans="10:88" ht="24.75" customHeight="1">
      <c r="J11" s="160"/>
      <c r="AU11" s="161">
        <v>40</v>
      </c>
      <c r="AV11" s="161"/>
      <c r="AW11" s="161"/>
      <c r="AX11" s="135">
        <v>140</v>
      </c>
      <c r="AY11" s="136"/>
      <c r="AZ11" s="137"/>
      <c r="BA11" s="135">
        <f>AX11</f>
        <v>140</v>
      </c>
      <c r="BB11" s="136"/>
      <c r="BC11" s="137"/>
      <c r="BD11" s="135">
        <f>AX11</f>
        <v>140</v>
      </c>
      <c r="BE11" s="136"/>
      <c r="BF11" s="137"/>
      <c r="BG11" s="135">
        <v>140</v>
      </c>
      <c r="BH11" s="136"/>
      <c r="BI11" s="137"/>
      <c r="BJ11" s="135">
        <v>185</v>
      </c>
      <c r="BK11" s="136"/>
      <c r="BL11" s="137"/>
      <c r="BM11" s="135">
        <f>BJ11</f>
        <v>185</v>
      </c>
      <c r="BN11" s="136"/>
      <c r="BO11" s="137"/>
      <c r="BP11" s="135">
        <v>210</v>
      </c>
      <c r="BQ11" s="136"/>
      <c r="BR11" s="137"/>
      <c r="BS11" s="135">
        <f>BP11</f>
        <v>210</v>
      </c>
      <c r="BT11" s="136"/>
      <c r="BU11" s="137"/>
      <c r="BV11" s="135">
        <f>BP11</f>
        <v>210</v>
      </c>
      <c r="BW11" s="136"/>
      <c r="BX11" s="137"/>
      <c r="BY11" s="135">
        <v>210</v>
      </c>
      <c r="BZ11" s="136"/>
      <c r="CA11" s="137"/>
      <c r="CB11" s="135">
        <v>255</v>
      </c>
      <c r="CC11" s="136"/>
      <c r="CD11" s="137"/>
      <c r="CE11" s="135">
        <f>CB11</f>
        <v>255</v>
      </c>
      <c r="CF11" s="136"/>
      <c r="CG11" s="137"/>
      <c r="CH11" s="135">
        <f>CE11</f>
        <v>255</v>
      </c>
      <c r="CI11" s="136"/>
      <c r="CJ11" s="137"/>
    </row>
    <row r="12" spans="2:88" ht="24.75" customHeight="1">
      <c r="B12" s="5" t="s">
        <v>0</v>
      </c>
      <c r="I12" s="92" t="str">
        <f>IF(O4&gt;0,"(上フランジ)","(下フランジ)")</f>
        <v>(上フランジ)</v>
      </c>
      <c r="J12" s="92"/>
      <c r="K12" s="92"/>
      <c r="L12" s="92"/>
      <c r="M12" s="92"/>
      <c r="N12" s="92"/>
      <c r="O12" s="5" t="s">
        <v>249</v>
      </c>
      <c r="AU12" s="162" t="s">
        <v>99</v>
      </c>
      <c r="AV12" s="162"/>
      <c r="AW12" s="162"/>
      <c r="AX12" s="135">
        <v>125</v>
      </c>
      <c r="AY12" s="136"/>
      <c r="AZ12" s="137"/>
      <c r="BA12" s="135">
        <f>AX12</f>
        <v>125</v>
      </c>
      <c r="BB12" s="136"/>
      <c r="BC12" s="137"/>
      <c r="BD12" s="135">
        <f>AX12</f>
        <v>125</v>
      </c>
      <c r="BE12" s="136"/>
      <c r="BF12" s="137"/>
      <c r="BG12" s="135">
        <v>140</v>
      </c>
      <c r="BH12" s="136"/>
      <c r="BI12" s="137"/>
      <c r="BJ12" s="135">
        <v>175</v>
      </c>
      <c r="BK12" s="136"/>
      <c r="BL12" s="137"/>
      <c r="BM12" s="135">
        <f>BM11</f>
        <v>185</v>
      </c>
      <c r="BN12" s="136"/>
      <c r="BO12" s="137"/>
      <c r="BP12" s="135">
        <v>200</v>
      </c>
      <c r="BQ12" s="136"/>
      <c r="BR12" s="137"/>
      <c r="BS12" s="135">
        <f>BP12</f>
        <v>200</v>
      </c>
      <c r="BT12" s="136"/>
      <c r="BU12" s="137"/>
      <c r="BV12" s="135">
        <f>BP12</f>
        <v>200</v>
      </c>
      <c r="BW12" s="136"/>
      <c r="BX12" s="137"/>
      <c r="BY12" s="135">
        <v>210</v>
      </c>
      <c r="BZ12" s="136"/>
      <c r="CA12" s="137"/>
      <c r="CB12" s="135">
        <v>245</v>
      </c>
      <c r="CC12" s="136"/>
      <c r="CD12" s="137"/>
      <c r="CE12" s="135">
        <f>CB12</f>
        <v>245</v>
      </c>
      <c r="CF12" s="136"/>
      <c r="CG12" s="137"/>
      <c r="CH12" s="135">
        <f>CH11</f>
        <v>255</v>
      </c>
      <c r="CI12" s="136"/>
      <c r="CJ12" s="137"/>
    </row>
    <row r="13" spans="3:88" ht="24.75" customHeight="1">
      <c r="C13" s="5" t="s">
        <v>115</v>
      </c>
      <c r="E13" s="142">
        <f>IF(O4&gt;0,ABS(O7),ABS(O8))</f>
        <v>54.605530927</v>
      </c>
      <c r="F13" s="142"/>
      <c r="G13" s="142"/>
      <c r="H13" s="142"/>
      <c r="I13" s="142"/>
      <c r="J13" s="142"/>
      <c r="K13" s="5" t="str">
        <f>+T7</f>
        <v>N/㎟</v>
      </c>
      <c r="AU13" s="162" t="s">
        <v>100</v>
      </c>
      <c r="AV13" s="162"/>
      <c r="AW13" s="162"/>
      <c r="AX13" s="135">
        <v>125</v>
      </c>
      <c r="AY13" s="136"/>
      <c r="AZ13" s="137"/>
      <c r="BA13" s="135">
        <f>AX13</f>
        <v>125</v>
      </c>
      <c r="BB13" s="136"/>
      <c r="BC13" s="137"/>
      <c r="BD13" s="135">
        <f>AX13</f>
        <v>125</v>
      </c>
      <c r="BE13" s="136"/>
      <c r="BF13" s="137"/>
      <c r="BG13" s="135">
        <v>140</v>
      </c>
      <c r="BH13" s="136"/>
      <c r="BI13" s="137"/>
      <c r="BJ13" s="135">
        <v>175</v>
      </c>
      <c r="BK13" s="136"/>
      <c r="BL13" s="137"/>
      <c r="BM13" s="135">
        <f>BM11</f>
        <v>185</v>
      </c>
      <c r="BN13" s="136"/>
      <c r="BO13" s="137"/>
      <c r="BP13" s="135">
        <v>195</v>
      </c>
      <c r="BQ13" s="136"/>
      <c r="BR13" s="137"/>
      <c r="BS13" s="135">
        <f>BP13</f>
        <v>195</v>
      </c>
      <c r="BT13" s="136"/>
      <c r="BU13" s="137"/>
      <c r="BV13" s="135">
        <f>BP13</f>
        <v>195</v>
      </c>
      <c r="BW13" s="136"/>
      <c r="BX13" s="137"/>
      <c r="BY13" s="135">
        <v>210</v>
      </c>
      <c r="BZ13" s="136"/>
      <c r="CA13" s="137"/>
      <c r="CB13" s="135">
        <v>240</v>
      </c>
      <c r="CC13" s="136"/>
      <c r="CD13" s="137"/>
      <c r="CE13" s="135">
        <f>CB13</f>
        <v>240</v>
      </c>
      <c r="CF13" s="136"/>
      <c r="CG13" s="137"/>
      <c r="CH13" s="135">
        <f>CH11</f>
        <v>255</v>
      </c>
      <c r="CI13" s="136"/>
      <c r="CJ13" s="137"/>
    </row>
    <row r="14" spans="3:54" ht="24.75" customHeight="1">
      <c r="C14" s="5" t="s">
        <v>116</v>
      </c>
      <c r="E14" s="130">
        <v>0.75</v>
      </c>
      <c r="F14" s="130"/>
      <c r="G14" s="130"/>
      <c r="H14" s="130"/>
      <c r="I14" s="5" t="s">
        <v>41</v>
      </c>
      <c r="J14" s="102">
        <f>Z9</f>
        <v>157.866666667</v>
      </c>
      <c r="K14" s="102"/>
      <c r="L14" s="102"/>
      <c r="M14" s="5" t="s">
        <v>34</v>
      </c>
      <c r="N14" s="89">
        <f>+E14*J14</f>
        <v>118.40000000025</v>
      </c>
      <c r="O14" s="89"/>
      <c r="P14" s="89"/>
      <c r="Q14" s="89"/>
      <c r="R14" s="5" t="str">
        <f>+K13</f>
        <v>N/㎟</v>
      </c>
      <c r="T14" s="10"/>
      <c r="U14" s="11"/>
      <c r="V14" s="12" t="s">
        <v>178</v>
      </c>
      <c r="AU14" s="141" t="s">
        <v>221</v>
      </c>
      <c r="AV14" s="141"/>
      <c r="AW14" s="141"/>
      <c r="AX14" s="141"/>
      <c r="AY14" s="141"/>
      <c r="AZ14" s="141"/>
      <c r="BA14" s="141"/>
      <c r="BB14" s="141"/>
    </row>
    <row r="15" spans="3:88" ht="24.75" customHeight="1">
      <c r="C15" s="5" t="s">
        <v>247</v>
      </c>
      <c r="L15" s="5" t="str">
        <f>IF(O4&gt;0,"σu","σl")</f>
        <v>σu</v>
      </c>
      <c r="N15" s="5" t="s">
        <v>179</v>
      </c>
      <c r="P15" s="89">
        <f>+MAX(E13,N14)</f>
        <v>118.40000000025</v>
      </c>
      <c r="Q15" s="89"/>
      <c r="R15" s="89"/>
      <c r="S15" s="89"/>
      <c r="T15" s="5" t="s">
        <v>222</v>
      </c>
      <c r="AU15" s="135">
        <f>AU10</f>
        <v>2</v>
      </c>
      <c r="AV15" s="136"/>
      <c r="AW15" s="137"/>
      <c r="AX15" s="138" t="s">
        <v>91</v>
      </c>
      <c r="AY15" s="139"/>
      <c r="AZ15" s="140"/>
      <c r="BA15" s="138" t="s">
        <v>92</v>
      </c>
      <c r="BB15" s="139"/>
      <c r="BC15" s="140"/>
      <c r="BD15" s="138" t="s">
        <v>93</v>
      </c>
      <c r="BE15" s="139"/>
      <c r="BF15" s="140"/>
      <c r="BG15" s="138" t="s">
        <v>132</v>
      </c>
      <c r="BH15" s="139"/>
      <c r="BI15" s="140"/>
      <c r="BJ15" s="138" t="s">
        <v>90</v>
      </c>
      <c r="BK15" s="139"/>
      <c r="BL15" s="140"/>
      <c r="BM15" s="157" t="s">
        <v>133</v>
      </c>
      <c r="BN15" s="158"/>
      <c r="BO15" s="159"/>
      <c r="BP15" s="138" t="s">
        <v>94</v>
      </c>
      <c r="BQ15" s="139"/>
      <c r="BR15" s="140"/>
      <c r="BS15" s="138" t="s">
        <v>95</v>
      </c>
      <c r="BT15" s="139"/>
      <c r="BU15" s="140"/>
      <c r="BV15" s="138" t="s">
        <v>96</v>
      </c>
      <c r="BW15" s="139"/>
      <c r="BX15" s="140"/>
      <c r="BY15" s="157" t="s">
        <v>134</v>
      </c>
      <c r="BZ15" s="158"/>
      <c r="CA15" s="159"/>
      <c r="CB15" s="138" t="s">
        <v>97</v>
      </c>
      <c r="CC15" s="139"/>
      <c r="CD15" s="140"/>
      <c r="CE15" s="138" t="s">
        <v>98</v>
      </c>
      <c r="CF15" s="139"/>
      <c r="CG15" s="140"/>
      <c r="CH15" s="157" t="s">
        <v>135</v>
      </c>
      <c r="CI15" s="158"/>
      <c r="CJ15" s="159"/>
    </row>
    <row r="16" spans="7:88" ht="24.75" customHeight="1">
      <c r="G16" s="9"/>
      <c r="AU16" s="161">
        <v>40</v>
      </c>
      <c r="AV16" s="161"/>
      <c r="AW16" s="161"/>
      <c r="AX16" s="135">
        <v>80</v>
      </c>
      <c r="AY16" s="136"/>
      <c r="AZ16" s="137"/>
      <c r="BA16" s="135">
        <f>AX16</f>
        <v>80</v>
      </c>
      <c r="BB16" s="136"/>
      <c r="BC16" s="137"/>
      <c r="BD16" s="135">
        <f>AX16</f>
        <v>80</v>
      </c>
      <c r="BE16" s="136"/>
      <c r="BF16" s="137"/>
      <c r="BG16" s="135">
        <v>80</v>
      </c>
      <c r="BH16" s="136"/>
      <c r="BI16" s="137"/>
      <c r="BJ16" s="135">
        <v>105</v>
      </c>
      <c r="BK16" s="136"/>
      <c r="BL16" s="137"/>
      <c r="BM16" s="135">
        <v>105</v>
      </c>
      <c r="BN16" s="136"/>
      <c r="BO16" s="137"/>
      <c r="BP16" s="135">
        <v>120</v>
      </c>
      <c r="BQ16" s="136"/>
      <c r="BR16" s="137"/>
      <c r="BS16" s="135">
        <f>BP16</f>
        <v>120</v>
      </c>
      <c r="BT16" s="136"/>
      <c r="BU16" s="137"/>
      <c r="BV16" s="135">
        <f>BP16</f>
        <v>120</v>
      </c>
      <c r="BW16" s="136"/>
      <c r="BX16" s="137"/>
      <c r="BY16" s="135">
        <v>120</v>
      </c>
      <c r="BZ16" s="136"/>
      <c r="CA16" s="137"/>
      <c r="CB16" s="135">
        <v>145</v>
      </c>
      <c r="CC16" s="136"/>
      <c r="CD16" s="137"/>
      <c r="CE16" s="135">
        <f>CB16</f>
        <v>145</v>
      </c>
      <c r="CF16" s="136"/>
      <c r="CG16" s="137"/>
      <c r="CH16" s="135">
        <v>145</v>
      </c>
      <c r="CI16" s="136"/>
      <c r="CJ16" s="137"/>
    </row>
    <row r="17" spans="7:88" ht="24.75" customHeight="1">
      <c r="G17" s="9"/>
      <c r="AU17" s="162" t="s">
        <v>99</v>
      </c>
      <c r="AV17" s="162"/>
      <c r="AW17" s="162"/>
      <c r="AX17" s="135">
        <v>75</v>
      </c>
      <c r="AY17" s="136"/>
      <c r="AZ17" s="137"/>
      <c r="BA17" s="135">
        <f>AX17</f>
        <v>75</v>
      </c>
      <c r="BB17" s="136"/>
      <c r="BC17" s="137"/>
      <c r="BD17" s="135">
        <f>AX17</f>
        <v>75</v>
      </c>
      <c r="BE17" s="136"/>
      <c r="BF17" s="137"/>
      <c r="BG17" s="135">
        <v>80</v>
      </c>
      <c r="BH17" s="136"/>
      <c r="BI17" s="137"/>
      <c r="BJ17" s="135">
        <v>100</v>
      </c>
      <c r="BK17" s="136"/>
      <c r="BL17" s="137"/>
      <c r="BM17" s="135">
        <v>105</v>
      </c>
      <c r="BN17" s="136"/>
      <c r="BO17" s="137"/>
      <c r="BP17" s="135">
        <v>115</v>
      </c>
      <c r="BQ17" s="136"/>
      <c r="BR17" s="137"/>
      <c r="BS17" s="135">
        <f>BP17</f>
        <v>115</v>
      </c>
      <c r="BT17" s="136"/>
      <c r="BU17" s="137"/>
      <c r="BV17" s="135">
        <f>BP17</f>
        <v>115</v>
      </c>
      <c r="BW17" s="136"/>
      <c r="BX17" s="137"/>
      <c r="BY17" s="135">
        <v>120</v>
      </c>
      <c r="BZ17" s="136"/>
      <c r="CA17" s="137"/>
      <c r="CB17" s="135">
        <v>140</v>
      </c>
      <c r="CC17" s="136"/>
      <c r="CD17" s="137"/>
      <c r="CE17" s="135">
        <f>CB17</f>
        <v>140</v>
      </c>
      <c r="CF17" s="136"/>
      <c r="CG17" s="137"/>
      <c r="CH17" s="135">
        <v>145</v>
      </c>
      <c r="CI17" s="136"/>
      <c r="CJ17" s="137"/>
    </row>
    <row r="18" spans="7:88" ht="24.75" customHeight="1">
      <c r="G18" s="9"/>
      <c r="AU18" s="162" t="s">
        <v>100</v>
      </c>
      <c r="AV18" s="162"/>
      <c r="AW18" s="162"/>
      <c r="AX18" s="135">
        <v>75</v>
      </c>
      <c r="AY18" s="136"/>
      <c r="AZ18" s="137"/>
      <c r="BA18" s="135">
        <f>AX18</f>
        <v>75</v>
      </c>
      <c r="BB18" s="136"/>
      <c r="BC18" s="137"/>
      <c r="BD18" s="135">
        <f>AX18</f>
        <v>75</v>
      </c>
      <c r="BE18" s="136"/>
      <c r="BF18" s="137"/>
      <c r="BG18" s="135">
        <v>80</v>
      </c>
      <c r="BH18" s="136"/>
      <c r="BI18" s="137"/>
      <c r="BJ18" s="135">
        <v>100</v>
      </c>
      <c r="BK18" s="136"/>
      <c r="BL18" s="137"/>
      <c r="BM18" s="135">
        <v>105</v>
      </c>
      <c r="BN18" s="136"/>
      <c r="BO18" s="137"/>
      <c r="BP18" s="135">
        <v>110</v>
      </c>
      <c r="BQ18" s="136"/>
      <c r="BR18" s="137"/>
      <c r="BS18" s="135">
        <f>BP18</f>
        <v>110</v>
      </c>
      <c r="BT18" s="136"/>
      <c r="BU18" s="137"/>
      <c r="BV18" s="135">
        <f>BP18</f>
        <v>110</v>
      </c>
      <c r="BW18" s="136"/>
      <c r="BX18" s="137"/>
      <c r="BY18" s="135">
        <v>120</v>
      </c>
      <c r="BZ18" s="136"/>
      <c r="CA18" s="137"/>
      <c r="CB18" s="135">
        <v>135</v>
      </c>
      <c r="CC18" s="136"/>
      <c r="CD18" s="137"/>
      <c r="CE18" s="135">
        <f>CB18</f>
        <v>135</v>
      </c>
      <c r="CF18" s="136"/>
      <c r="CG18" s="137"/>
      <c r="CH18" s="135">
        <v>145</v>
      </c>
      <c r="CI18" s="136"/>
      <c r="CJ18" s="137"/>
    </row>
    <row r="19" spans="7:41" ht="24.75" customHeight="1">
      <c r="G19" s="9"/>
      <c r="AH19" s="5" t="s">
        <v>180</v>
      </c>
      <c r="AM19" s="163">
        <v>12</v>
      </c>
      <c r="AN19" s="163"/>
      <c r="AO19" s="5" t="s">
        <v>84</v>
      </c>
    </row>
    <row r="20" spans="34:42" ht="24.75" customHeight="1">
      <c r="AH20" s="5" t="s">
        <v>217</v>
      </c>
      <c r="AM20" s="163">
        <v>2640</v>
      </c>
      <c r="AN20" s="163"/>
      <c r="AO20" s="163"/>
      <c r="AP20" s="4" t="s">
        <v>84</v>
      </c>
    </row>
    <row r="21" spans="34:43" ht="24.75" customHeight="1">
      <c r="AH21" s="5" t="s">
        <v>210</v>
      </c>
      <c r="AO21" s="163">
        <v>120</v>
      </c>
      <c r="AP21" s="163"/>
      <c r="AQ21" s="5" t="s">
        <v>84</v>
      </c>
    </row>
    <row r="22" spans="34:38" ht="24.75" customHeight="1">
      <c r="AH22" s="5" t="s">
        <v>201</v>
      </c>
      <c r="AL22" s="5" t="s">
        <v>223</v>
      </c>
    </row>
    <row r="27" ht="24.75" customHeight="1">
      <c r="C27" s="5" t="s">
        <v>181</v>
      </c>
    </row>
    <row r="28" spans="4:40" ht="24.75" customHeight="1">
      <c r="D28" s="5" t="s">
        <v>182</v>
      </c>
      <c r="I28" s="5" t="str">
        <f>IF(O4&gt;0,"Asσs ＋ 2 Pfwu","Asσs ＋ 2 Pfwl")</f>
        <v>Asσs ＋ 2 Pfwu</v>
      </c>
      <c r="P28" s="5" t="s">
        <v>89</v>
      </c>
      <c r="Q28" s="95">
        <f>+AM19</f>
        <v>12</v>
      </c>
      <c r="R28" s="95"/>
      <c r="S28" s="14" t="s">
        <v>41</v>
      </c>
      <c r="T28" s="114">
        <f>+AM20</f>
        <v>2640</v>
      </c>
      <c r="U28" s="114"/>
      <c r="V28" s="114"/>
      <c r="W28" s="14" t="s">
        <v>41</v>
      </c>
      <c r="X28" s="108">
        <f>P15</f>
        <v>118.40000000025</v>
      </c>
      <c r="Y28" s="108"/>
      <c r="Z28" s="108"/>
      <c r="AA28" s="14" t="s">
        <v>143</v>
      </c>
      <c r="AB28" s="95">
        <f>IF(O4&gt;0,AD170,AD187)</f>
        <v>36815.86635754757</v>
      </c>
      <c r="AC28" s="95"/>
      <c r="AD28" s="95"/>
      <c r="AE28" s="95"/>
      <c r="AF28" s="14" t="s">
        <v>138</v>
      </c>
      <c r="AG28" s="14"/>
      <c r="AH28" s="5" t="s">
        <v>89</v>
      </c>
      <c r="AI28" s="102">
        <f>Q28*T28*X28+AB28*2</f>
        <v>3824543.732723015</v>
      </c>
      <c r="AJ28" s="102"/>
      <c r="AK28" s="102"/>
      <c r="AL28" s="102"/>
      <c r="AM28" s="102"/>
      <c r="AN28" s="5" t="s">
        <v>113</v>
      </c>
    </row>
    <row r="29" spans="9:31" ht="24.75" customHeight="1">
      <c r="I29" s="5" t="s">
        <v>200</v>
      </c>
      <c r="V29" s="5" t="str">
        <f>IF(O4&gt;0,"Pfwu","Pfwl")</f>
        <v>Pfwu</v>
      </c>
      <c r="X29" s="14" t="s">
        <v>183</v>
      </c>
      <c r="Y29" s="14"/>
      <c r="AA29" s="6"/>
      <c r="AB29" s="6"/>
      <c r="AC29" s="6"/>
      <c r="AD29" s="6"/>
      <c r="AE29" s="6"/>
    </row>
    <row r="30" spans="4:41" ht="24.75" customHeight="1">
      <c r="D30" s="5" t="s">
        <v>151</v>
      </c>
      <c r="F30" s="14" t="s">
        <v>152</v>
      </c>
      <c r="J30" s="5" t="s">
        <v>89</v>
      </c>
      <c r="K30" s="102">
        <f>AI28</f>
        <v>3824543.732723015</v>
      </c>
      <c r="L30" s="102"/>
      <c r="M30" s="102"/>
      <c r="N30" s="102"/>
      <c r="O30" s="102"/>
      <c r="P30" s="17" t="s">
        <v>88</v>
      </c>
      <c r="Q30" s="89">
        <f>+AA10</f>
        <v>96000</v>
      </c>
      <c r="R30" s="89"/>
      <c r="S30" s="89"/>
      <c r="T30" s="89"/>
      <c r="U30" s="8" t="s">
        <v>30</v>
      </c>
      <c r="V30" s="113">
        <f>ROUNDUP(K30/Q30,1)</f>
        <v>39.9</v>
      </c>
      <c r="W30" s="113"/>
      <c r="X30" s="113"/>
      <c r="Y30" s="113"/>
      <c r="AA30" s="92" t="s">
        <v>43</v>
      </c>
      <c r="AB30" s="92"/>
      <c r="AC30" s="6"/>
      <c r="AE30" s="164">
        <v>80</v>
      </c>
      <c r="AF30" s="164"/>
      <c r="AG30" s="164"/>
      <c r="AH30" s="164"/>
      <c r="AI30" s="92" t="s">
        <v>5</v>
      </c>
      <c r="AJ30" s="92"/>
      <c r="AK30" s="92"/>
      <c r="AL30" s="92"/>
      <c r="AM30" s="92"/>
      <c r="AO30" s="5" t="str">
        <f>IF(V30&lt;=AE30,"O.K.","N.G.")</f>
        <v>O.K.</v>
      </c>
    </row>
    <row r="31" ht="24.75" customHeight="1">
      <c r="C31" s="5" t="s">
        <v>239</v>
      </c>
    </row>
    <row r="32" spans="4:33" ht="24.75" customHeight="1">
      <c r="D32" s="18" t="s">
        <v>184</v>
      </c>
      <c r="E32" s="18"/>
      <c r="F32" s="18"/>
      <c r="G32" s="18"/>
      <c r="H32" s="18"/>
      <c r="I32" s="18"/>
      <c r="J32" s="18"/>
      <c r="P32" s="15"/>
      <c r="Q32" s="102">
        <f>AI28</f>
        <v>3824543.732723015</v>
      </c>
      <c r="R32" s="102"/>
      <c r="S32" s="102"/>
      <c r="T32" s="102"/>
      <c r="U32" s="102"/>
      <c r="V32" s="17" t="s">
        <v>88</v>
      </c>
      <c r="W32" s="108">
        <f>Z9</f>
        <v>157.866666667</v>
      </c>
      <c r="X32" s="108"/>
      <c r="Y32" s="108"/>
      <c r="Z32" s="108"/>
      <c r="AA32" s="8" t="s">
        <v>34</v>
      </c>
      <c r="AB32" s="89">
        <f>Q32/W32</f>
        <v>24226.417225812536</v>
      </c>
      <c r="AC32" s="89"/>
      <c r="AD32" s="89"/>
      <c r="AE32" s="89"/>
      <c r="AF32" s="92" t="s">
        <v>101</v>
      </c>
      <c r="AG32" s="92"/>
    </row>
    <row r="33" spans="4:27" ht="24.75" customHeight="1">
      <c r="D33" s="5" t="s">
        <v>240</v>
      </c>
      <c r="I33" s="165">
        <v>2</v>
      </c>
      <c r="J33" s="165"/>
      <c r="K33" s="165"/>
      <c r="L33" s="126">
        <v>80</v>
      </c>
      <c r="M33" s="126"/>
      <c r="N33" s="126"/>
      <c r="O33" s="163">
        <v>10</v>
      </c>
      <c r="P33" s="163"/>
      <c r="Q33" s="127">
        <v>630</v>
      </c>
      <c r="R33" s="127"/>
      <c r="S33" s="127"/>
      <c r="T33" s="127"/>
      <c r="U33" s="5" t="s">
        <v>31</v>
      </c>
      <c r="W33" s="89">
        <f>+L33*O33*I33</f>
        <v>1600</v>
      </c>
      <c r="X33" s="89"/>
      <c r="Y33" s="89"/>
      <c r="Z33" s="89"/>
      <c r="AA33" s="5" t="s">
        <v>101</v>
      </c>
    </row>
    <row r="34" spans="9:45" ht="24.75" customHeight="1">
      <c r="I34" s="165">
        <v>6</v>
      </c>
      <c r="J34" s="165"/>
      <c r="K34" s="165"/>
      <c r="L34" s="126">
        <v>280</v>
      </c>
      <c r="M34" s="126"/>
      <c r="N34" s="126"/>
      <c r="O34" s="163">
        <v>10</v>
      </c>
      <c r="P34" s="163"/>
      <c r="Q34" s="127">
        <f>Q33</f>
        <v>630</v>
      </c>
      <c r="R34" s="127"/>
      <c r="S34" s="127"/>
      <c r="T34" s="127"/>
      <c r="U34" s="5" t="s">
        <v>31</v>
      </c>
      <c r="W34" s="89">
        <f>+L34*O34*I34</f>
        <v>16800</v>
      </c>
      <c r="X34" s="89"/>
      <c r="Y34" s="89"/>
      <c r="Z34" s="89"/>
      <c r="AA34" s="5" t="s">
        <v>101</v>
      </c>
      <c r="AR34" s="18"/>
      <c r="AS34" s="18"/>
    </row>
    <row r="35" spans="9:28" ht="24.75" customHeight="1">
      <c r="I35" s="165">
        <v>1</v>
      </c>
      <c r="J35" s="165"/>
      <c r="K35" s="165"/>
      <c r="L35" s="126">
        <f>+AM20-10</f>
        <v>2630</v>
      </c>
      <c r="M35" s="126"/>
      <c r="N35" s="126"/>
      <c r="O35" s="163">
        <v>10</v>
      </c>
      <c r="P35" s="163"/>
      <c r="Q35" s="127">
        <f>Q34</f>
        <v>630</v>
      </c>
      <c r="R35" s="127"/>
      <c r="S35" s="127"/>
      <c r="T35" s="127"/>
      <c r="U35" s="19" t="s">
        <v>31</v>
      </c>
      <c r="V35" s="19"/>
      <c r="W35" s="105">
        <f>+L35*O35*I35</f>
        <v>26300</v>
      </c>
      <c r="X35" s="105"/>
      <c r="Y35" s="105"/>
      <c r="Z35" s="105"/>
      <c r="AA35" s="19" t="s">
        <v>101</v>
      </c>
      <c r="AB35" s="19"/>
    </row>
    <row r="36" spans="21:39" ht="24.75" customHeight="1">
      <c r="U36" s="5" t="s">
        <v>32</v>
      </c>
      <c r="W36" s="89">
        <f>+SUM(W33:W35)</f>
        <v>44700</v>
      </c>
      <c r="X36" s="89"/>
      <c r="Y36" s="89"/>
      <c r="Z36" s="89"/>
      <c r="AA36" s="92" t="str">
        <f>IF(W36&gt;AB32,"mm² ＞  Asreq'd =","mm² ＜   Asreq'd =")</f>
        <v>mm² ＞  Asreq'd =</v>
      </c>
      <c r="AB36" s="92"/>
      <c r="AC36" s="92"/>
      <c r="AD36" s="92"/>
      <c r="AE36" s="92"/>
      <c r="AF36" s="92"/>
      <c r="AG36" s="92"/>
      <c r="AH36" s="92"/>
      <c r="AI36" s="89">
        <f>+AB32</f>
        <v>24226.417225812536</v>
      </c>
      <c r="AJ36" s="89"/>
      <c r="AK36" s="89"/>
      <c r="AL36" s="89"/>
      <c r="AM36" s="5" t="str">
        <f>IF(W36&gt;AB32,"mm² O.K","mm² N.G")</f>
        <v>mm² O.K</v>
      </c>
    </row>
    <row r="37" spans="4:38" ht="24.75" customHeight="1">
      <c r="D37" s="4" t="s">
        <v>241</v>
      </c>
      <c r="E37" s="4"/>
      <c r="F37" s="4"/>
      <c r="G37" s="4"/>
      <c r="H37" s="4"/>
      <c r="I37" s="4"/>
      <c r="J37" s="4"/>
      <c r="K37" s="4"/>
      <c r="O37" s="5" t="s">
        <v>89</v>
      </c>
      <c r="P37" s="102">
        <f>AI28</f>
        <v>3824543.732723015</v>
      </c>
      <c r="Q37" s="102"/>
      <c r="R37" s="102"/>
      <c r="S37" s="102"/>
      <c r="T37" s="102"/>
      <c r="U37" s="17" t="s">
        <v>88</v>
      </c>
      <c r="V37" s="89">
        <f>W36</f>
        <v>44700</v>
      </c>
      <c r="W37" s="89"/>
      <c r="X37" s="89"/>
      <c r="Y37" s="89"/>
      <c r="Z37" s="8" t="s">
        <v>34</v>
      </c>
      <c r="AA37" s="134">
        <f>P37/V37</f>
        <v>85.56026247702493</v>
      </c>
      <c r="AB37" s="134"/>
      <c r="AC37" s="134"/>
      <c r="AD37" s="134"/>
      <c r="AE37" s="134"/>
      <c r="AF37" s="18" t="str">
        <f>IF(AA37&gt;Z9,"N/㎟ ＞  σca , N.G","N/㎟＜  σca , O.K")</f>
        <v>N/㎟＜  σca , O.K</v>
      </c>
      <c r="AG37" s="18"/>
      <c r="AH37" s="18"/>
      <c r="AI37" s="18"/>
      <c r="AJ37" s="18"/>
      <c r="AK37" s="18"/>
      <c r="AL37" s="18"/>
    </row>
    <row r="38" spans="4:44" ht="24.75" customHeight="1">
      <c r="D38" s="21"/>
      <c r="E38" s="21"/>
      <c r="F38" s="21"/>
      <c r="G38" s="21"/>
      <c r="H38" s="21"/>
      <c r="I38" s="21"/>
      <c r="J38" s="21"/>
      <c r="K38" s="21"/>
      <c r="W38" s="8"/>
      <c r="X38" s="20"/>
      <c r="Y38" s="20"/>
      <c r="Z38" s="20"/>
      <c r="AA38" s="20"/>
      <c r="AR38" s="18"/>
    </row>
    <row r="39" ht="24.75" customHeight="1">
      <c r="C39" s="5" t="s">
        <v>192</v>
      </c>
    </row>
    <row r="40" spans="3:23" ht="24.75" customHeight="1">
      <c r="C40" s="5" t="s">
        <v>193</v>
      </c>
      <c r="M40" s="13"/>
      <c r="N40" s="13"/>
      <c r="O40" s="14"/>
      <c r="P40" s="15"/>
      <c r="Q40" s="15"/>
      <c r="R40" s="15"/>
      <c r="S40" s="14"/>
      <c r="T40" s="16"/>
      <c r="U40" s="16"/>
      <c r="V40" s="16"/>
      <c r="W40" s="16"/>
    </row>
    <row r="41" spans="4:38" ht="24.75" customHeight="1">
      <c r="D41" s="4" t="s">
        <v>153</v>
      </c>
      <c r="E41" s="21"/>
      <c r="F41" s="21"/>
      <c r="G41" s="13"/>
      <c r="H41" s="13"/>
      <c r="I41" s="8"/>
      <c r="J41" s="102">
        <f>AI28</f>
        <v>3824543.732723015</v>
      </c>
      <c r="K41" s="102"/>
      <c r="L41" s="102"/>
      <c r="M41" s="102"/>
      <c r="N41" s="102"/>
      <c r="O41" s="17" t="s">
        <v>88</v>
      </c>
      <c r="P41" s="133">
        <f>+AE30</f>
        <v>80</v>
      </c>
      <c r="Q41" s="133"/>
      <c r="R41" s="133"/>
      <c r="S41" s="133"/>
      <c r="U41" s="8" t="s">
        <v>34</v>
      </c>
      <c r="V41" s="100">
        <f>J41/P41</f>
        <v>47806.79665903769</v>
      </c>
      <c r="W41" s="100"/>
      <c r="X41" s="100"/>
      <c r="Y41" s="100"/>
      <c r="Z41" s="100"/>
      <c r="AA41" s="18" t="s">
        <v>202</v>
      </c>
      <c r="AB41" s="8"/>
      <c r="AC41" s="8"/>
      <c r="AD41" s="18" t="str">
        <f>IF(V41&gt;AA10," ＞  ρa    N.G","＜ ρa    O.K")</f>
        <v>＜ ρa    O.K</v>
      </c>
      <c r="AE41" s="8"/>
      <c r="AF41" s="8"/>
      <c r="AG41" s="8"/>
      <c r="AH41" s="8"/>
      <c r="AI41" s="8"/>
      <c r="AJ41" s="8"/>
      <c r="AK41" s="8"/>
      <c r="AL41" s="8"/>
    </row>
    <row r="42" spans="3:38" ht="24.75" customHeight="1">
      <c r="C42" s="14"/>
      <c r="D42" s="34"/>
      <c r="E42" s="34"/>
      <c r="F42" s="34"/>
      <c r="G42" s="13"/>
      <c r="H42" s="13"/>
      <c r="I42" s="13"/>
      <c r="J42" s="14"/>
      <c r="K42" s="14"/>
      <c r="L42" s="14"/>
      <c r="M42" s="35"/>
      <c r="N42" s="35"/>
      <c r="O42" s="35"/>
      <c r="P42" s="35"/>
      <c r="Q42" s="14"/>
      <c r="R42" s="14"/>
      <c r="S42" s="14"/>
      <c r="T42" s="14"/>
      <c r="U42" s="13"/>
      <c r="V42" s="71"/>
      <c r="W42" s="71"/>
      <c r="X42" s="71"/>
      <c r="Y42" s="71"/>
      <c r="Z42" s="71"/>
      <c r="AA42" s="13"/>
      <c r="AB42" s="13"/>
      <c r="AC42" s="13"/>
      <c r="AD42" s="13"/>
      <c r="AE42" s="13"/>
      <c r="AF42" s="13"/>
      <c r="AG42" s="13"/>
      <c r="AH42" s="13"/>
      <c r="AI42" s="13"/>
      <c r="AJ42" s="13"/>
      <c r="AK42" s="13"/>
      <c r="AL42" s="8"/>
    </row>
    <row r="43" spans="3:38" ht="24.75" customHeight="1">
      <c r="C43" s="5" t="s">
        <v>206</v>
      </c>
      <c r="D43" s="21"/>
      <c r="E43" s="21"/>
      <c r="F43" s="21"/>
      <c r="G43" s="8"/>
      <c r="H43" s="8"/>
      <c r="I43" s="8"/>
      <c r="U43" s="8"/>
      <c r="V43" s="22"/>
      <c r="W43" s="22"/>
      <c r="X43" s="22"/>
      <c r="Y43" s="22"/>
      <c r="Z43" s="22"/>
      <c r="AA43" s="8"/>
      <c r="AB43" s="8"/>
      <c r="AC43" s="8"/>
      <c r="AD43" s="8"/>
      <c r="AE43" s="8"/>
      <c r="AF43" s="8"/>
      <c r="AG43" s="8"/>
      <c r="AH43" s="8"/>
      <c r="AI43" s="8"/>
      <c r="AJ43" s="8"/>
      <c r="AK43" s="8"/>
      <c r="AL43" s="8"/>
    </row>
    <row r="44" spans="4:47" ht="24.75" customHeight="1">
      <c r="D44" s="5" t="s">
        <v>205</v>
      </c>
      <c r="AU44" s="23"/>
    </row>
    <row r="45" spans="5:47" ht="24.75" customHeight="1">
      <c r="E45" s="5" t="s">
        <v>211</v>
      </c>
      <c r="AU45" s="23"/>
    </row>
    <row r="46" ht="24.75" customHeight="1">
      <c r="D46" s="5" t="s">
        <v>7</v>
      </c>
    </row>
    <row r="47" spans="3:36" ht="24.75" customHeight="1">
      <c r="C47" s="106" t="s">
        <v>49</v>
      </c>
      <c r="D47" s="106"/>
      <c r="E47" s="106"/>
      <c r="G47" s="105">
        <f>O6</f>
        <v>392.6304892</v>
      </c>
      <c r="H47" s="105"/>
      <c r="I47" s="105"/>
      <c r="J47" s="19" t="s">
        <v>41</v>
      </c>
      <c r="K47" s="97">
        <v>1000000</v>
      </c>
      <c r="L47" s="97"/>
      <c r="M47" s="97"/>
      <c r="N47" s="97"/>
      <c r="P47" s="106" t="s">
        <v>47</v>
      </c>
      <c r="Q47" s="106"/>
      <c r="R47" s="122">
        <f>P41</f>
        <v>80</v>
      </c>
      <c r="S47" s="122"/>
      <c r="T47" s="122"/>
      <c r="U47" s="92" t="s">
        <v>34</v>
      </c>
      <c r="V47" s="92"/>
      <c r="W47" s="102">
        <f>ROUND((G47*K47/(I48*K48))/R47,1)</f>
        <v>1115.4</v>
      </c>
      <c r="X47" s="102"/>
      <c r="Y47" s="102"/>
      <c r="Z47" s="102"/>
      <c r="AA47" s="92" t="str">
        <f>IF(W47&gt;AA10,"N/本   ＞ ρa   N.G.","N/本  ＜  ρa   O.K.")</f>
        <v>N/本  ＜  ρa   O.K.</v>
      </c>
      <c r="AB47" s="92"/>
      <c r="AC47" s="92"/>
      <c r="AD47" s="92"/>
      <c r="AE47" s="92"/>
      <c r="AF47" s="92"/>
      <c r="AG47" s="92"/>
      <c r="AH47" s="92"/>
      <c r="AI47" s="92"/>
      <c r="AJ47" s="92"/>
    </row>
    <row r="48" spans="3:36" ht="24.75" customHeight="1">
      <c r="C48" s="106"/>
      <c r="D48" s="106"/>
      <c r="E48" s="106"/>
      <c r="I48" s="8">
        <v>2</v>
      </c>
      <c r="J48" s="14" t="s">
        <v>41</v>
      </c>
      <c r="K48" s="24">
        <f>AM147</f>
        <v>2200</v>
      </c>
      <c r="L48" s="25"/>
      <c r="M48" s="25"/>
      <c r="P48" s="106"/>
      <c r="Q48" s="106"/>
      <c r="R48" s="122"/>
      <c r="S48" s="122"/>
      <c r="T48" s="122"/>
      <c r="U48" s="92"/>
      <c r="V48" s="92"/>
      <c r="W48" s="102"/>
      <c r="X48" s="102"/>
      <c r="Y48" s="102"/>
      <c r="Z48" s="102"/>
      <c r="AA48" s="92"/>
      <c r="AB48" s="92"/>
      <c r="AC48" s="92"/>
      <c r="AD48" s="92"/>
      <c r="AE48" s="92"/>
      <c r="AF48" s="92"/>
      <c r="AG48" s="92"/>
      <c r="AH48" s="92"/>
      <c r="AI48" s="92"/>
      <c r="AJ48" s="92"/>
    </row>
    <row r="50" spans="3:9" ht="24.75" customHeight="1">
      <c r="C50" s="5" t="s">
        <v>212</v>
      </c>
      <c r="I50" s="23"/>
    </row>
    <row r="51" spans="4:31" ht="24.75" customHeight="1">
      <c r="D51" s="5" t="s">
        <v>50</v>
      </c>
      <c r="P51" s="119">
        <f>V41</f>
        <v>47806.79665903769</v>
      </c>
      <c r="Q51" s="119"/>
      <c r="R51" s="119"/>
      <c r="S51" s="119"/>
      <c r="T51" s="5" t="s">
        <v>48</v>
      </c>
      <c r="U51" s="104">
        <f>+W47</f>
        <v>1115.4</v>
      </c>
      <c r="V51" s="104"/>
      <c r="W51" s="104"/>
      <c r="X51" s="104"/>
      <c r="Y51" s="5" t="s">
        <v>33</v>
      </c>
      <c r="AA51" s="100">
        <f>ROUND(SQRT(P51^2+U51^2),1)</f>
        <v>47819.8</v>
      </c>
      <c r="AB51" s="100"/>
      <c r="AC51" s="100"/>
      <c r="AD51" s="100"/>
      <c r="AE51" s="5" t="str">
        <f>IF(AA51&gt;$AA$10,"N/本  ＞  ρa ,  N.G","N/本  ＜  ρa ,  O.K")</f>
        <v>N/本  ＜  ρa ,  O.K</v>
      </c>
    </row>
    <row r="52" spans="16:30" ht="24.75" customHeight="1">
      <c r="P52" s="26"/>
      <c r="Q52" s="26"/>
      <c r="R52" s="26"/>
      <c r="S52" s="26"/>
      <c r="U52" s="26"/>
      <c r="V52" s="26"/>
      <c r="W52" s="26"/>
      <c r="X52" s="26"/>
      <c r="AA52" s="9"/>
      <c r="AB52" s="9"/>
      <c r="AC52" s="9"/>
      <c r="AD52" s="9"/>
    </row>
    <row r="53" spans="2:11" ht="24.75" customHeight="1">
      <c r="B53" s="5" t="s">
        <v>187</v>
      </c>
      <c r="H53" s="27"/>
      <c r="K53" s="9"/>
    </row>
    <row r="54" spans="7:9" ht="24.75" customHeight="1">
      <c r="G54" s="27"/>
      <c r="I54" s="27"/>
    </row>
    <row r="55" spans="5:17" ht="24.75" customHeight="1">
      <c r="E55" s="166"/>
      <c r="F55" s="166"/>
      <c r="G55" s="166"/>
      <c r="K55" s="29"/>
      <c r="L55" s="29"/>
      <c r="M55" s="29"/>
      <c r="N55" s="166"/>
      <c r="Q55" s="30"/>
    </row>
    <row r="56" spans="17:31" ht="24.75" customHeight="1">
      <c r="Q56" s="30"/>
      <c r="U56" s="31"/>
      <c r="V56" s="31"/>
      <c r="X56" s="5" t="s">
        <v>185</v>
      </c>
      <c r="AB56" s="163">
        <v>150</v>
      </c>
      <c r="AC56" s="163"/>
      <c r="AD56" s="163"/>
      <c r="AE56" s="5" t="s">
        <v>84</v>
      </c>
    </row>
    <row r="57" spans="17:31" ht="24.75" customHeight="1">
      <c r="Q57" s="30"/>
      <c r="R57" s="30"/>
      <c r="S57" s="32"/>
      <c r="T57" s="32"/>
      <c r="U57" s="167"/>
      <c r="V57" s="33"/>
      <c r="X57" s="5" t="s">
        <v>186</v>
      </c>
      <c r="AB57" s="163">
        <v>14</v>
      </c>
      <c r="AC57" s="163"/>
      <c r="AD57" s="163"/>
      <c r="AE57" s="5" t="s">
        <v>84</v>
      </c>
    </row>
    <row r="58" spans="1:19" ht="24.75" customHeight="1">
      <c r="A58" s="53"/>
      <c r="B58" s="53"/>
      <c r="C58" s="53"/>
      <c r="D58" s="53"/>
      <c r="E58" s="53"/>
      <c r="F58" s="53"/>
      <c r="G58" s="53"/>
      <c r="H58" s="53"/>
      <c r="I58" s="53"/>
      <c r="J58" s="53"/>
      <c r="K58" s="53"/>
      <c r="L58" s="53"/>
      <c r="M58" s="53"/>
      <c r="N58" s="53"/>
      <c r="O58" s="53"/>
      <c r="P58" s="53"/>
      <c r="Q58" s="53"/>
      <c r="R58" s="53"/>
      <c r="S58" s="53"/>
    </row>
    <row r="59" spans="7:11" ht="24.75" customHeight="1">
      <c r="G59" s="27"/>
      <c r="I59" s="27"/>
      <c r="K59" s="9"/>
    </row>
    <row r="60" ht="24.75" customHeight="1">
      <c r="C60" s="5" t="s">
        <v>181</v>
      </c>
    </row>
    <row r="61" spans="4:41" ht="24.75" customHeight="1">
      <c r="D61" s="106" t="s">
        <v>42</v>
      </c>
      <c r="E61" s="106"/>
      <c r="F61" s="19" t="str">
        <f>IF(O4&gt;0,"As σu","As σl")</f>
        <v>As σu</v>
      </c>
      <c r="G61" s="19"/>
      <c r="H61" s="19"/>
      <c r="I61" s="92" t="s">
        <v>34</v>
      </c>
      <c r="J61" s="97">
        <f>+AB57</f>
        <v>14</v>
      </c>
      <c r="K61" s="97"/>
      <c r="L61" s="19" t="s">
        <v>41</v>
      </c>
      <c r="M61" s="132">
        <f>+AB56</f>
        <v>150</v>
      </c>
      <c r="N61" s="132"/>
      <c r="O61" s="132"/>
      <c r="P61" s="19" t="s">
        <v>41</v>
      </c>
      <c r="Q61" s="105">
        <f>P15</f>
        <v>118.40000000025</v>
      </c>
      <c r="R61" s="105"/>
      <c r="S61" s="105"/>
      <c r="T61" s="105"/>
      <c r="U61" s="92" t="s">
        <v>30</v>
      </c>
      <c r="V61" s="113">
        <f>ROUND(+J61*M61*Q61/M62,1)</f>
        <v>2.6</v>
      </c>
      <c r="W61" s="113"/>
      <c r="X61" s="113"/>
      <c r="Y61" s="113"/>
      <c r="Z61" s="92" t="s">
        <v>43</v>
      </c>
      <c r="AA61" s="92"/>
      <c r="AB61" s="92"/>
      <c r="AC61" s="164">
        <v>5</v>
      </c>
      <c r="AD61" s="164"/>
      <c r="AE61" s="164"/>
      <c r="AF61" s="164"/>
      <c r="AG61" s="92" t="s">
        <v>4</v>
      </c>
      <c r="AH61" s="92"/>
      <c r="AI61" s="92"/>
      <c r="AJ61" s="92"/>
      <c r="AM61" s="92" t="str">
        <f>IF(V61&lt;=AC61,"O.K.","N.G.")</f>
        <v>O.K.</v>
      </c>
      <c r="AN61" s="92"/>
      <c r="AO61" s="92"/>
    </row>
    <row r="62" spans="4:51" ht="24.75" customHeight="1">
      <c r="D62" s="106"/>
      <c r="E62" s="106"/>
      <c r="F62" s="92" t="s">
        <v>44</v>
      </c>
      <c r="G62" s="92"/>
      <c r="H62" s="92"/>
      <c r="I62" s="92"/>
      <c r="M62" s="89">
        <f>AA10</f>
        <v>96000</v>
      </c>
      <c r="N62" s="89"/>
      <c r="O62" s="89"/>
      <c r="P62" s="89"/>
      <c r="U62" s="92"/>
      <c r="V62" s="113"/>
      <c r="W62" s="113"/>
      <c r="X62" s="113"/>
      <c r="Y62" s="113"/>
      <c r="Z62" s="92"/>
      <c r="AA62" s="92"/>
      <c r="AB62" s="92"/>
      <c r="AC62" s="164"/>
      <c r="AD62" s="164"/>
      <c r="AE62" s="164"/>
      <c r="AF62" s="164"/>
      <c r="AG62" s="92"/>
      <c r="AH62" s="92"/>
      <c r="AI62" s="92"/>
      <c r="AJ62" s="92"/>
      <c r="AM62" s="92"/>
      <c r="AN62" s="92"/>
      <c r="AO62" s="92"/>
      <c r="AW62" s="8"/>
      <c r="AY62" s="18"/>
    </row>
    <row r="63" ht="24.75" customHeight="1">
      <c r="C63" s="5" t="s">
        <v>239</v>
      </c>
    </row>
    <row r="64" spans="4:28" ht="24.75" customHeight="1">
      <c r="D64" s="92" t="s">
        <v>188</v>
      </c>
      <c r="E64" s="106"/>
      <c r="F64" s="106"/>
      <c r="G64" s="106"/>
      <c r="H64" s="106"/>
      <c r="I64" s="106"/>
      <c r="J64" s="106"/>
      <c r="K64" s="132">
        <f>+J61</f>
        <v>14</v>
      </c>
      <c r="L64" s="132"/>
      <c r="M64" s="19" t="s">
        <v>41</v>
      </c>
      <c r="N64" s="132">
        <f>+M61</f>
        <v>150</v>
      </c>
      <c r="O64" s="132"/>
      <c r="P64" s="132"/>
      <c r="Q64" s="19" t="s">
        <v>41</v>
      </c>
      <c r="R64" s="105">
        <f>+Q61</f>
        <v>118.40000000025</v>
      </c>
      <c r="S64" s="105"/>
      <c r="T64" s="105"/>
      <c r="U64" s="105"/>
      <c r="V64" s="92" t="s">
        <v>34</v>
      </c>
      <c r="W64" s="89">
        <f>+K64*N64*R64/N65</f>
        <v>1575</v>
      </c>
      <c r="X64" s="89"/>
      <c r="Y64" s="89"/>
      <c r="Z64" s="89"/>
      <c r="AA64" s="103" t="s">
        <v>101</v>
      </c>
      <c r="AB64" s="103"/>
    </row>
    <row r="65" spans="4:54" ht="24.75" customHeight="1">
      <c r="D65" s="106"/>
      <c r="E65" s="106"/>
      <c r="F65" s="106"/>
      <c r="G65" s="106"/>
      <c r="H65" s="106"/>
      <c r="I65" s="106"/>
      <c r="J65" s="106"/>
      <c r="N65" s="89">
        <f>Z9</f>
        <v>157.866666667</v>
      </c>
      <c r="O65" s="89"/>
      <c r="P65" s="89"/>
      <c r="Q65" s="89"/>
      <c r="V65" s="92"/>
      <c r="W65" s="89"/>
      <c r="X65" s="89"/>
      <c r="Y65" s="89"/>
      <c r="Z65" s="89"/>
      <c r="AA65" s="103"/>
      <c r="AB65" s="103"/>
      <c r="AX65" s="23"/>
      <c r="AZ65" s="23"/>
      <c r="BB65" s="23"/>
    </row>
    <row r="66" spans="4:54" ht="24.75" customHeight="1">
      <c r="D66" s="5" t="s">
        <v>240</v>
      </c>
      <c r="I66" s="165">
        <v>2</v>
      </c>
      <c r="J66" s="165"/>
      <c r="K66" s="165"/>
      <c r="L66" s="126">
        <v>80</v>
      </c>
      <c r="M66" s="126"/>
      <c r="N66" s="126"/>
      <c r="O66" s="92">
        <v>9</v>
      </c>
      <c r="P66" s="92"/>
      <c r="Q66" s="127">
        <v>780</v>
      </c>
      <c r="R66" s="127"/>
      <c r="S66" s="127"/>
      <c r="T66" s="127"/>
      <c r="U66" s="5" t="s">
        <v>31</v>
      </c>
      <c r="W66" s="89">
        <f>+L66*O66*I66</f>
        <v>1440</v>
      </c>
      <c r="X66" s="89"/>
      <c r="Y66" s="89"/>
      <c r="Z66" s="89"/>
      <c r="AA66" s="5" t="s">
        <v>101</v>
      </c>
      <c r="AD66" s="5" t="str">
        <f>IF(W66&gt;=W64,"O.K.","N.G.")</f>
        <v>N.G.</v>
      </c>
      <c r="AT66" s="4"/>
      <c r="BB66" s="8"/>
    </row>
    <row r="68" spans="2:15" ht="24.75" customHeight="1">
      <c r="B68" s="5" t="s">
        <v>1</v>
      </c>
      <c r="I68" s="92" t="str">
        <f>IF(O4&gt;0,"(下フランジ)","(上フランジ)")</f>
        <v>(下フランジ)</v>
      </c>
      <c r="J68" s="92"/>
      <c r="K68" s="92"/>
      <c r="L68" s="92"/>
      <c r="M68" s="92"/>
      <c r="N68" s="92"/>
      <c r="O68" s="5" t="s">
        <v>249</v>
      </c>
    </row>
    <row r="69" spans="3:10" ht="24.75" customHeight="1">
      <c r="C69" s="5" t="s">
        <v>115</v>
      </c>
      <c r="E69" s="131">
        <f>IF(O4&gt;0,ABS(O8),ABS(O7))</f>
        <v>63.294367826</v>
      </c>
      <c r="F69" s="131"/>
      <c r="G69" s="131"/>
      <c r="H69" s="131"/>
      <c r="I69" s="131"/>
      <c r="J69" s="5" t="s">
        <v>218</v>
      </c>
    </row>
    <row r="70" spans="3:22" ht="24.75" customHeight="1">
      <c r="C70" s="5" t="s">
        <v>116</v>
      </c>
      <c r="E70" s="130">
        <f>+E14</f>
        <v>0.75</v>
      </c>
      <c r="F70" s="130"/>
      <c r="G70" s="130"/>
      <c r="H70" s="130"/>
      <c r="I70" s="5" t="s">
        <v>41</v>
      </c>
      <c r="J70" s="102">
        <f>O9</f>
        <v>210</v>
      </c>
      <c r="K70" s="102"/>
      <c r="L70" s="102"/>
      <c r="M70" s="5" t="s">
        <v>34</v>
      </c>
      <c r="N70" s="89">
        <f>+E70*J70</f>
        <v>157.5</v>
      </c>
      <c r="O70" s="89"/>
      <c r="P70" s="89"/>
      <c r="Q70" s="89"/>
      <c r="R70" s="5" t="str">
        <f>+J69</f>
        <v>N/㎟</v>
      </c>
      <c r="T70" s="10"/>
      <c r="U70" s="11"/>
      <c r="V70" s="12" t="s">
        <v>178</v>
      </c>
    </row>
    <row r="71" spans="3:20" ht="24.75" customHeight="1">
      <c r="C71" s="5" t="s">
        <v>247</v>
      </c>
      <c r="L71" s="5" t="str">
        <f>IF(O4&gt;0,"σl","σu")</f>
        <v>σl</v>
      </c>
      <c r="N71" s="5" t="s">
        <v>179</v>
      </c>
      <c r="P71" s="89">
        <f>+MAX(E69,N70)</f>
        <v>157.5</v>
      </c>
      <c r="Q71" s="89"/>
      <c r="R71" s="89"/>
      <c r="S71" s="89"/>
      <c r="T71" s="5" t="s">
        <v>222</v>
      </c>
    </row>
    <row r="73" ht="24.75" customHeight="1">
      <c r="G73" s="9"/>
    </row>
    <row r="74" spans="7:42" ht="24.75" customHeight="1">
      <c r="G74" s="9"/>
      <c r="AH74" s="5" t="s">
        <v>180</v>
      </c>
      <c r="AM74" s="163">
        <v>12</v>
      </c>
      <c r="AN74" s="163"/>
      <c r="AO74" s="163"/>
      <c r="AP74" s="5" t="s">
        <v>84</v>
      </c>
    </row>
    <row r="75" spans="7:42" ht="24.75" customHeight="1">
      <c r="G75" s="9"/>
      <c r="AH75" s="5" t="s">
        <v>217</v>
      </c>
      <c r="AM75" s="163">
        <v>2340</v>
      </c>
      <c r="AN75" s="163"/>
      <c r="AO75" s="163"/>
      <c r="AP75" s="5" t="s">
        <v>84</v>
      </c>
    </row>
    <row r="76" spans="34:43" ht="24.75" customHeight="1">
      <c r="AH76" s="5" t="s">
        <v>210</v>
      </c>
      <c r="AO76" s="163">
        <v>120</v>
      </c>
      <c r="AP76" s="163"/>
      <c r="AQ76" s="5" t="s">
        <v>84</v>
      </c>
    </row>
    <row r="77" spans="34:38" ht="24.75" customHeight="1">
      <c r="AH77" s="5" t="s">
        <v>201</v>
      </c>
      <c r="AL77" s="5" t="s">
        <v>213</v>
      </c>
    </row>
    <row r="78" spans="5:38" ht="24.75" customHeight="1">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5:38" ht="24.75" customHeight="1">
      <c r="E79" s="34"/>
      <c r="F79" s="34"/>
      <c r="G79" s="14"/>
      <c r="H79" s="14"/>
      <c r="I79" s="14"/>
      <c r="J79" s="13"/>
      <c r="K79" s="13"/>
      <c r="L79" s="13"/>
      <c r="M79" s="14"/>
      <c r="N79" s="16"/>
      <c r="O79" s="16"/>
      <c r="P79" s="16"/>
      <c r="Q79" s="14"/>
      <c r="R79" s="16"/>
      <c r="S79" s="16"/>
      <c r="T79" s="16"/>
      <c r="U79" s="16"/>
      <c r="V79" s="13"/>
      <c r="W79" s="35"/>
      <c r="X79" s="35"/>
      <c r="Y79" s="35"/>
      <c r="Z79" s="35"/>
      <c r="AA79" s="13"/>
      <c r="AB79" s="13"/>
      <c r="AC79" s="13"/>
      <c r="AD79" s="168"/>
      <c r="AE79" s="168"/>
      <c r="AF79" s="168"/>
      <c r="AG79" s="168"/>
      <c r="AH79" s="13"/>
      <c r="AI79" s="13"/>
      <c r="AJ79" s="13"/>
      <c r="AK79" s="13"/>
      <c r="AL79" s="14"/>
    </row>
    <row r="80" spans="5:38" ht="24.75" customHeight="1">
      <c r="E80" s="34"/>
      <c r="F80" s="34"/>
      <c r="G80" s="13"/>
      <c r="H80" s="13"/>
      <c r="I80" s="13"/>
      <c r="J80" s="13"/>
      <c r="K80" s="14"/>
      <c r="L80" s="14"/>
      <c r="M80" s="14"/>
      <c r="N80" s="16"/>
      <c r="O80" s="16"/>
      <c r="P80" s="16"/>
      <c r="Q80" s="16"/>
      <c r="R80" s="14"/>
      <c r="S80" s="14"/>
      <c r="T80" s="14"/>
      <c r="U80" s="14"/>
      <c r="V80" s="13"/>
      <c r="W80" s="35"/>
      <c r="X80" s="35"/>
      <c r="Y80" s="35"/>
      <c r="Z80" s="35"/>
      <c r="AA80" s="13"/>
      <c r="AB80" s="13"/>
      <c r="AC80" s="13"/>
      <c r="AD80" s="168"/>
      <c r="AE80" s="168"/>
      <c r="AF80" s="168"/>
      <c r="AG80" s="168"/>
      <c r="AH80" s="13"/>
      <c r="AI80" s="13"/>
      <c r="AJ80" s="13"/>
      <c r="AK80" s="13"/>
      <c r="AL80" s="14"/>
    </row>
    <row r="81" spans="5:38" ht="24.75" customHeight="1">
      <c r="E81" s="13"/>
      <c r="F81" s="34"/>
      <c r="G81" s="34"/>
      <c r="H81" s="34"/>
      <c r="I81" s="34"/>
      <c r="J81" s="34"/>
      <c r="K81" s="34"/>
      <c r="L81" s="16"/>
      <c r="M81" s="16"/>
      <c r="N81" s="14"/>
      <c r="O81" s="16"/>
      <c r="P81" s="16"/>
      <c r="Q81" s="16"/>
      <c r="R81" s="14"/>
      <c r="S81" s="16"/>
      <c r="T81" s="16"/>
      <c r="U81" s="16"/>
      <c r="V81" s="16"/>
      <c r="W81" s="13"/>
      <c r="X81" s="16"/>
      <c r="Y81" s="16"/>
      <c r="Z81" s="16"/>
      <c r="AA81" s="16"/>
      <c r="AB81" s="36"/>
      <c r="AC81" s="36"/>
      <c r="AD81" s="14"/>
      <c r="AE81" s="14"/>
      <c r="AF81" s="14"/>
      <c r="AG81" s="14"/>
      <c r="AH81" s="14"/>
      <c r="AI81" s="14"/>
      <c r="AJ81" s="14"/>
      <c r="AK81" s="14"/>
      <c r="AL81" s="14"/>
    </row>
    <row r="82" spans="7:30" ht="24.75" customHeight="1">
      <c r="G82" s="34"/>
      <c r="H82" s="34"/>
      <c r="I82" s="34"/>
      <c r="J82" s="34"/>
      <c r="K82" s="34"/>
      <c r="L82" s="14"/>
      <c r="M82" s="14"/>
      <c r="N82" s="14"/>
      <c r="O82" s="16"/>
      <c r="P82" s="16"/>
      <c r="Q82" s="16"/>
      <c r="R82" s="16"/>
      <c r="S82" s="14"/>
      <c r="T82" s="14"/>
      <c r="U82" s="14"/>
      <c r="V82" s="14"/>
      <c r="W82" s="13"/>
      <c r="X82" s="16"/>
      <c r="Y82" s="16"/>
      <c r="Z82" s="16"/>
      <c r="AA82" s="16"/>
      <c r="AB82" s="36"/>
      <c r="AC82" s="36"/>
      <c r="AD82" s="14"/>
    </row>
    <row r="83" ht="24.75" customHeight="1">
      <c r="C83" s="5" t="s">
        <v>181</v>
      </c>
    </row>
    <row r="84" ht="24.75" customHeight="1">
      <c r="D84" s="5" t="s">
        <v>2</v>
      </c>
    </row>
    <row r="85" spans="4:38" ht="24.75" customHeight="1">
      <c r="D85" s="5" t="s">
        <v>3</v>
      </c>
      <c r="S85" s="5" t="s">
        <v>190</v>
      </c>
      <c r="AB85" s="150">
        <v>26.5</v>
      </c>
      <c r="AC85" s="150"/>
      <c r="AD85" s="150"/>
      <c r="AE85" s="5" t="s">
        <v>191</v>
      </c>
      <c r="AK85" s="169">
        <v>2</v>
      </c>
      <c r="AL85" s="5" t="s">
        <v>203</v>
      </c>
    </row>
    <row r="86" spans="5:71" ht="24.75" customHeight="1">
      <c r="E86" s="37" t="str">
        <f>IF(AW86=1,"Ar = ( "&amp;AB85&amp;" + "&amp;ROUND(AB85-(BA86^2/4/BG86),3)&amp;" ) × "&amp;AB133&amp;" = ","Ar = "&amp;AB85&amp;"× "&amp;BR86&amp;"本 ×"&amp;AB133&amp;" = ")</f>
        <v>Ar = 26.5× 1本 ×14 = </v>
      </c>
      <c r="F86" s="34"/>
      <c r="R86" s="128">
        <f>IF(AW86=1,(AB85+(AB85-(BA86^2/4/BG86)))*AB133,AB85*BR86*AB133)</f>
        <v>371</v>
      </c>
      <c r="S86" s="128"/>
      <c r="T86" s="128"/>
      <c r="U86" s="128"/>
      <c r="V86" s="128"/>
      <c r="W86" s="5">
        <f>IF(AW86=1,"∵ w = d - p2/4g = "&amp;AB85&amp;" - "&amp;BA86&amp;"²/ ( 4 × "&amp;BG86&amp;" ) = "&amp;ROUND(AB85-(BA86^2/4/BG86),3)&amp;" mm","")</f>
      </c>
      <c r="Y86" s="38"/>
      <c r="Z86" s="39"/>
      <c r="AA86" s="39"/>
      <c r="AB86" s="39"/>
      <c r="AD86" s="40"/>
      <c r="AE86" s="40"/>
      <c r="AF86" s="40"/>
      <c r="AG86" s="18"/>
      <c r="AI86" s="28"/>
      <c r="AJ86" s="28"/>
      <c r="AL86" s="41"/>
      <c r="AM86" s="41"/>
      <c r="AN86" s="41"/>
      <c r="AP86" s="13"/>
      <c r="AU86" s="5" t="s">
        <v>154</v>
      </c>
      <c r="AW86" s="169">
        <v>0</v>
      </c>
      <c r="AX86" s="5" t="s">
        <v>155</v>
      </c>
      <c r="AY86" s="5" t="s">
        <v>141</v>
      </c>
      <c r="BA86" s="163">
        <v>75</v>
      </c>
      <c r="BB86" s="163"/>
      <c r="BC86" s="163"/>
      <c r="BD86" s="5" t="s">
        <v>155</v>
      </c>
      <c r="BE86" s="5" t="s">
        <v>142</v>
      </c>
      <c r="BG86" s="163">
        <v>0</v>
      </c>
      <c r="BH86" s="163"/>
      <c r="BI86" s="163"/>
      <c r="BJ86" s="5" t="s">
        <v>155</v>
      </c>
      <c r="BK86" s="5" t="s">
        <v>254</v>
      </c>
      <c r="BR86" s="169">
        <v>1</v>
      </c>
      <c r="BS86" s="5" t="s">
        <v>204</v>
      </c>
    </row>
    <row r="87" spans="4:45" ht="24.75" customHeight="1">
      <c r="D87" s="5" t="s">
        <v>182</v>
      </c>
      <c r="I87" s="5" t="str">
        <f>IF(O4&gt;0,"(As＋Ar×"&amp;AK85&amp;")σs＋2 Pfwl","(As＋Ar×"&amp;AK85&amp;")σs＋2 Pfwu")</f>
        <v>(As＋Ar×2)σs＋2 Pfwl</v>
      </c>
      <c r="R87" s="5" t="s">
        <v>89</v>
      </c>
      <c r="S87" s="5" t="s">
        <v>87</v>
      </c>
      <c r="T87" s="42">
        <f>AM74*AM75</f>
        <v>28080</v>
      </c>
      <c r="U87" s="42"/>
      <c r="V87" s="43"/>
      <c r="W87" s="43" t="s">
        <v>143</v>
      </c>
      <c r="X87" s="39">
        <f>R86*AK85</f>
        <v>742</v>
      </c>
      <c r="Y87" s="39"/>
      <c r="Z87" s="39"/>
      <c r="AA87" s="5" t="s">
        <v>144</v>
      </c>
      <c r="AB87" s="14" t="s">
        <v>137</v>
      </c>
      <c r="AC87" s="108">
        <f>P71</f>
        <v>157.5</v>
      </c>
      <c r="AD87" s="108"/>
      <c r="AE87" s="108"/>
      <c r="AF87" s="14" t="s">
        <v>143</v>
      </c>
      <c r="AG87" s="95">
        <f>IF(O4&gt;0,AD187,AD170)</f>
        <v>49145.00040268416</v>
      </c>
      <c r="AH87" s="95"/>
      <c r="AI87" s="95"/>
      <c r="AJ87" s="95"/>
      <c r="AK87" s="14" t="s">
        <v>138</v>
      </c>
      <c r="AL87" s="14"/>
      <c r="AM87" s="5" t="s">
        <v>89</v>
      </c>
      <c r="AN87" s="129">
        <f>(T87+X87)*AC87+AG87*2</f>
        <v>4637755.000805369</v>
      </c>
      <c r="AO87" s="129"/>
      <c r="AP87" s="129"/>
      <c r="AQ87" s="129"/>
      <c r="AR87" s="129"/>
      <c r="AS87" s="129"/>
    </row>
    <row r="88" spans="9:31" ht="24.75" customHeight="1">
      <c r="I88" s="5" t="s">
        <v>200</v>
      </c>
      <c r="V88" s="5" t="str">
        <f>IF(O4&gt;0,"Pfwl","Pfwu")</f>
        <v>Pfwl</v>
      </c>
      <c r="X88" s="14" t="s">
        <v>183</v>
      </c>
      <c r="Y88" s="14"/>
      <c r="AA88" s="6"/>
      <c r="AB88" s="6"/>
      <c r="AC88" s="6"/>
      <c r="AD88" s="6"/>
      <c r="AE88" s="6"/>
    </row>
    <row r="89" spans="4:41" ht="24.75" customHeight="1">
      <c r="D89" s="5" t="s">
        <v>151</v>
      </c>
      <c r="F89" s="14" t="s">
        <v>152</v>
      </c>
      <c r="J89" s="5" t="s">
        <v>89</v>
      </c>
      <c r="K89" s="102">
        <f>AN87</f>
        <v>4637755.000805369</v>
      </c>
      <c r="L89" s="102"/>
      <c r="M89" s="102"/>
      <c r="N89" s="102"/>
      <c r="O89" s="102"/>
      <c r="P89" s="102"/>
      <c r="Q89" s="17" t="s">
        <v>88</v>
      </c>
      <c r="R89" s="89">
        <f>AA10</f>
        <v>96000</v>
      </c>
      <c r="S89" s="89"/>
      <c r="T89" s="89"/>
      <c r="U89" s="89"/>
      <c r="V89" s="8" t="s">
        <v>89</v>
      </c>
      <c r="W89" s="113">
        <f>ROUND(K89/R89,1)</f>
        <v>48.3</v>
      </c>
      <c r="X89" s="113"/>
      <c r="Y89" s="113"/>
      <c r="Z89" s="113"/>
      <c r="AA89" s="92" t="s">
        <v>43</v>
      </c>
      <c r="AB89" s="92"/>
      <c r="AC89" s="6"/>
      <c r="AD89" s="6"/>
      <c r="AE89" s="164">
        <v>83</v>
      </c>
      <c r="AF89" s="164"/>
      <c r="AG89" s="164"/>
      <c r="AH89" s="164"/>
      <c r="AI89" s="92" t="s">
        <v>5</v>
      </c>
      <c r="AJ89" s="92"/>
      <c r="AK89" s="92"/>
      <c r="AL89" s="92"/>
      <c r="AM89" s="92"/>
      <c r="AO89" s="5" t="str">
        <f>IF(W89&lt;=AE89,"O.K.","N.G.")</f>
        <v>O.K.</v>
      </c>
    </row>
    <row r="90" ht="24.75" customHeight="1">
      <c r="C90" s="5" t="s">
        <v>239</v>
      </c>
    </row>
    <row r="91" spans="4:34" ht="24.75" customHeight="1">
      <c r="D91" s="18" t="s">
        <v>194</v>
      </c>
      <c r="E91" s="18"/>
      <c r="F91" s="18"/>
      <c r="G91" s="18"/>
      <c r="H91" s="18"/>
      <c r="I91" s="18"/>
      <c r="J91" s="18"/>
      <c r="P91" s="15"/>
      <c r="Q91" s="102">
        <f>AN87</f>
        <v>4637755.000805369</v>
      </c>
      <c r="R91" s="102"/>
      <c r="S91" s="102"/>
      <c r="T91" s="102"/>
      <c r="U91" s="102"/>
      <c r="V91" s="102"/>
      <c r="W91" s="17" t="s">
        <v>88</v>
      </c>
      <c r="X91" s="108">
        <f>O9</f>
        <v>210</v>
      </c>
      <c r="Y91" s="108"/>
      <c r="Z91" s="108"/>
      <c r="AA91" s="108"/>
      <c r="AB91" s="8" t="s">
        <v>34</v>
      </c>
      <c r="AC91" s="89">
        <f>Q91/X91</f>
        <v>22084.547622882706</v>
      </c>
      <c r="AD91" s="89"/>
      <c r="AE91" s="89"/>
      <c r="AF91" s="89"/>
      <c r="AG91" s="92" t="s">
        <v>101</v>
      </c>
      <c r="AH91" s="92"/>
    </row>
    <row r="92" spans="4:27" ht="24.75" customHeight="1">
      <c r="D92" s="5" t="s">
        <v>240</v>
      </c>
      <c r="I92" s="165">
        <v>2</v>
      </c>
      <c r="J92" s="165"/>
      <c r="K92" s="165"/>
      <c r="L92" s="126">
        <v>80</v>
      </c>
      <c r="M92" s="126"/>
      <c r="N92" s="126"/>
      <c r="O92" s="163">
        <v>10</v>
      </c>
      <c r="P92" s="163"/>
      <c r="Q92" s="127">
        <v>630</v>
      </c>
      <c r="R92" s="127"/>
      <c r="S92" s="127"/>
      <c r="T92" s="127"/>
      <c r="U92" s="5" t="s">
        <v>31</v>
      </c>
      <c r="W92" s="89">
        <f>+L92*O92*I92</f>
        <v>1600</v>
      </c>
      <c r="X92" s="89"/>
      <c r="Y92" s="89"/>
      <c r="Z92" s="89"/>
      <c r="AA92" s="5" t="s">
        <v>101</v>
      </c>
    </row>
    <row r="93" spans="9:27" ht="24.75" customHeight="1">
      <c r="I93" s="165">
        <v>3</v>
      </c>
      <c r="J93" s="165"/>
      <c r="K93" s="165"/>
      <c r="L93" s="126">
        <v>280</v>
      </c>
      <c r="M93" s="126"/>
      <c r="N93" s="126"/>
      <c r="O93" s="163">
        <v>10</v>
      </c>
      <c r="P93" s="163"/>
      <c r="Q93" s="127">
        <f>Q92</f>
        <v>630</v>
      </c>
      <c r="R93" s="127"/>
      <c r="S93" s="127"/>
      <c r="T93" s="127"/>
      <c r="U93" s="5" t="s">
        <v>31</v>
      </c>
      <c r="W93" s="89">
        <f>+L93*O93*I93</f>
        <v>8400</v>
      </c>
      <c r="X93" s="89"/>
      <c r="Y93" s="89"/>
      <c r="Z93" s="89"/>
      <c r="AA93" s="5" t="s">
        <v>101</v>
      </c>
    </row>
    <row r="94" spans="9:28" ht="24.75" customHeight="1">
      <c r="I94" s="165">
        <v>1</v>
      </c>
      <c r="J94" s="165"/>
      <c r="K94" s="165"/>
      <c r="L94" s="126">
        <f>+AM75-10</f>
        <v>2330</v>
      </c>
      <c r="M94" s="126"/>
      <c r="N94" s="126"/>
      <c r="O94" s="163">
        <v>10</v>
      </c>
      <c r="P94" s="163"/>
      <c r="Q94" s="127">
        <f>Q93</f>
        <v>630</v>
      </c>
      <c r="R94" s="127"/>
      <c r="S94" s="127"/>
      <c r="T94" s="127"/>
      <c r="U94" s="19" t="s">
        <v>31</v>
      </c>
      <c r="V94" s="19"/>
      <c r="W94" s="105">
        <f>+L94*O94*I94</f>
        <v>23300</v>
      </c>
      <c r="X94" s="105"/>
      <c r="Y94" s="105"/>
      <c r="Z94" s="105"/>
      <c r="AA94" s="19" t="s">
        <v>101</v>
      </c>
      <c r="AB94" s="19"/>
    </row>
    <row r="95" spans="21:27" ht="24.75" customHeight="1">
      <c r="U95" s="5" t="s">
        <v>32</v>
      </c>
      <c r="W95" s="89">
        <f>+SUM(W92:W94)</f>
        <v>33300</v>
      </c>
      <c r="X95" s="89"/>
      <c r="Y95" s="89"/>
      <c r="Z95" s="89"/>
      <c r="AA95" s="5" t="s">
        <v>101</v>
      </c>
    </row>
    <row r="96" ht="24.75" customHeight="1">
      <c r="D96" s="5" t="s">
        <v>242</v>
      </c>
    </row>
    <row r="97" spans="5:65" ht="24.75" customHeight="1">
      <c r="E97" s="5" t="s">
        <v>156</v>
      </c>
      <c r="H97" s="5" t="s">
        <v>87</v>
      </c>
      <c r="I97" s="124">
        <f>+W95</f>
        <v>33300</v>
      </c>
      <c r="J97" s="124"/>
      <c r="K97" s="124"/>
      <c r="L97" s="5" t="s">
        <v>46</v>
      </c>
      <c r="M97" s="89">
        <f>+(+H10+3)</f>
        <v>25</v>
      </c>
      <c r="N97" s="89"/>
      <c r="O97" s="89"/>
      <c r="P97" s="5" t="s">
        <v>41</v>
      </c>
      <c r="Q97" s="89">
        <f>O93</f>
        <v>10</v>
      </c>
      <c r="R97" s="89"/>
      <c r="S97" s="89"/>
      <c r="T97" s="5" t="s">
        <v>41</v>
      </c>
      <c r="U97" s="125">
        <f>BA97</f>
        <v>14</v>
      </c>
      <c r="V97" s="125"/>
      <c r="W97" s="125"/>
      <c r="X97" s="5" t="s">
        <v>41</v>
      </c>
      <c r="Y97" s="122">
        <v>2</v>
      </c>
      <c r="Z97" s="122"/>
      <c r="AA97" s="122"/>
      <c r="AB97" s="5" t="s">
        <v>140</v>
      </c>
      <c r="AC97" s="80">
        <f>IF(AW86=1,ROUND((AB85+(AB85-(BA86^2/4/BG86)))*AB133,2),ROUND(AB85*BR86*AB133,2))</f>
        <v>371</v>
      </c>
      <c r="AD97" s="80"/>
      <c r="AE97" s="80"/>
      <c r="AF97" s="5" t="s">
        <v>41</v>
      </c>
      <c r="AG97" s="122">
        <f>AK85</f>
        <v>2</v>
      </c>
      <c r="AH97" s="122"/>
      <c r="AI97" s="122"/>
      <c r="AJ97" s="5" t="s">
        <v>139</v>
      </c>
      <c r="AO97" s="5" t="str">
        <f>IF(BA97=BJ97,"","( 第1列 )")</f>
        <v>( 第1列 )</v>
      </c>
      <c r="AU97" s="5" t="s">
        <v>255</v>
      </c>
      <c r="BA97" s="163">
        <v>14</v>
      </c>
      <c r="BB97" s="163"/>
      <c r="BD97" s="5" t="s">
        <v>256</v>
      </c>
      <c r="BJ97" s="163">
        <v>23</v>
      </c>
      <c r="BK97" s="163"/>
      <c r="BM97" s="1"/>
    </row>
    <row r="98" spans="3:24" ht="24.75" customHeight="1">
      <c r="C98" s="44"/>
      <c r="E98" s="44"/>
      <c r="G98" s="5" t="s">
        <v>34</v>
      </c>
      <c r="H98" s="89">
        <f>(I97-M97*Q97*U97*Y97-AC97*AG97)*1.1</f>
        <v>28113.800000000003</v>
      </c>
      <c r="I98" s="89"/>
      <c r="J98" s="89"/>
      <c r="K98" s="89"/>
      <c r="L98" s="5" t="str">
        <f>IF(H98&gt;AC91,"mm²  ＞  Asreq'd =","cm² ＜  Asreq'd =")</f>
        <v>mm²  ＞  Asreq'd =</v>
      </c>
      <c r="T98" s="89">
        <f>AC91</f>
        <v>22084.547622882706</v>
      </c>
      <c r="U98" s="89"/>
      <c r="V98" s="89"/>
      <c r="W98" s="89"/>
      <c r="X98" s="5" t="str">
        <f>IF(H98&gt;AC91,"mm²  O.K","mm²  N.G")</f>
        <v>mm²  O.K</v>
      </c>
    </row>
    <row r="99" spans="3:40" ht="24.75" customHeight="1">
      <c r="C99" s="44"/>
      <c r="D99" s="4" t="s">
        <v>243</v>
      </c>
      <c r="E99" s="4"/>
      <c r="F99" s="4"/>
      <c r="G99" s="4"/>
      <c r="H99" s="4"/>
      <c r="I99" s="4"/>
      <c r="J99" s="4"/>
      <c r="K99" s="4"/>
      <c r="P99" s="5" t="s">
        <v>89</v>
      </c>
      <c r="Q99" s="102">
        <f>AN87</f>
        <v>4637755.000805369</v>
      </c>
      <c r="R99" s="102"/>
      <c r="S99" s="102"/>
      <c r="T99" s="102"/>
      <c r="U99" s="102"/>
      <c r="V99" s="102"/>
      <c r="W99" s="17" t="s">
        <v>88</v>
      </c>
      <c r="X99" s="89">
        <f>H98</f>
        <v>28113.800000000003</v>
      </c>
      <c r="Y99" s="89"/>
      <c r="Z99" s="89"/>
      <c r="AA99" s="89"/>
      <c r="AB99" s="8" t="s">
        <v>34</v>
      </c>
      <c r="AC99" s="116">
        <f>Q99/X99</f>
        <v>164.96364777459354</v>
      </c>
      <c r="AD99" s="116"/>
      <c r="AE99" s="116"/>
      <c r="AF99" s="116"/>
      <c r="AG99" s="18" t="str">
        <f>IF(AC99&gt;O9,"N/㎟ ＞  σta ,  N.G","N/㎟ ＜  σta ,  O.K")</f>
        <v>N/㎟ ＜  σta ,  O.K</v>
      </c>
      <c r="AH99" s="18"/>
      <c r="AI99" s="18"/>
      <c r="AJ99" s="18"/>
      <c r="AK99" s="18"/>
      <c r="AL99" s="18"/>
      <c r="AM99" s="18"/>
      <c r="AN99" s="18"/>
    </row>
    <row r="100" spans="5:41" ht="24.75" customHeight="1">
      <c r="E100" s="5" t="s">
        <v>157</v>
      </c>
      <c r="H100" s="5" t="s">
        <v>87</v>
      </c>
      <c r="I100" s="124">
        <f>I97</f>
        <v>33300</v>
      </c>
      <c r="J100" s="124"/>
      <c r="K100" s="124"/>
      <c r="L100" s="5" t="s">
        <v>46</v>
      </c>
      <c r="M100" s="89">
        <f>M97</f>
        <v>25</v>
      </c>
      <c r="N100" s="89"/>
      <c r="O100" s="89"/>
      <c r="P100" s="5" t="s">
        <v>41</v>
      </c>
      <c r="Q100" s="89">
        <f>Q97</f>
        <v>10</v>
      </c>
      <c r="R100" s="89"/>
      <c r="S100" s="89"/>
      <c r="T100" s="5" t="s">
        <v>41</v>
      </c>
      <c r="U100" s="125">
        <f>BJ97</f>
        <v>23</v>
      </c>
      <c r="V100" s="125"/>
      <c r="W100" s="125"/>
      <c r="X100" s="5" t="s">
        <v>41</v>
      </c>
      <c r="Y100" s="122">
        <v>2</v>
      </c>
      <c r="Z100" s="122"/>
      <c r="AA100" s="122"/>
      <c r="AB100" s="5" t="s">
        <v>140</v>
      </c>
      <c r="AC100" s="80">
        <f>AC97</f>
        <v>371</v>
      </c>
      <c r="AD100" s="80"/>
      <c r="AE100" s="80"/>
      <c r="AF100" s="5" t="s">
        <v>41</v>
      </c>
      <c r="AG100" s="122">
        <f>AG97</f>
        <v>2</v>
      </c>
      <c r="AH100" s="122"/>
      <c r="AI100" s="122"/>
      <c r="AJ100" s="5" t="s">
        <v>139</v>
      </c>
      <c r="AO100" s="5" t="str">
        <f>IF(BA97=BJ97,"","( 第2列 )")</f>
        <v>( 第2列 )</v>
      </c>
    </row>
    <row r="101" spans="3:12" ht="24.75" customHeight="1">
      <c r="C101" s="44"/>
      <c r="E101" s="44"/>
      <c r="G101" s="5" t="s">
        <v>34</v>
      </c>
      <c r="H101" s="89">
        <f>(I100-M100*Q100*U100*Y100-AC100*AG100)*1.1</f>
        <v>23163.800000000003</v>
      </c>
      <c r="I101" s="89"/>
      <c r="J101" s="89"/>
      <c r="K101" s="89"/>
      <c r="L101" s="5" t="s">
        <v>101</v>
      </c>
    </row>
    <row r="102" spans="3:17" ht="24.75" customHeight="1">
      <c r="C102" s="44"/>
      <c r="D102" s="4" t="s">
        <v>244</v>
      </c>
      <c r="E102" s="4"/>
      <c r="F102" s="4"/>
      <c r="G102" s="4"/>
      <c r="H102" s="4"/>
      <c r="I102" s="4"/>
      <c r="J102" s="4"/>
      <c r="K102" s="4"/>
      <c r="Q102" s="5" t="str">
        <f>"("&amp;AE89&amp;" - "&amp;U97&amp;") / "&amp;AE89</f>
        <v>(83 - 14) / 83</v>
      </c>
    </row>
    <row r="103" spans="3:40" ht="24.75" customHeight="1">
      <c r="C103" s="44"/>
      <c r="D103" s="37"/>
      <c r="E103" s="37"/>
      <c r="F103" s="37"/>
      <c r="G103" s="37"/>
      <c r="H103" s="37"/>
      <c r="I103" s="37"/>
      <c r="J103" s="37"/>
      <c r="K103" s="5" t="s">
        <v>89</v>
      </c>
      <c r="L103" s="102">
        <f>Q99</f>
        <v>4637755.000805369</v>
      </c>
      <c r="M103" s="102"/>
      <c r="N103" s="102"/>
      <c r="O103" s="102"/>
      <c r="P103" s="102"/>
      <c r="Q103" s="102"/>
      <c r="R103" s="17" t="s">
        <v>88</v>
      </c>
      <c r="S103" s="89">
        <f>H101</f>
        <v>23163.800000000003</v>
      </c>
      <c r="T103" s="89"/>
      <c r="U103" s="89"/>
      <c r="V103" s="89"/>
      <c r="W103" s="5" t="s">
        <v>41</v>
      </c>
      <c r="X103" s="123">
        <f>(AE89-U97)/AE89</f>
        <v>0.8313253012048193</v>
      </c>
      <c r="Y103" s="123"/>
      <c r="Z103" s="123"/>
      <c r="AA103" s="8" t="s">
        <v>34</v>
      </c>
      <c r="AB103" s="116">
        <f>L103/S103*X103</f>
        <v>166.44432575651143</v>
      </c>
      <c r="AC103" s="116"/>
      <c r="AD103" s="116"/>
      <c r="AE103" s="116"/>
      <c r="AF103" s="18" t="str">
        <f>IF(AB103&gt;O9,"N/㎟ ＞  σta ,  N.G","N/㎟ ＜  σta ,  O.K")</f>
        <v>N/㎟ ＜  σta ,  O.K</v>
      </c>
      <c r="AG103" s="18"/>
      <c r="AH103" s="18"/>
      <c r="AI103" s="18"/>
      <c r="AJ103" s="18"/>
      <c r="AK103" s="18"/>
      <c r="AL103" s="18"/>
      <c r="AM103" s="18"/>
      <c r="AN103" s="36"/>
    </row>
    <row r="104" spans="3:17" ht="24.75" customHeight="1">
      <c r="C104" s="44"/>
      <c r="D104" s="37"/>
      <c r="E104" s="37"/>
      <c r="F104" s="37"/>
      <c r="G104" s="37"/>
      <c r="H104" s="37"/>
      <c r="I104" s="37"/>
      <c r="J104" s="37"/>
      <c r="L104" s="6"/>
      <c r="M104" s="6"/>
      <c r="N104" s="6"/>
      <c r="O104" s="6"/>
      <c r="P104" s="6"/>
      <c r="Q104" s="17"/>
    </row>
    <row r="105" ht="24.75" customHeight="1">
      <c r="C105" s="5" t="s">
        <v>192</v>
      </c>
    </row>
    <row r="106" ht="24.75" customHeight="1">
      <c r="C106" s="5" t="s">
        <v>193</v>
      </c>
    </row>
    <row r="107" spans="4:37" ht="24.75" customHeight="1">
      <c r="D107" s="4" t="s">
        <v>153</v>
      </c>
      <c r="E107" s="21"/>
      <c r="F107" s="21"/>
      <c r="G107" s="13"/>
      <c r="H107" s="13"/>
      <c r="I107" s="8"/>
      <c r="J107" s="120">
        <f>AN87</f>
        <v>4637755.000805369</v>
      </c>
      <c r="K107" s="120"/>
      <c r="L107" s="120"/>
      <c r="M107" s="120"/>
      <c r="N107" s="120"/>
      <c r="O107" s="120"/>
      <c r="P107" s="46" t="s">
        <v>88</v>
      </c>
      <c r="Q107" s="121">
        <f>AE89</f>
        <v>83</v>
      </c>
      <c r="R107" s="121"/>
      <c r="S107" s="121"/>
      <c r="T107" s="121"/>
      <c r="V107" s="8" t="s">
        <v>34</v>
      </c>
      <c r="W107" s="100">
        <f>J107/Q107</f>
        <v>55876.56627476348</v>
      </c>
      <c r="X107" s="100"/>
      <c r="Y107" s="100"/>
      <c r="Z107" s="100"/>
      <c r="AA107" s="18" t="s">
        <v>202</v>
      </c>
      <c r="AB107" s="8"/>
      <c r="AC107" s="8"/>
      <c r="AD107" s="18" t="str">
        <f>IF(W107&gt;AA10," ＞  ρa    N.G","＜ ρa    O.K")</f>
        <v>＜ ρa    O.K</v>
      </c>
      <c r="AE107" s="8"/>
      <c r="AF107" s="8"/>
      <c r="AG107" s="8"/>
      <c r="AH107" s="8"/>
      <c r="AI107" s="8"/>
      <c r="AJ107" s="8"/>
      <c r="AK107" s="8"/>
    </row>
    <row r="108" spans="4:37" ht="24.75" customHeight="1">
      <c r="D108" s="4"/>
      <c r="E108" s="21"/>
      <c r="F108" s="21"/>
      <c r="G108" s="13"/>
      <c r="H108" s="13"/>
      <c r="I108" s="8"/>
      <c r="J108" s="45"/>
      <c r="K108" s="45"/>
      <c r="L108" s="45"/>
      <c r="M108" s="45"/>
      <c r="N108" s="45"/>
      <c r="O108" s="46"/>
      <c r="P108" s="35"/>
      <c r="Q108" s="35"/>
      <c r="R108" s="35"/>
      <c r="S108" s="35"/>
      <c r="U108" s="8"/>
      <c r="V108" s="22"/>
      <c r="W108" s="22"/>
      <c r="X108" s="22"/>
      <c r="Y108" s="22"/>
      <c r="Z108" s="18"/>
      <c r="AA108" s="8"/>
      <c r="AB108" s="8"/>
      <c r="AC108" s="18"/>
      <c r="AD108" s="8"/>
      <c r="AE108" s="8"/>
      <c r="AF108" s="8"/>
      <c r="AG108" s="8"/>
      <c r="AH108" s="8"/>
      <c r="AI108" s="8"/>
      <c r="AJ108" s="8"/>
      <c r="AK108" s="8"/>
    </row>
    <row r="109" spans="3:38" ht="24.75" customHeight="1">
      <c r="C109" s="5" t="s">
        <v>206</v>
      </c>
      <c r="D109" s="21"/>
      <c r="E109" s="21"/>
      <c r="F109" s="21"/>
      <c r="G109" s="8"/>
      <c r="H109" s="8"/>
      <c r="I109" s="8"/>
      <c r="U109" s="8"/>
      <c r="V109" s="22"/>
      <c r="W109" s="22"/>
      <c r="X109" s="22"/>
      <c r="Y109" s="22"/>
      <c r="Z109" s="22"/>
      <c r="AA109" s="8"/>
      <c r="AB109" s="8"/>
      <c r="AC109" s="8"/>
      <c r="AD109" s="8"/>
      <c r="AE109" s="8"/>
      <c r="AF109" s="8"/>
      <c r="AG109" s="8"/>
      <c r="AH109" s="8"/>
      <c r="AI109" s="8"/>
      <c r="AJ109" s="8"/>
      <c r="AK109" s="8"/>
      <c r="AL109" s="8"/>
    </row>
    <row r="110" spans="4:47" ht="24.75" customHeight="1">
      <c r="D110" s="5" t="s">
        <v>205</v>
      </c>
      <c r="AU110" s="23"/>
    </row>
    <row r="111" spans="5:47" ht="24.75" customHeight="1">
      <c r="E111" s="5" t="s">
        <v>211</v>
      </c>
      <c r="AU111" s="23"/>
    </row>
    <row r="112" ht="24.75" customHeight="1">
      <c r="D112" s="5" t="s">
        <v>7</v>
      </c>
    </row>
    <row r="113" spans="3:36" ht="24.75" customHeight="1">
      <c r="C113" s="106" t="s">
        <v>49</v>
      </c>
      <c r="D113" s="106"/>
      <c r="E113" s="106"/>
      <c r="G113" s="105">
        <f>O6</f>
        <v>392.6304892</v>
      </c>
      <c r="H113" s="105"/>
      <c r="I113" s="105"/>
      <c r="J113" s="19" t="s">
        <v>41</v>
      </c>
      <c r="K113" s="97">
        <v>1000000</v>
      </c>
      <c r="L113" s="97"/>
      <c r="M113" s="97"/>
      <c r="N113" s="97"/>
      <c r="P113" s="106" t="s">
        <v>47</v>
      </c>
      <c r="Q113" s="106"/>
      <c r="R113" s="122">
        <f>Q107</f>
        <v>83</v>
      </c>
      <c r="S113" s="122"/>
      <c r="T113" s="122"/>
      <c r="U113" s="92" t="s">
        <v>34</v>
      </c>
      <c r="V113" s="92"/>
      <c r="W113" s="102">
        <f>ROUND((G113*K113/(I114*K114))/R113,1)</f>
        <v>1075.1</v>
      </c>
      <c r="X113" s="102"/>
      <c r="Y113" s="102"/>
      <c r="Z113" s="102"/>
      <c r="AA113" s="92" t="str">
        <f>IF(W113&gt;AA10,"N/本   ＞ ρa   N.G.","N/本  ＜  ρa   O.K.")</f>
        <v>N/本  ＜  ρa   O.K.</v>
      </c>
      <c r="AB113" s="92"/>
      <c r="AC113" s="92"/>
      <c r="AD113" s="92"/>
      <c r="AE113" s="92"/>
      <c r="AF113" s="92"/>
      <c r="AG113" s="92"/>
      <c r="AH113" s="92"/>
      <c r="AI113" s="92"/>
      <c r="AJ113" s="92"/>
    </row>
    <row r="114" spans="3:36" ht="24.75" customHeight="1">
      <c r="C114" s="106"/>
      <c r="D114" s="106"/>
      <c r="E114" s="106"/>
      <c r="I114" s="8">
        <v>2</v>
      </c>
      <c r="J114" s="14" t="s">
        <v>41</v>
      </c>
      <c r="K114" s="24">
        <f>AM147</f>
        <v>2200</v>
      </c>
      <c r="L114" s="25"/>
      <c r="M114" s="25"/>
      <c r="P114" s="106"/>
      <c r="Q114" s="106"/>
      <c r="R114" s="122"/>
      <c r="S114" s="122"/>
      <c r="T114" s="122"/>
      <c r="U114" s="92"/>
      <c r="V114" s="92"/>
      <c r="W114" s="102"/>
      <c r="X114" s="102"/>
      <c r="Y114" s="102"/>
      <c r="Z114" s="102"/>
      <c r="AA114" s="92"/>
      <c r="AB114" s="92"/>
      <c r="AC114" s="92"/>
      <c r="AD114" s="92"/>
      <c r="AE114" s="92"/>
      <c r="AF114" s="92"/>
      <c r="AG114" s="92"/>
      <c r="AH114" s="92"/>
      <c r="AI114" s="92"/>
      <c r="AJ114" s="92"/>
    </row>
    <row r="116" spans="3:9" ht="24.75" customHeight="1">
      <c r="C116" s="5" t="s">
        <v>212</v>
      </c>
      <c r="I116" s="23"/>
    </row>
    <row r="117" spans="4:31" ht="24.75" customHeight="1">
      <c r="D117" s="5" t="s">
        <v>50</v>
      </c>
      <c r="P117" s="119">
        <f>W107</f>
        <v>55876.56627476348</v>
      </c>
      <c r="Q117" s="119"/>
      <c r="R117" s="119"/>
      <c r="S117" s="119"/>
      <c r="T117" s="5" t="s">
        <v>48</v>
      </c>
      <c r="U117" s="104">
        <f>+W113</f>
        <v>1075.1</v>
      </c>
      <c r="V117" s="104"/>
      <c r="W117" s="104"/>
      <c r="X117" s="104"/>
      <c r="Y117" s="5" t="s">
        <v>33</v>
      </c>
      <c r="AA117" s="100">
        <f>ROUND(SQRT(P117^2+U117^2),1)</f>
        <v>55886.9</v>
      </c>
      <c r="AB117" s="100"/>
      <c r="AC117" s="100"/>
      <c r="AD117" s="100"/>
      <c r="AE117" s="5" t="str">
        <f>IF(AA117&gt;$AA$10,"N/本  ＞  ρa ,  N.G","N/本  ＜  ρa ,  O.K")</f>
        <v>N/本  ＜  ρa ,  O.K</v>
      </c>
    </row>
    <row r="119" spans="3:29" ht="24.75" customHeight="1">
      <c r="C119" s="5" t="s">
        <v>195</v>
      </c>
      <c r="Z119" s="6"/>
      <c r="AA119" s="6"/>
      <c r="AB119" s="6"/>
      <c r="AC119" s="6"/>
    </row>
    <row r="120" spans="4:40" ht="24.75" customHeight="1">
      <c r="D120" s="5" t="s">
        <v>196</v>
      </c>
      <c r="L120" s="5" t="s">
        <v>158</v>
      </c>
      <c r="O120" s="5" t="s">
        <v>87</v>
      </c>
      <c r="P120" s="92">
        <f>AM75</f>
        <v>2340</v>
      </c>
      <c r="Q120" s="92"/>
      <c r="R120" s="92"/>
      <c r="S120" s="8" t="s">
        <v>140</v>
      </c>
      <c r="T120" s="89">
        <f>H10+3</f>
        <v>25</v>
      </c>
      <c r="U120" s="89"/>
      <c r="V120" s="89"/>
      <c r="W120" s="5" t="s">
        <v>137</v>
      </c>
      <c r="X120" s="90">
        <f>U97</f>
        <v>14</v>
      </c>
      <c r="Y120" s="90"/>
      <c r="Z120" s="5" t="s">
        <v>144</v>
      </c>
      <c r="AA120" s="5" t="s">
        <v>41</v>
      </c>
      <c r="AB120" s="90">
        <f>AM74</f>
        <v>12</v>
      </c>
      <c r="AC120" s="90"/>
      <c r="AD120" s="5" t="s">
        <v>41</v>
      </c>
      <c r="AE120" s="92">
        <v>1.1</v>
      </c>
      <c r="AF120" s="92"/>
      <c r="AG120" s="5" t="s">
        <v>89</v>
      </c>
      <c r="AH120" s="102">
        <f>(P120-T120*X120)*AB120*AE120</f>
        <v>26268.000000000004</v>
      </c>
      <c r="AI120" s="102"/>
      <c r="AJ120" s="102"/>
      <c r="AK120" s="102"/>
      <c r="AL120" s="5" t="s">
        <v>101</v>
      </c>
      <c r="AN120" s="5" t="str">
        <f>IF(BA97=BJ97,"","( 第1列 )")</f>
        <v>( 第1列 )</v>
      </c>
    </row>
    <row r="121" spans="12:40" ht="24.75" customHeight="1">
      <c r="L121" s="5" t="s">
        <v>159</v>
      </c>
      <c r="O121" s="5" t="s">
        <v>87</v>
      </c>
      <c r="P121" s="92">
        <f>P120</f>
        <v>2340</v>
      </c>
      <c r="Q121" s="92"/>
      <c r="R121" s="92"/>
      <c r="S121" s="8" t="s">
        <v>140</v>
      </c>
      <c r="T121" s="89">
        <f>T120</f>
        <v>25</v>
      </c>
      <c r="U121" s="89"/>
      <c r="V121" s="89"/>
      <c r="W121" s="5" t="s">
        <v>41</v>
      </c>
      <c r="X121" s="90">
        <f>U100</f>
        <v>23</v>
      </c>
      <c r="Y121" s="90"/>
      <c r="Z121" s="5" t="s">
        <v>144</v>
      </c>
      <c r="AA121" s="5" t="s">
        <v>41</v>
      </c>
      <c r="AB121" s="90">
        <f>AB120</f>
        <v>12</v>
      </c>
      <c r="AC121" s="90"/>
      <c r="AD121" s="5" t="s">
        <v>41</v>
      </c>
      <c r="AE121" s="92">
        <v>1.1</v>
      </c>
      <c r="AF121" s="92"/>
      <c r="AG121" s="5" t="s">
        <v>89</v>
      </c>
      <c r="AH121" s="102">
        <f>(P121-T121*X121)*AB121*AE121</f>
        <v>23298.000000000004</v>
      </c>
      <c r="AI121" s="102"/>
      <c r="AJ121" s="102"/>
      <c r="AK121" s="102"/>
      <c r="AL121" s="5" t="s">
        <v>101</v>
      </c>
      <c r="AN121" s="5" t="str">
        <f>IF(BA97=BJ97,"","( 第2列 )")</f>
        <v>( 第2列 )</v>
      </c>
    </row>
    <row r="122" spans="4:38" ht="24.75" customHeight="1">
      <c r="D122" s="5" t="s">
        <v>198</v>
      </c>
      <c r="L122" s="5" t="s">
        <v>160</v>
      </c>
      <c r="O122" s="5" t="s">
        <v>87</v>
      </c>
      <c r="P122" s="92">
        <f>AB132</f>
        <v>150</v>
      </c>
      <c r="Q122" s="92"/>
      <c r="R122" s="92"/>
      <c r="S122" s="5" t="s">
        <v>41</v>
      </c>
      <c r="T122" s="90">
        <f>AB133</f>
        <v>14</v>
      </c>
      <c r="U122" s="90"/>
      <c r="V122" s="5" t="s">
        <v>140</v>
      </c>
      <c r="W122" s="112">
        <f>R86</f>
        <v>371</v>
      </c>
      <c r="X122" s="112"/>
      <c r="Y122" s="112"/>
      <c r="Z122" s="5" t="s">
        <v>144</v>
      </c>
      <c r="AA122" s="5" t="s">
        <v>41</v>
      </c>
      <c r="AB122" s="90">
        <f>AK85</f>
        <v>2</v>
      </c>
      <c r="AC122" s="90"/>
      <c r="AD122" s="5" t="s">
        <v>41</v>
      </c>
      <c r="AE122" s="92">
        <v>1.1</v>
      </c>
      <c r="AF122" s="92"/>
      <c r="AG122" s="5" t="s">
        <v>89</v>
      </c>
      <c r="AH122" s="102">
        <f>(P122*T122-W122)*AB122*AE122</f>
        <v>3803.8</v>
      </c>
      <c r="AI122" s="102"/>
      <c r="AJ122" s="102"/>
      <c r="AK122" s="102"/>
      <c r="AL122" s="5" t="s">
        <v>101</v>
      </c>
    </row>
    <row r="123" spans="4:43" ht="24.75" customHeight="1">
      <c r="D123" s="19" t="s">
        <v>21</v>
      </c>
      <c r="E123" s="19"/>
      <c r="F123" s="19"/>
      <c r="G123" s="19"/>
      <c r="H123" s="19"/>
      <c r="I123" s="19"/>
      <c r="J123" s="19"/>
      <c r="K123" s="19"/>
      <c r="L123" s="19" t="s">
        <v>161</v>
      </c>
      <c r="M123" s="19"/>
      <c r="N123" s="19"/>
      <c r="O123" s="19" t="s">
        <v>87</v>
      </c>
      <c r="P123" s="97">
        <f>L163/2</f>
        <v>13.13846339</v>
      </c>
      <c r="Q123" s="97"/>
      <c r="R123" s="97"/>
      <c r="S123" s="19" t="s">
        <v>41</v>
      </c>
      <c r="T123" s="117">
        <f>AM148</f>
        <v>12</v>
      </c>
      <c r="U123" s="117"/>
      <c r="V123" s="19" t="s">
        <v>144</v>
      </c>
      <c r="W123" s="19" t="s">
        <v>41</v>
      </c>
      <c r="X123" s="19">
        <v>2</v>
      </c>
      <c r="Y123" s="19"/>
      <c r="Z123" s="48"/>
      <c r="AA123" s="48"/>
      <c r="AB123" s="48"/>
      <c r="AC123" s="48"/>
      <c r="AD123" s="19"/>
      <c r="AE123" s="19"/>
      <c r="AF123" s="19"/>
      <c r="AG123" s="19" t="s">
        <v>89</v>
      </c>
      <c r="AH123" s="118">
        <f>P123*T123*X123</f>
        <v>315.32312136</v>
      </c>
      <c r="AI123" s="118"/>
      <c r="AJ123" s="118"/>
      <c r="AK123" s="118"/>
      <c r="AL123" s="19" t="s">
        <v>101</v>
      </c>
      <c r="AM123" s="19"/>
      <c r="AN123" s="19"/>
      <c r="AO123" s="19"/>
      <c r="AP123" s="19"/>
      <c r="AQ123" s="19"/>
    </row>
    <row r="124" spans="20:40" ht="24.75" customHeight="1">
      <c r="T124" s="28"/>
      <c r="U124" s="28"/>
      <c r="AE124" s="5" t="s">
        <v>162</v>
      </c>
      <c r="AH124" s="102">
        <f>AH120+AH122+AH123</f>
        <v>30387.123121360004</v>
      </c>
      <c r="AI124" s="102"/>
      <c r="AJ124" s="102"/>
      <c r="AK124" s="102"/>
      <c r="AL124" s="5" t="s">
        <v>101</v>
      </c>
      <c r="AN124" s="5" t="str">
        <f>IF(BA97=BJ97,"","( 第1列 )")</f>
        <v>( 第1列 )</v>
      </c>
    </row>
    <row r="125" spans="14:40" ht="24.75" customHeight="1">
      <c r="N125" s="6"/>
      <c r="O125" s="6"/>
      <c r="P125" s="6"/>
      <c r="Q125" s="6"/>
      <c r="T125" s="28"/>
      <c r="U125" s="28"/>
      <c r="Z125" s="6"/>
      <c r="AA125" s="6"/>
      <c r="AB125" s="6"/>
      <c r="AC125" s="6"/>
      <c r="AE125" s="5" t="s">
        <v>163</v>
      </c>
      <c r="AH125" s="102">
        <f>AH121+AH122+AH123</f>
        <v>27417.123121360004</v>
      </c>
      <c r="AI125" s="102"/>
      <c r="AJ125" s="102"/>
      <c r="AK125" s="102"/>
      <c r="AL125" s="5" t="s">
        <v>101</v>
      </c>
      <c r="AN125" s="5" t="str">
        <f>IF(BA97=BJ97,"","( 第2列 )")</f>
        <v>( 第2列 )</v>
      </c>
    </row>
    <row r="126" spans="4:39" ht="24.75" customHeight="1">
      <c r="D126" s="5" t="s">
        <v>199</v>
      </c>
      <c r="J126" s="5" t="s">
        <v>164</v>
      </c>
      <c r="M126" s="49" t="s">
        <v>165</v>
      </c>
      <c r="N126" s="6"/>
      <c r="O126" s="6"/>
      <c r="P126" s="6"/>
      <c r="S126" s="102">
        <f>AN87</f>
        <v>4637755.000805369</v>
      </c>
      <c r="T126" s="102"/>
      <c r="U126" s="102"/>
      <c r="V126" s="102"/>
      <c r="W126" s="102"/>
      <c r="X126" s="102"/>
      <c r="Y126" s="17" t="s">
        <v>88</v>
      </c>
      <c r="Z126" s="102">
        <f>AH124</f>
        <v>30387.123121360004</v>
      </c>
      <c r="AA126" s="102"/>
      <c r="AB126" s="102"/>
      <c r="AC126" s="102"/>
      <c r="AD126" s="6" t="s">
        <v>89</v>
      </c>
      <c r="AE126" s="116">
        <f>S126/Z126</f>
        <v>152.62237831081</v>
      </c>
      <c r="AF126" s="116"/>
      <c r="AG126" s="116"/>
      <c r="AH126" s="116"/>
      <c r="AI126" s="5" t="s">
        <v>145</v>
      </c>
      <c r="AM126" s="5" t="str">
        <f>IF(AE126&gt;O9,"＞  σta ,  N.G","＜  σta ,  O.K")</f>
        <v>＜  σta ,  O.K</v>
      </c>
    </row>
    <row r="127" spans="10:26" ht="24.75" customHeight="1">
      <c r="J127" s="5" t="s">
        <v>166</v>
      </c>
      <c r="M127" s="39" t="s">
        <v>167</v>
      </c>
      <c r="N127" s="25"/>
      <c r="O127" s="25"/>
      <c r="P127" s="50"/>
      <c r="Q127" s="25"/>
      <c r="R127" s="14" t="s">
        <v>41</v>
      </c>
      <c r="S127" s="49" t="str">
        <f>"("&amp;AE89&amp;" - "&amp;U97&amp;") / "&amp;AE89</f>
        <v>(83 - 14) / 83</v>
      </c>
      <c r="Y127" s="28"/>
      <c r="Z127" s="6"/>
    </row>
    <row r="128" spans="11:36" ht="24.75" customHeight="1">
      <c r="K128" s="38" t="s">
        <v>89</v>
      </c>
      <c r="L128" s="102">
        <f>S126</f>
        <v>4637755.000805369</v>
      </c>
      <c r="M128" s="102"/>
      <c r="N128" s="102"/>
      <c r="O128" s="102"/>
      <c r="P128" s="102"/>
      <c r="Q128" s="102"/>
      <c r="R128" s="17" t="s">
        <v>88</v>
      </c>
      <c r="S128" s="102">
        <f>AH125</f>
        <v>27417.123121360004</v>
      </c>
      <c r="T128" s="102"/>
      <c r="U128" s="102"/>
      <c r="V128" s="102"/>
      <c r="W128" s="5" t="s">
        <v>41</v>
      </c>
      <c r="X128" s="51">
        <f>(AE89-U97)/AE89</f>
        <v>0.8313253012048193</v>
      </c>
      <c r="Y128" s="51"/>
      <c r="Z128" s="51"/>
      <c r="AA128" s="6" t="s">
        <v>89</v>
      </c>
      <c r="AB128" s="116">
        <f>X128*L128/S128</f>
        <v>140.6231812102477</v>
      </c>
      <c r="AC128" s="116"/>
      <c r="AD128" s="116"/>
      <c r="AE128" s="116"/>
      <c r="AF128" s="5" t="s">
        <v>145</v>
      </c>
      <c r="AJ128" s="5" t="str">
        <f>IF(AB128&gt;O9,"＞  σta ,  N.G","＜  σta ,  O.K")</f>
        <v>＜  σta ,  O.K</v>
      </c>
    </row>
    <row r="129" spans="2:11" ht="24.75" customHeight="1">
      <c r="B129" s="5" t="s">
        <v>197</v>
      </c>
      <c r="H129" s="27"/>
      <c r="K129" s="9"/>
    </row>
    <row r="130" spans="7:9" ht="24.75" customHeight="1">
      <c r="G130" s="27"/>
      <c r="I130" s="27"/>
    </row>
    <row r="131" spans="5:17" ht="24.75" customHeight="1">
      <c r="E131" s="166"/>
      <c r="F131" s="166"/>
      <c r="G131" s="166"/>
      <c r="K131" s="29"/>
      <c r="L131" s="29"/>
      <c r="M131" s="29"/>
      <c r="N131" s="166"/>
      <c r="Q131" s="30"/>
    </row>
    <row r="132" spans="17:31" ht="24.75" customHeight="1">
      <c r="Q132" s="30"/>
      <c r="U132" s="31"/>
      <c r="V132" s="31"/>
      <c r="X132" s="5" t="s">
        <v>185</v>
      </c>
      <c r="AB132" s="163">
        <v>150</v>
      </c>
      <c r="AC132" s="163"/>
      <c r="AD132" s="163"/>
      <c r="AE132" s="5" t="s">
        <v>84</v>
      </c>
    </row>
    <row r="133" spans="17:31" ht="24.75" customHeight="1">
      <c r="Q133" s="30"/>
      <c r="R133" s="30"/>
      <c r="S133" s="32"/>
      <c r="T133" s="32"/>
      <c r="U133" s="167"/>
      <c r="V133" s="33"/>
      <c r="X133" s="5" t="s">
        <v>186</v>
      </c>
      <c r="AB133" s="163">
        <v>14</v>
      </c>
      <c r="AC133" s="163"/>
      <c r="AD133" s="163"/>
      <c r="AE133" s="5" t="s">
        <v>84</v>
      </c>
    </row>
    <row r="134" spans="1:3" ht="24.75" customHeight="1">
      <c r="A134" s="53"/>
      <c r="B134" s="53"/>
      <c r="C134" s="53"/>
    </row>
    <row r="136" ht="24.75" customHeight="1">
      <c r="C136" s="5" t="s">
        <v>181</v>
      </c>
    </row>
    <row r="137" spans="4:42" ht="24.75" customHeight="1">
      <c r="D137" s="52" t="s">
        <v>16</v>
      </c>
      <c r="E137" s="53"/>
      <c r="F137" s="53"/>
      <c r="G137" s="53"/>
      <c r="H137" s="53"/>
      <c r="I137" s="53"/>
      <c r="J137" s="53"/>
      <c r="K137" s="53"/>
      <c r="M137" s="52" t="s">
        <v>146</v>
      </c>
      <c r="N137" s="53"/>
      <c r="O137" s="95">
        <f>+AB133</f>
        <v>14</v>
      </c>
      <c r="P137" s="95"/>
      <c r="Q137" s="14" t="s">
        <v>41</v>
      </c>
      <c r="R137" s="114">
        <f>+AB132</f>
        <v>150</v>
      </c>
      <c r="S137" s="114"/>
      <c r="T137" s="114"/>
      <c r="U137" s="14" t="s">
        <v>140</v>
      </c>
      <c r="V137" s="115">
        <f>R86</f>
        <v>371</v>
      </c>
      <c r="W137" s="115"/>
      <c r="X137" s="115"/>
      <c r="Y137" s="115"/>
      <c r="Z137" s="5" t="s">
        <v>89</v>
      </c>
      <c r="AA137" s="39">
        <f>O137*R137-V137</f>
        <v>1729</v>
      </c>
      <c r="AB137" s="39"/>
      <c r="AC137" s="39"/>
      <c r="AD137" s="39"/>
      <c r="AE137" s="18" t="s">
        <v>101</v>
      </c>
      <c r="AO137" s="8"/>
      <c r="AP137" s="8"/>
    </row>
    <row r="138" spans="4:51" ht="24.75" customHeight="1">
      <c r="D138" s="5" t="str">
        <f>IF(O4&gt;0,"n = An σl / ρa","n = An σu / ρa")</f>
        <v>n = An σl / ρa</v>
      </c>
      <c r="G138" s="27"/>
      <c r="I138" s="27"/>
      <c r="K138" s="9" t="s">
        <v>89</v>
      </c>
      <c r="L138" s="39">
        <f>AA137</f>
        <v>1729</v>
      </c>
      <c r="M138" s="39"/>
      <c r="N138" s="39"/>
      <c r="O138" s="39"/>
      <c r="P138" s="14" t="s">
        <v>41</v>
      </c>
      <c r="Q138" s="108">
        <f>AE126</f>
        <v>152.62237831081</v>
      </c>
      <c r="R138" s="108"/>
      <c r="S138" s="108"/>
      <c r="T138" s="108"/>
      <c r="U138" s="17" t="s">
        <v>88</v>
      </c>
      <c r="V138" s="89">
        <f>R89</f>
        <v>96000</v>
      </c>
      <c r="W138" s="89"/>
      <c r="X138" s="89"/>
      <c r="Y138" s="89"/>
      <c r="AA138" s="8" t="s">
        <v>89</v>
      </c>
      <c r="AB138" s="113">
        <f>ROUND(L138*Q138/V138,1)</f>
        <v>2.7</v>
      </c>
      <c r="AC138" s="113"/>
      <c r="AD138" s="113"/>
      <c r="AE138" s="113"/>
      <c r="AF138" s="92" t="s">
        <v>43</v>
      </c>
      <c r="AG138" s="92"/>
      <c r="AH138" s="92"/>
      <c r="AI138" s="164">
        <v>5</v>
      </c>
      <c r="AJ138" s="164"/>
      <c r="AK138" s="164"/>
      <c r="AL138" s="170"/>
      <c r="AM138" s="8" t="s">
        <v>4</v>
      </c>
      <c r="AN138" s="8"/>
      <c r="AO138" s="8"/>
      <c r="AP138" s="5" t="str">
        <f>IF(AB138&lt;=AI138,"O.K.","N.G.")</f>
        <v>O.K.</v>
      </c>
      <c r="AW138" s="8"/>
      <c r="AY138" s="18"/>
    </row>
    <row r="139" ht="24.75" customHeight="1">
      <c r="C139" s="5" t="s">
        <v>239</v>
      </c>
    </row>
    <row r="140" spans="4:37" ht="24.75" customHeight="1">
      <c r="D140" s="92" t="s">
        <v>188</v>
      </c>
      <c r="E140" s="92"/>
      <c r="F140" s="92"/>
      <c r="G140" s="92"/>
      <c r="H140" s="92"/>
      <c r="I140" s="92"/>
      <c r="J140" s="92"/>
      <c r="K140" s="5" t="str">
        <f>IF(O4&gt;0,"An σl / σta","n = An σu / σta")</f>
        <v>An σl / σta</v>
      </c>
      <c r="Q140" s="5" t="s">
        <v>89</v>
      </c>
      <c r="R140" s="39">
        <f>AA137</f>
        <v>1729</v>
      </c>
      <c r="S140" s="39"/>
      <c r="T140" s="39"/>
      <c r="U140" s="39"/>
      <c r="V140" s="14" t="s">
        <v>41</v>
      </c>
      <c r="W140" s="108">
        <f>Q138</f>
        <v>152.62237831081</v>
      </c>
      <c r="X140" s="108"/>
      <c r="Y140" s="108"/>
      <c r="Z140" s="108"/>
      <c r="AA140" s="17" t="s">
        <v>88</v>
      </c>
      <c r="AB140" s="89">
        <f>O9</f>
        <v>210</v>
      </c>
      <c r="AC140" s="89"/>
      <c r="AD140" s="89"/>
      <c r="AE140" s="89"/>
      <c r="AF140" s="5" t="s">
        <v>89</v>
      </c>
      <c r="AG140" s="89">
        <f>R140*W140/AB140</f>
        <v>1256.5909147590025</v>
      </c>
      <c r="AH140" s="89"/>
      <c r="AI140" s="89"/>
      <c r="AJ140" s="89"/>
      <c r="AK140" s="5" t="s">
        <v>101</v>
      </c>
    </row>
    <row r="141" spans="4:54" ht="24.75" customHeight="1">
      <c r="D141" s="5" t="s">
        <v>240</v>
      </c>
      <c r="I141" s="165">
        <v>2</v>
      </c>
      <c r="J141" s="165"/>
      <c r="K141" s="165"/>
      <c r="L141" s="126">
        <v>80</v>
      </c>
      <c r="M141" s="126"/>
      <c r="N141" s="126"/>
      <c r="O141" s="92">
        <v>9</v>
      </c>
      <c r="P141" s="92"/>
      <c r="Q141" s="127">
        <v>780</v>
      </c>
      <c r="R141" s="127"/>
      <c r="S141" s="127"/>
      <c r="T141" s="127"/>
      <c r="U141" s="5" t="s">
        <v>31</v>
      </c>
      <c r="W141" s="89">
        <f>+L141*O141*I141</f>
        <v>1440</v>
      </c>
      <c r="X141" s="89"/>
      <c r="Y141" s="89"/>
      <c r="Z141" s="89"/>
      <c r="AA141" s="5" t="s">
        <v>101</v>
      </c>
      <c r="AD141" s="5" t="str">
        <f>IF(W141&gt;=AG140,"O.K.","N.G.")</f>
        <v>O.K.</v>
      </c>
      <c r="AX141" s="23"/>
      <c r="AZ141" s="23"/>
      <c r="BB141" s="23"/>
    </row>
    <row r="142" spans="46:54" ht="24.75" customHeight="1">
      <c r="AT142" s="4"/>
      <c r="BB142" s="8"/>
    </row>
    <row r="143" spans="2:14" ht="24.75" customHeight="1">
      <c r="B143" s="5" t="s">
        <v>17</v>
      </c>
      <c r="K143" s="7"/>
      <c r="M143" s="9"/>
      <c r="N143" s="4"/>
    </row>
    <row r="144" spans="3:9" ht="24.75" customHeight="1">
      <c r="C144" s="4" t="s">
        <v>6</v>
      </c>
      <c r="I144" s="23"/>
    </row>
    <row r="145" spans="3:9" ht="24.75" customHeight="1">
      <c r="C145" s="18" t="s">
        <v>8</v>
      </c>
      <c r="I145" s="23"/>
    </row>
    <row r="147" spans="8:42" ht="24.75" customHeight="1">
      <c r="H147" s="25"/>
      <c r="P147" s="33"/>
      <c r="V147" s="54"/>
      <c r="W147" s="54"/>
      <c r="X147" s="54"/>
      <c r="Y147" s="54"/>
      <c r="Z147" s="54"/>
      <c r="AA147" s="54"/>
      <c r="AB147" s="54"/>
      <c r="AC147" s="54"/>
      <c r="AD147" s="54"/>
      <c r="AE147" s="54"/>
      <c r="AF147" s="5" t="s">
        <v>22</v>
      </c>
      <c r="AM147" s="171">
        <v>2200</v>
      </c>
      <c r="AN147" s="171"/>
      <c r="AO147" s="171"/>
      <c r="AP147" s="171"/>
    </row>
    <row r="148" spans="8:42" ht="24.75" customHeight="1">
      <c r="H148" s="25"/>
      <c r="L148" s="25"/>
      <c r="P148" s="172"/>
      <c r="Q148" s="173"/>
      <c r="V148" s="54"/>
      <c r="W148" s="54"/>
      <c r="X148" s="54"/>
      <c r="Y148" s="54"/>
      <c r="Z148" s="54"/>
      <c r="AA148" s="54"/>
      <c r="AB148" s="54"/>
      <c r="AC148" s="54"/>
      <c r="AD148" s="54"/>
      <c r="AE148" s="54"/>
      <c r="AF148" s="5" t="s">
        <v>23</v>
      </c>
      <c r="AM148" s="171">
        <v>12</v>
      </c>
      <c r="AN148" s="171"/>
      <c r="AO148" s="171"/>
      <c r="AP148" s="171"/>
    </row>
    <row r="149" spans="16:32" ht="24.75" customHeight="1">
      <c r="P149" s="33"/>
      <c r="V149" s="54"/>
      <c r="W149" s="54"/>
      <c r="X149" s="54"/>
      <c r="Y149" s="54"/>
      <c r="Z149" s="54"/>
      <c r="AA149" s="54"/>
      <c r="AB149" s="54"/>
      <c r="AC149" s="54"/>
      <c r="AD149" s="54"/>
      <c r="AE149" s="54"/>
      <c r="AF149" s="54"/>
    </row>
    <row r="150" spans="22:32" ht="24.75" customHeight="1">
      <c r="V150" s="54"/>
      <c r="W150" s="54"/>
      <c r="X150" s="54"/>
      <c r="Y150" s="54"/>
      <c r="Z150" s="54"/>
      <c r="AA150" s="54"/>
      <c r="AB150" s="54"/>
      <c r="AC150" s="54"/>
      <c r="AD150" s="54"/>
      <c r="AE150" s="54"/>
      <c r="AF150" s="54"/>
    </row>
    <row r="151" spans="16:25" ht="24.75" customHeight="1">
      <c r="P151" s="54"/>
      <c r="R151" s="25"/>
      <c r="Y151" s="25"/>
    </row>
    <row r="152" spans="9:46" ht="24.75" customHeight="1">
      <c r="I152" s="44"/>
      <c r="P152" s="54"/>
      <c r="R152" s="54"/>
      <c r="AT152" s="174"/>
    </row>
    <row r="153" spans="9:18" ht="24.75" customHeight="1">
      <c r="I153" s="44"/>
      <c r="P153" s="54"/>
      <c r="R153" s="54"/>
    </row>
    <row r="154" spans="9:32" ht="24.75" customHeight="1">
      <c r="I154" s="44"/>
      <c r="P154" s="54"/>
      <c r="W154" s="23"/>
      <c r="AF154" s="54"/>
    </row>
    <row r="155" spans="9:32" ht="24.75" customHeight="1">
      <c r="I155" s="44"/>
      <c r="W155" s="23"/>
      <c r="X155" s="31"/>
      <c r="Y155" s="31"/>
      <c r="Z155" s="31"/>
      <c r="AA155" s="31"/>
      <c r="AB155" s="31"/>
      <c r="AC155" s="31"/>
      <c r="AF155" s="54"/>
    </row>
    <row r="156" spans="16:29" ht="24.75" customHeight="1">
      <c r="P156" s="33"/>
      <c r="W156" s="23"/>
      <c r="X156" s="31"/>
      <c r="Y156" s="31"/>
      <c r="AC156" s="23"/>
    </row>
    <row r="157" spans="16:29" ht="24.75" customHeight="1">
      <c r="P157" s="172"/>
      <c r="Q157" s="173"/>
      <c r="W157" s="23"/>
      <c r="X157" s="31"/>
      <c r="Y157" s="31"/>
      <c r="AC157" s="23"/>
    </row>
    <row r="158" spans="16:29" ht="24.75" customHeight="1">
      <c r="P158" s="33"/>
      <c r="T158" s="31"/>
      <c r="U158" s="31"/>
      <c r="Y158" s="23"/>
      <c r="Z158" s="31"/>
      <c r="AA158" s="31"/>
      <c r="AB158" s="31"/>
      <c r="AC158" s="31"/>
    </row>
    <row r="159" spans="8:23" ht="24.75" customHeight="1">
      <c r="H159" s="25"/>
      <c r="L159" s="25"/>
      <c r="W159" s="23"/>
    </row>
    <row r="160" spans="4:23" ht="24.75" customHeight="1">
      <c r="D160" s="17" t="s">
        <v>227</v>
      </c>
      <c r="W160" s="23"/>
    </row>
    <row r="161" spans="4:24" ht="24.75" customHeight="1">
      <c r="D161" s="5" t="s">
        <v>24</v>
      </c>
      <c r="I161" s="53"/>
      <c r="J161" s="53"/>
      <c r="K161" s="53"/>
      <c r="L161" s="53"/>
      <c r="S161" s="112">
        <f>(P15/(P15+P71)*AM147)/COS(RADIANS(AG6))</f>
        <v>946.302111356731</v>
      </c>
      <c r="T161" s="112"/>
      <c r="U161" s="112"/>
      <c r="V161" s="5" t="s">
        <v>84</v>
      </c>
      <c r="X161" s="5" t="str">
        <f>IF(AG6=0,"","( 傾斜長さ )")</f>
        <v>( 傾斜長さ )</v>
      </c>
    </row>
    <row r="162" spans="4:20" ht="24.75" customHeight="1">
      <c r="D162" s="111" t="s">
        <v>168</v>
      </c>
      <c r="E162" s="111"/>
      <c r="F162" s="111"/>
      <c r="G162" s="55">
        <f>IF(O4&gt;0,P15,P71)</f>
        <v>118.40000000025</v>
      </c>
      <c r="H162" s="56"/>
      <c r="I162" s="56"/>
      <c r="J162" s="56"/>
      <c r="K162" s="10" t="s">
        <v>218</v>
      </c>
      <c r="L162" s="10"/>
      <c r="P162" s="10"/>
      <c r="Q162" s="55"/>
      <c r="R162" s="56"/>
      <c r="S162" s="56"/>
      <c r="T162" s="56"/>
    </row>
    <row r="163" spans="4:24" ht="24.75" customHeight="1">
      <c r="D163" s="111" t="s">
        <v>117</v>
      </c>
      <c r="E163" s="111"/>
      <c r="F163" s="111"/>
      <c r="G163" s="111" t="s">
        <v>219</v>
      </c>
      <c r="H163" s="111"/>
      <c r="I163" s="111"/>
      <c r="J163" s="111"/>
      <c r="K163" s="111"/>
      <c r="L163" s="175">
        <v>26.27692678</v>
      </c>
      <c r="M163" s="175"/>
      <c r="N163" s="91"/>
      <c r="O163" s="58" t="s">
        <v>35</v>
      </c>
      <c r="P163" s="58"/>
      <c r="Q163" s="10" t="s">
        <v>34</v>
      </c>
      <c r="R163" s="55">
        <f>ROUND(G162*(S161-L163)/S161,3)</f>
        <v>115.112</v>
      </c>
      <c r="S163" s="56"/>
      <c r="T163" s="56"/>
      <c r="U163" s="56"/>
      <c r="V163" s="57"/>
      <c r="W163" s="10" t="s">
        <v>218</v>
      </c>
      <c r="X163" s="10"/>
    </row>
    <row r="164" spans="4:31" ht="24.75" customHeight="1">
      <c r="D164" s="111" t="s">
        <v>118</v>
      </c>
      <c r="E164" s="111"/>
      <c r="F164" s="111"/>
      <c r="G164" s="111" t="s">
        <v>219</v>
      </c>
      <c r="H164" s="111"/>
      <c r="I164" s="111"/>
      <c r="J164" s="111"/>
      <c r="K164" s="111"/>
      <c r="L164" s="175">
        <v>126.27692678</v>
      </c>
      <c r="M164" s="175"/>
      <c r="N164" s="91"/>
      <c r="O164" s="58" t="s">
        <v>35</v>
      </c>
      <c r="P164" s="58"/>
      <c r="Q164" s="10" t="s">
        <v>34</v>
      </c>
      <c r="R164" s="55">
        <f>ROUND(G162*(S161-L164)/S161,3)</f>
        <v>102.6</v>
      </c>
      <c r="S164" s="56"/>
      <c r="T164" s="56"/>
      <c r="U164" s="56"/>
      <c r="V164" s="57"/>
      <c r="W164" s="10" t="s">
        <v>218</v>
      </c>
      <c r="X164" s="10"/>
      <c r="Y164" s="10"/>
      <c r="Z164" s="55"/>
      <c r="AA164" s="56"/>
      <c r="AB164" s="56"/>
      <c r="AC164" s="56"/>
      <c r="AD164" s="57"/>
      <c r="AE164" s="10"/>
    </row>
    <row r="165" spans="4:31" ht="24.75" customHeight="1">
      <c r="D165" s="111" t="s">
        <v>119</v>
      </c>
      <c r="E165" s="111"/>
      <c r="F165" s="111"/>
      <c r="G165" s="111" t="s">
        <v>219</v>
      </c>
      <c r="H165" s="111"/>
      <c r="I165" s="111"/>
      <c r="J165" s="111"/>
      <c r="K165" s="111"/>
      <c r="L165" s="175">
        <v>226.27692678</v>
      </c>
      <c r="M165" s="175"/>
      <c r="N165" s="91"/>
      <c r="O165" s="58" t="s">
        <v>35</v>
      </c>
      <c r="P165" s="58"/>
      <c r="Q165" s="10" t="s">
        <v>34</v>
      </c>
      <c r="R165" s="55">
        <f>ROUND(G162*(S161-L165)/S161,3)</f>
        <v>90.089</v>
      </c>
      <c r="S165" s="56"/>
      <c r="T165" s="56"/>
      <c r="U165" s="56"/>
      <c r="V165" s="57"/>
      <c r="W165" s="10" t="s">
        <v>218</v>
      </c>
      <c r="X165" s="10"/>
      <c r="Y165" s="10"/>
      <c r="Z165" s="55"/>
      <c r="AA165" s="56"/>
      <c r="AB165" s="56"/>
      <c r="AC165" s="56"/>
      <c r="AD165" s="57"/>
      <c r="AE165" s="10"/>
    </row>
    <row r="166" spans="4:31" ht="24.75" customHeight="1">
      <c r="D166" s="111" t="s">
        <v>120</v>
      </c>
      <c r="E166" s="111"/>
      <c r="F166" s="111"/>
      <c r="G166" s="111" t="s">
        <v>219</v>
      </c>
      <c r="H166" s="111"/>
      <c r="I166" s="111"/>
      <c r="J166" s="111"/>
      <c r="K166" s="111"/>
      <c r="L166" s="175">
        <v>326.27692678</v>
      </c>
      <c r="M166" s="175"/>
      <c r="N166" s="91"/>
      <c r="O166" s="58" t="s">
        <v>35</v>
      </c>
      <c r="P166" s="58"/>
      <c r="Q166" s="10" t="s">
        <v>34</v>
      </c>
      <c r="R166" s="55">
        <f>ROUND(G162*(S161-L166)/S161,3)</f>
        <v>77.577</v>
      </c>
      <c r="S166" s="56"/>
      <c r="T166" s="56"/>
      <c r="U166" s="56"/>
      <c r="V166" s="57"/>
      <c r="W166" s="10" t="s">
        <v>218</v>
      </c>
      <c r="X166" s="10"/>
      <c r="Y166" s="10"/>
      <c r="Z166" s="55"/>
      <c r="AA166" s="56"/>
      <c r="AB166" s="56"/>
      <c r="AC166" s="56"/>
      <c r="AD166" s="57"/>
      <c r="AE166" s="10"/>
    </row>
    <row r="167" spans="4:31" ht="24.75" customHeight="1">
      <c r="D167" s="111" t="s">
        <v>121</v>
      </c>
      <c r="E167" s="111"/>
      <c r="F167" s="111"/>
      <c r="G167" s="111" t="s">
        <v>219</v>
      </c>
      <c r="H167" s="111"/>
      <c r="I167" s="111"/>
      <c r="J167" s="111"/>
      <c r="K167" s="111"/>
      <c r="L167" s="175">
        <v>426.27692678</v>
      </c>
      <c r="M167" s="175"/>
      <c r="N167" s="91"/>
      <c r="O167" s="58" t="s">
        <v>35</v>
      </c>
      <c r="P167" s="58"/>
      <c r="Q167" s="10" t="s">
        <v>34</v>
      </c>
      <c r="R167" s="55">
        <f>ROUND(G162*(S161-L167)/S161,3)</f>
        <v>65.065</v>
      </c>
      <c r="S167" s="56"/>
      <c r="T167" s="56"/>
      <c r="U167" s="56"/>
      <c r="V167" s="57"/>
      <c r="W167" s="10" t="s">
        <v>218</v>
      </c>
      <c r="X167" s="10"/>
      <c r="Y167" s="10"/>
      <c r="Z167" s="55"/>
      <c r="AA167" s="56"/>
      <c r="AB167" s="56"/>
      <c r="AC167" s="56"/>
      <c r="AD167" s="57"/>
      <c r="AE167" s="10"/>
    </row>
    <row r="168" spans="4:31" ht="24.75" customHeight="1">
      <c r="D168" s="111" t="s">
        <v>122</v>
      </c>
      <c r="E168" s="111"/>
      <c r="F168" s="111"/>
      <c r="G168" s="111" t="s">
        <v>219</v>
      </c>
      <c r="H168" s="111"/>
      <c r="I168" s="111"/>
      <c r="J168" s="111"/>
      <c r="K168" s="111"/>
      <c r="L168" s="175">
        <v>526.27692678</v>
      </c>
      <c r="M168" s="175"/>
      <c r="N168" s="91"/>
      <c r="O168" s="58" t="s">
        <v>35</v>
      </c>
      <c r="P168" s="58"/>
      <c r="Q168" s="10" t="s">
        <v>34</v>
      </c>
      <c r="R168" s="55">
        <f>ROUND(G162*(S161-L168)/S161,3)</f>
        <v>52.553</v>
      </c>
      <c r="S168" s="56"/>
      <c r="T168" s="56"/>
      <c r="U168" s="56"/>
      <c r="V168" s="57"/>
      <c r="W168" s="10" t="s">
        <v>218</v>
      </c>
      <c r="X168" s="10"/>
      <c r="Y168" s="10"/>
      <c r="Z168" s="55"/>
      <c r="AA168" s="56"/>
      <c r="AB168" s="56"/>
      <c r="AC168" s="56"/>
      <c r="AD168" s="57"/>
      <c r="AE168" s="10"/>
    </row>
    <row r="169" spans="4:25" ht="24.75" customHeight="1">
      <c r="D169" s="47"/>
      <c r="E169" s="47"/>
      <c r="F169" s="47"/>
      <c r="G169" s="47"/>
      <c r="H169" s="47"/>
      <c r="I169" s="47"/>
      <c r="J169" s="47"/>
      <c r="K169" s="47"/>
      <c r="L169" s="56"/>
      <c r="M169" s="56"/>
      <c r="N169" s="47"/>
      <c r="O169" s="47"/>
      <c r="P169" s="47"/>
      <c r="Q169" s="10"/>
      <c r="R169" s="55"/>
      <c r="S169" s="56"/>
      <c r="T169" s="56"/>
      <c r="U169" s="56"/>
      <c r="V169" s="57"/>
      <c r="W169" s="10"/>
      <c r="X169" s="10"/>
      <c r="Y169" s="10"/>
    </row>
    <row r="170" spans="4:36" ht="24.75" customHeight="1">
      <c r="D170" s="110" t="s">
        <v>169</v>
      </c>
      <c r="E170" s="110"/>
      <c r="F170" s="110"/>
      <c r="G170" s="110"/>
      <c r="H170" s="59" t="s">
        <v>87</v>
      </c>
      <c r="I170" s="107">
        <f>G162</f>
        <v>118.40000000025</v>
      </c>
      <c r="J170" s="107"/>
      <c r="K170" s="107"/>
      <c r="L170" s="107"/>
      <c r="M170" s="14" t="s">
        <v>48</v>
      </c>
      <c r="N170" s="107">
        <f aca="true" t="shared" si="0" ref="N170:N175">R163</f>
        <v>115.112</v>
      </c>
      <c r="O170" s="107"/>
      <c r="P170" s="107"/>
      <c r="Q170" s="107"/>
      <c r="R170" s="60" t="s">
        <v>170</v>
      </c>
      <c r="S170" s="56"/>
      <c r="T170" s="56"/>
      <c r="U170" s="56"/>
      <c r="V170" s="108">
        <f>L163</f>
        <v>26.27692678</v>
      </c>
      <c r="W170" s="108"/>
      <c r="X170" s="108"/>
      <c r="Y170" s="14" t="s">
        <v>137</v>
      </c>
      <c r="Z170" s="108">
        <f>AM148</f>
        <v>12</v>
      </c>
      <c r="AA170" s="108"/>
      <c r="AB170" s="108"/>
      <c r="AC170" s="5" t="s">
        <v>89</v>
      </c>
      <c r="AD170" s="109">
        <f>(I170+N170)/2*V170*Z170</f>
        <v>36815.86635754757</v>
      </c>
      <c r="AE170" s="109"/>
      <c r="AF170" s="109"/>
      <c r="AG170" s="109"/>
      <c r="AH170" s="109"/>
      <c r="AI170" s="5" t="s">
        <v>113</v>
      </c>
      <c r="AJ170" s="5" t="s">
        <v>18</v>
      </c>
    </row>
    <row r="171" spans="4:46" ht="24.75" customHeight="1">
      <c r="D171" s="92" t="s">
        <v>228</v>
      </c>
      <c r="E171" s="92"/>
      <c r="F171" s="92"/>
      <c r="G171" s="92"/>
      <c r="H171" s="14" t="s">
        <v>87</v>
      </c>
      <c r="I171" s="107">
        <f>R163</f>
        <v>115.112</v>
      </c>
      <c r="J171" s="107"/>
      <c r="K171" s="107"/>
      <c r="L171" s="107"/>
      <c r="M171" s="14" t="s">
        <v>48</v>
      </c>
      <c r="N171" s="107">
        <f t="shared" si="0"/>
        <v>102.6</v>
      </c>
      <c r="O171" s="107"/>
      <c r="P171" s="107"/>
      <c r="Q171" s="107"/>
      <c r="R171" s="61" t="s">
        <v>171</v>
      </c>
      <c r="S171" s="36"/>
      <c r="T171" s="8">
        <v>2</v>
      </c>
      <c r="U171" s="62" t="s">
        <v>137</v>
      </c>
      <c r="V171" s="63">
        <f>L164-L163</f>
        <v>100</v>
      </c>
      <c r="W171" s="63"/>
      <c r="X171" s="63"/>
      <c r="Y171" s="64" t="s">
        <v>137</v>
      </c>
      <c r="Z171" s="24">
        <f>Z170</f>
        <v>12</v>
      </c>
      <c r="AA171" s="25"/>
      <c r="AB171" s="24"/>
      <c r="AC171" s="65" t="s">
        <v>47</v>
      </c>
      <c r="AD171" s="66">
        <v>2</v>
      </c>
      <c r="AE171" s="66"/>
      <c r="AF171" s="66"/>
      <c r="AG171" s="8" t="s">
        <v>34</v>
      </c>
      <c r="AH171" s="63">
        <f>ROUND(+(I171+N171)/T171*V171*Z171/AD171,1)</f>
        <v>65313.6</v>
      </c>
      <c r="AI171" s="63"/>
      <c r="AJ171" s="63"/>
      <c r="AK171" s="63"/>
      <c r="AL171" s="92" t="str">
        <f>IF(AH171&gt;+V138,"N/本  ＞  ρa   N.G.","N/本  ＜  ρa   O.K.")</f>
        <v>N/本  ＜  ρa   O.K.</v>
      </c>
      <c r="AM171" s="92"/>
      <c r="AN171" s="92"/>
      <c r="AO171" s="92"/>
      <c r="AP171" s="92"/>
      <c r="AQ171" s="92"/>
      <c r="AR171" s="92"/>
      <c r="AS171" s="92"/>
      <c r="AT171" s="92"/>
    </row>
    <row r="172" spans="4:46" ht="24.75" customHeight="1">
      <c r="D172" s="92" t="s">
        <v>250</v>
      </c>
      <c r="E172" s="92"/>
      <c r="F172" s="92"/>
      <c r="G172" s="92"/>
      <c r="H172" s="14" t="s">
        <v>87</v>
      </c>
      <c r="I172" s="107">
        <f>N171</f>
        <v>102.6</v>
      </c>
      <c r="J172" s="107"/>
      <c r="K172" s="107"/>
      <c r="L172" s="107"/>
      <c r="M172" s="14" t="s">
        <v>48</v>
      </c>
      <c r="N172" s="107">
        <f t="shared" si="0"/>
        <v>90.089</v>
      </c>
      <c r="O172" s="107"/>
      <c r="P172" s="107"/>
      <c r="Q172" s="107"/>
      <c r="R172" s="61" t="s">
        <v>171</v>
      </c>
      <c r="S172" s="36"/>
      <c r="T172" s="8">
        <v>2</v>
      </c>
      <c r="U172" s="62" t="s">
        <v>137</v>
      </c>
      <c r="V172" s="63">
        <f>(L165-L164)</f>
        <v>100</v>
      </c>
      <c r="W172" s="67"/>
      <c r="X172" s="24"/>
      <c r="Y172" s="64" t="s">
        <v>137</v>
      </c>
      <c r="Z172" s="24">
        <f>Z170</f>
        <v>12</v>
      </c>
      <c r="AA172" s="24"/>
      <c r="AB172" s="24"/>
      <c r="AC172" s="65" t="s">
        <v>47</v>
      </c>
      <c r="AD172" s="66">
        <v>2</v>
      </c>
      <c r="AE172" s="66"/>
      <c r="AF172" s="66"/>
      <c r="AG172" s="8" t="s">
        <v>34</v>
      </c>
      <c r="AH172" s="63">
        <f>ROUND(+(I172+N172)/T172*V172*Z172/AD172,1)</f>
        <v>57806.7</v>
      </c>
      <c r="AI172" s="63"/>
      <c r="AJ172" s="63"/>
      <c r="AK172" s="63"/>
      <c r="AL172" s="92" t="str">
        <f>IF(AH172&gt;+V138,"N/本  ＞  ρa   N.G.","N/本  ＜  ρa   O.K.")</f>
        <v>N/本  ＜  ρa   O.K.</v>
      </c>
      <c r="AM172" s="92"/>
      <c r="AN172" s="92"/>
      <c r="AO172" s="92"/>
      <c r="AP172" s="92"/>
      <c r="AQ172" s="92"/>
      <c r="AR172" s="92"/>
      <c r="AS172" s="92"/>
      <c r="AT172" s="92"/>
    </row>
    <row r="173" spans="4:46" ht="24.75" customHeight="1">
      <c r="D173" s="92" t="s">
        <v>251</v>
      </c>
      <c r="E173" s="92"/>
      <c r="F173" s="92"/>
      <c r="G173" s="92"/>
      <c r="H173" s="14" t="s">
        <v>87</v>
      </c>
      <c r="I173" s="107">
        <f>N172</f>
        <v>90.089</v>
      </c>
      <c r="J173" s="107"/>
      <c r="K173" s="107"/>
      <c r="L173" s="107"/>
      <c r="M173" s="14" t="s">
        <v>48</v>
      </c>
      <c r="N173" s="107">
        <f t="shared" si="0"/>
        <v>77.577</v>
      </c>
      <c r="O173" s="107"/>
      <c r="P173" s="107"/>
      <c r="Q173" s="107"/>
      <c r="R173" s="61" t="s">
        <v>171</v>
      </c>
      <c r="S173" s="36"/>
      <c r="T173" s="8">
        <v>2</v>
      </c>
      <c r="U173" s="62" t="s">
        <v>137</v>
      </c>
      <c r="V173" s="63">
        <f>(L166-L165)</f>
        <v>100</v>
      </c>
      <c r="W173" s="67"/>
      <c r="X173" s="24"/>
      <c r="Y173" s="64" t="s">
        <v>137</v>
      </c>
      <c r="Z173" s="24">
        <f>Z170</f>
        <v>12</v>
      </c>
      <c r="AA173" s="24"/>
      <c r="AB173" s="24"/>
      <c r="AC173" s="65" t="s">
        <v>47</v>
      </c>
      <c r="AD173" s="66">
        <v>2</v>
      </c>
      <c r="AE173" s="66"/>
      <c r="AF173" s="66"/>
      <c r="AG173" s="8" t="s">
        <v>34</v>
      </c>
      <c r="AH173" s="63">
        <f>ROUND(+(I173+N173)/T173*V173*Z173/AD173,1)</f>
        <v>50299.8</v>
      </c>
      <c r="AI173" s="63"/>
      <c r="AJ173" s="63"/>
      <c r="AK173" s="63"/>
      <c r="AL173" s="92" t="str">
        <f>IF(AH173&gt;+V138,"N/本  ＞  ρa   N.G.","N/本  ＜  ρa   O.K.")</f>
        <v>N/本  ＜  ρa   O.K.</v>
      </c>
      <c r="AM173" s="92"/>
      <c r="AN173" s="92"/>
      <c r="AO173" s="92"/>
      <c r="AP173" s="92"/>
      <c r="AQ173" s="92"/>
      <c r="AR173" s="92"/>
      <c r="AS173" s="92"/>
      <c r="AT173" s="92"/>
    </row>
    <row r="174" spans="4:46" ht="24.75" customHeight="1">
      <c r="D174" s="92" t="s">
        <v>252</v>
      </c>
      <c r="E174" s="92"/>
      <c r="F174" s="92"/>
      <c r="G174" s="92"/>
      <c r="H174" s="14" t="s">
        <v>87</v>
      </c>
      <c r="I174" s="107">
        <f>N173</f>
        <v>77.577</v>
      </c>
      <c r="J174" s="107"/>
      <c r="K174" s="107"/>
      <c r="L174" s="107"/>
      <c r="M174" s="14" t="s">
        <v>48</v>
      </c>
      <c r="N174" s="107">
        <f t="shared" si="0"/>
        <v>65.065</v>
      </c>
      <c r="O174" s="107"/>
      <c r="P174" s="107"/>
      <c r="Q174" s="107"/>
      <c r="R174" s="61" t="s">
        <v>171</v>
      </c>
      <c r="S174" s="36"/>
      <c r="T174" s="8">
        <v>2</v>
      </c>
      <c r="U174" s="62" t="s">
        <v>137</v>
      </c>
      <c r="V174" s="63">
        <f>(L167-L166)</f>
        <v>100</v>
      </c>
      <c r="W174" s="67"/>
      <c r="X174" s="24"/>
      <c r="Y174" s="64" t="s">
        <v>137</v>
      </c>
      <c r="Z174" s="24">
        <f>Z170</f>
        <v>12</v>
      </c>
      <c r="AA174" s="24"/>
      <c r="AB174" s="24"/>
      <c r="AC174" s="65" t="s">
        <v>47</v>
      </c>
      <c r="AD174" s="66">
        <v>2</v>
      </c>
      <c r="AE174" s="66"/>
      <c r="AF174" s="66"/>
      <c r="AG174" s="8" t="s">
        <v>34</v>
      </c>
      <c r="AH174" s="63">
        <f>ROUND(+(I174+N174)/T174*V174*Z174/AD174,1)</f>
        <v>42792.6</v>
      </c>
      <c r="AI174" s="63"/>
      <c r="AJ174" s="63"/>
      <c r="AK174" s="63"/>
      <c r="AL174" s="92" t="str">
        <f>IF(AH174&gt;+V138,"N/本  ＞  ρa   N.G.","N/本  ＜  ρa   O.K.")</f>
        <v>N/本  ＜  ρa   O.K.</v>
      </c>
      <c r="AM174" s="92"/>
      <c r="AN174" s="92"/>
      <c r="AO174" s="92"/>
      <c r="AP174" s="92"/>
      <c r="AQ174" s="92"/>
      <c r="AR174" s="92"/>
      <c r="AS174" s="92"/>
      <c r="AT174" s="92"/>
    </row>
    <row r="175" spans="4:46" ht="24.75" customHeight="1">
      <c r="D175" s="92" t="s">
        <v>253</v>
      </c>
      <c r="E175" s="92"/>
      <c r="F175" s="92"/>
      <c r="G175" s="92"/>
      <c r="H175" s="14" t="s">
        <v>87</v>
      </c>
      <c r="I175" s="107">
        <f>N174</f>
        <v>65.065</v>
      </c>
      <c r="J175" s="107"/>
      <c r="K175" s="107"/>
      <c r="L175" s="107"/>
      <c r="M175" s="14" t="s">
        <v>48</v>
      </c>
      <c r="N175" s="107">
        <f t="shared" si="0"/>
        <v>52.553</v>
      </c>
      <c r="O175" s="107"/>
      <c r="P175" s="107"/>
      <c r="Q175" s="107"/>
      <c r="R175" s="61" t="s">
        <v>171</v>
      </c>
      <c r="S175" s="36"/>
      <c r="T175" s="8">
        <v>2</v>
      </c>
      <c r="U175" s="62" t="s">
        <v>137</v>
      </c>
      <c r="V175" s="63">
        <f>(L168-L167)</f>
        <v>100.00000000000006</v>
      </c>
      <c r="W175" s="67"/>
      <c r="X175" s="24"/>
      <c r="Y175" s="64" t="s">
        <v>137</v>
      </c>
      <c r="Z175" s="24">
        <f>Z170</f>
        <v>12</v>
      </c>
      <c r="AA175" s="24"/>
      <c r="AB175" s="24"/>
      <c r="AC175" s="65" t="s">
        <v>47</v>
      </c>
      <c r="AD175" s="66">
        <v>2</v>
      </c>
      <c r="AE175" s="66"/>
      <c r="AF175" s="66"/>
      <c r="AG175" s="8" t="s">
        <v>34</v>
      </c>
      <c r="AH175" s="63">
        <f>ROUND(+(I175+N175)/T175*V175*Z175/AD175,1)</f>
        <v>35285.4</v>
      </c>
      <c r="AI175" s="63"/>
      <c r="AJ175" s="63"/>
      <c r="AK175" s="63"/>
      <c r="AL175" s="92" t="str">
        <f>IF(AH175&gt;+V138,"N/本  ＞  ρa   N.G.","N/本  ＜  ρa   O.K.")</f>
        <v>N/本  ＜  ρa   O.K.</v>
      </c>
      <c r="AM175" s="92"/>
      <c r="AN175" s="92"/>
      <c r="AO175" s="92"/>
      <c r="AP175" s="92"/>
      <c r="AQ175" s="92"/>
      <c r="AR175" s="92"/>
      <c r="AS175" s="92"/>
      <c r="AT175" s="92"/>
    </row>
    <row r="176" spans="4:25" ht="24.75" customHeight="1">
      <c r="D176" s="47"/>
      <c r="E176" s="47"/>
      <c r="F176" s="47"/>
      <c r="G176" s="47"/>
      <c r="H176" s="47"/>
      <c r="I176" s="47"/>
      <c r="J176" s="47"/>
      <c r="K176" s="47"/>
      <c r="L176" s="56"/>
      <c r="M176" s="56"/>
      <c r="N176" s="47"/>
      <c r="O176" s="47"/>
      <c r="P176" s="47"/>
      <c r="Q176" s="10"/>
      <c r="R176" s="55"/>
      <c r="S176" s="56"/>
      <c r="T176" s="56"/>
      <c r="U176" s="56"/>
      <c r="V176" s="57"/>
      <c r="W176" s="10"/>
      <c r="X176" s="10"/>
      <c r="Y176" s="10"/>
    </row>
    <row r="177" spans="4:23" ht="24.75" customHeight="1">
      <c r="D177" s="17" t="s">
        <v>229</v>
      </c>
      <c r="W177" s="23"/>
    </row>
    <row r="178" spans="4:24" ht="24.75" customHeight="1">
      <c r="D178" s="5" t="s">
        <v>19</v>
      </c>
      <c r="I178" s="53"/>
      <c r="J178" s="53"/>
      <c r="K178" s="53"/>
      <c r="L178" s="53"/>
      <c r="S178" s="112">
        <f>(P71/(P15+P71)*AM147)/COS(RADIANS(AG6))</f>
        <v>1258.8055957632637</v>
      </c>
      <c r="T178" s="112"/>
      <c r="U178" s="112"/>
      <c r="V178" s="5" t="s">
        <v>84</v>
      </c>
      <c r="X178" s="5" t="str">
        <f>IF(AG6=0,"","( 傾斜長さ )")</f>
        <v>( 傾斜長さ )</v>
      </c>
    </row>
    <row r="179" spans="4:22" ht="24.75" customHeight="1">
      <c r="D179" s="111" t="s">
        <v>172</v>
      </c>
      <c r="E179" s="111"/>
      <c r="F179" s="111"/>
      <c r="G179" s="55">
        <f>IF(O4&gt;0,P71,P15)</f>
        <v>157.5</v>
      </c>
      <c r="H179" s="56"/>
      <c r="I179" s="56"/>
      <c r="J179" s="56"/>
      <c r="K179" s="10" t="s">
        <v>218</v>
      </c>
      <c r="L179" s="10"/>
      <c r="P179" s="10"/>
      <c r="Q179" s="55"/>
      <c r="R179" s="56"/>
      <c r="S179" s="56"/>
      <c r="T179" s="56"/>
      <c r="U179" s="57"/>
      <c r="V179" s="10"/>
    </row>
    <row r="180" spans="4:24" ht="24.75" customHeight="1">
      <c r="D180" s="111" t="s">
        <v>117</v>
      </c>
      <c r="E180" s="111"/>
      <c r="F180" s="111"/>
      <c r="G180" s="111" t="s">
        <v>219</v>
      </c>
      <c r="H180" s="111"/>
      <c r="I180" s="111"/>
      <c r="J180" s="111"/>
      <c r="K180" s="111"/>
      <c r="L180" s="91">
        <f aca="true" t="shared" si="1" ref="L180:L185">L163</f>
        <v>26.27692678</v>
      </c>
      <c r="M180" s="91"/>
      <c r="N180" s="91"/>
      <c r="O180" s="58" t="s">
        <v>35</v>
      </c>
      <c r="P180" s="58"/>
      <c r="Q180" s="10" t="s">
        <v>34</v>
      </c>
      <c r="R180" s="55">
        <f>ROUND(G179*(S178-L180)/S178,3)</f>
        <v>154.212</v>
      </c>
      <c r="S180" s="56"/>
      <c r="T180" s="56"/>
      <c r="U180" s="56"/>
      <c r="V180" s="57"/>
      <c r="W180" s="10" t="s">
        <v>218</v>
      </c>
      <c r="X180" s="10"/>
    </row>
    <row r="181" spans="4:31" ht="24.75" customHeight="1">
      <c r="D181" s="111" t="s">
        <v>118</v>
      </c>
      <c r="E181" s="111"/>
      <c r="F181" s="111"/>
      <c r="G181" s="111" t="s">
        <v>219</v>
      </c>
      <c r="H181" s="111"/>
      <c r="I181" s="111"/>
      <c r="J181" s="111"/>
      <c r="K181" s="111"/>
      <c r="L181" s="91">
        <f t="shared" si="1"/>
        <v>126.27692678</v>
      </c>
      <c r="M181" s="91"/>
      <c r="N181" s="91"/>
      <c r="O181" s="58" t="s">
        <v>35</v>
      </c>
      <c r="P181" s="58"/>
      <c r="Q181" s="10" t="s">
        <v>34</v>
      </c>
      <c r="R181" s="55">
        <f>ROUND(G179*(S178-L181)/S178,3)</f>
        <v>141.7</v>
      </c>
      <c r="S181" s="56"/>
      <c r="T181" s="56"/>
      <c r="U181" s="56"/>
      <c r="V181" s="57"/>
      <c r="W181" s="10" t="s">
        <v>218</v>
      </c>
      <c r="X181" s="10"/>
      <c r="Y181" s="10"/>
      <c r="Z181" s="55"/>
      <c r="AA181" s="56"/>
      <c r="AB181" s="56"/>
      <c r="AC181" s="56"/>
      <c r="AD181" s="57"/>
      <c r="AE181" s="10"/>
    </row>
    <row r="182" spans="4:31" ht="24.75" customHeight="1">
      <c r="D182" s="111" t="s">
        <v>119</v>
      </c>
      <c r="E182" s="111"/>
      <c r="F182" s="111"/>
      <c r="G182" s="111" t="s">
        <v>219</v>
      </c>
      <c r="H182" s="111"/>
      <c r="I182" s="111"/>
      <c r="J182" s="111"/>
      <c r="K182" s="111"/>
      <c r="L182" s="91">
        <f t="shared" si="1"/>
        <v>226.27692678</v>
      </c>
      <c r="M182" s="91"/>
      <c r="N182" s="91"/>
      <c r="O182" s="58" t="s">
        <v>35</v>
      </c>
      <c r="P182" s="58"/>
      <c r="Q182" s="10" t="s">
        <v>34</v>
      </c>
      <c r="R182" s="55">
        <f>ROUND(G179*(S178-L182)/S178,3)</f>
        <v>129.189</v>
      </c>
      <c r="S182" s="56"/>
      <c r="T182" s="56"/>
      <c r="U182" s="56"/>
      <c r="V182" s="57"/>
      <c r="W182" s="10" t="s">
        <v>218</v>
      </c>
      <c r="X182" s="10"/>
      <c r="Y182" s="10"/>
      <c r="Z182" s="55"/>
      <c r="AA182" s="56"/>
      <c r="AB182" s="56"/>
      <c r="AC182" s="56"/>
      <c r="AD182" s="57"/>
      <c r="AE182" s="10"/>
    </row>
    <row r="183" spans="4:31" ht="24.75" customHeight="1">
      <c r="D183" s="111" t="s">
        <v>120</v>
      </c>
      <c r="E183" s="111"/>
      <c r="F183" s="111"/>
      <c r="G183" s="111" t="s">
        <v>219</v>
      </c>
      <c r="H183" s="111"/>
      <c r="I183" s="111"/>
      <c r="J183" s="111"/>
      <c r="K183" s="111"/>
      <c r="L183" s="91">
        <f t="shared" si="1"/>
        <v>326.27692678</v>
      </c>
      <c r="M183" s="91"/>
      <c r="N183" s="91"/>
      <c r="O183" s="58" t="s">
        <v>35</v>
      </c>
      <c r="P183" s="58"/>
      <c r="Q183" s="10" t="s">
        <v>34</v>
      </c>
      <c r="R183" s="55">
        <f>ROUND(G179*(S178-L183)/S178,3)</f>
        <v>116.677</v>
      </c>
      <c r="S183" s="56"/>
      <c r="T183" s="56"/>
      <c r="U183" s="56"/>
      <c r="V183" s="57"/>
      <c r="W183" s="10" t="s">
        <v>218</v>
      </c>
      <c r="X183" s="10"/>
      <c r="Y183" s="10"/>
      <c r="Z183" s="55"/>
      <c r="AA183" s="56"/>
      <c r="AB183" s="56"/>
      <c r="AC183" s="56"/>
      <c r="AD183" s="57"/>
      <c r="AE183" s="10"/>
    </row>
    <row r="184" spans="4:31" ht="24.75" customHeight="1">
      <c r="D184" s="111" t="s">
        <v>121</v>
      </c>
      <c r="E184" s="111"/>
      <c r="F184" s="111"/>
      <c r="G184" s="111" t="s">
        <v>219</v>
      </c>
      <c r="H184" s="111"/>
      <c r="I184" s="111"/>
      <c r="J184" s="111"/>
      <c r="K184" s="111"/>
      <c r="L184" s="91">
        <f t="shared" si="1"/>
        <v>426.27692678</v>
      </c>
      <c r="M184" s="91"/>
      <c r="N184" s="91"/>
      <c r="O184" s="58" t="s">
        <v>35</v>
      </c>
      <c r="P184" s="58"/>
      <c r="Q184" s="10" t="s">
        <v>34</v>
      </c>
      <c r="R184" s="55">
        <f>ROUND(G179*(S178-L184)/S178,3)</f>
        <v>104.165</v>
      </c>
      <c r="S184" s="56"/>
      <c r="T184" s="56"/>
      <c r="U184" s="56"/>
      <c r="V184" s="57"/>
      <c r="W184" s="10" t="s">
        <v>218</v>
      </c>
      <c r="X184" s="10"/>
      <c r="Y184" s="10"/>
      <c r="Z184" s="55"/>
      <c r="AA184" s="56"/>
      <c r="AB184" s="56"/>
      <c r="AC184" s="56"/>
      <c r="AD184" s="57"/>
      <c r="AE184" s="10"/>
    </row>
    <row r="185" spans="4:31" ht="24.75" customHeight="1">
      <c r="D185" s="111" t="s">
        <v>122</v>
      </c>
      <c r="E185" s="111"/>
      <c r="F185" s="111"/>
      <c r="G185" s="111" t="s">
        <v>219</v>
      </c>
      <c r="H185" s="111"/>
      <c r="I185" s="111"/>
      <c r="J185" s="111"/>
      <c r="K185" s="111"/>
      <c r="L185" s="91">
        <f t="shared" si="1"/>
        <v>526.27692678</v>
      </c>
      <c r="M185" s="91"/>
      <c r="N185" s="91"/>
      <c r="O185" s="58" t="s">
        <v>35</v>
      </c>
      <c r="P185" s="58"/>
      <c r="Q185" s="10" t="s">
        <v>34</v>
      </c>
      <c r="R185" s="55">
        <f>ROUND(G179*(S178-L185)/S178,3)</f>
        <v>91.653</v>
      </c>
      <c r="S185" s="56"/>
      <c r="T185" s="56"/>
      <c r="U185" s="56"/>
      <c r="V185" s="57"/>
      <c r="W185" s="10" t="s">
        <v>218</v>
      </c>
      <c r="X185" s="10"/>
      <c r="Y185" s="10"/>
      <c r="Z185" s="55"/>
      <c r="AA185" s="56"/>
      <c r="AB185" s="56"/>
      <c r="AC185" s="56"/>
      <c r="AD185" s="57"/>
      <c r="AE185" s="10"/>
    </row>
    <row r="186" spans="4:25" ht="24.75" customHeight="1">
      <c r="D186" s="47"/>
      <c r="E186" s="47"/>
      <c r="F186" s="47"/>
      <c r="G186" s="47"/>
      <c r="H186" s="47"/>
      <c r="I186" s="47"/>
      <c r="J186" s="47"/>
      <c r="K186" s="47"/>
      <c r="L186" s="56"/>
      <c r="M186" s="56"/>
      <c r="N186" s="47"/>
      <c r="O186" s="47"/>
      <c r="P186" s="47"/>
      <c r="Q186" s="10"/>
      <c r="R186" s="55"/>
      <c r="S186" s="56"/>
      <c r="T186" s="56"/>
      <c r="U186" s="56"/>
      <c r="V186" s="57"/>
      <c r="W186" s="10"/>
      <c r="X186" s="10"/>
      <c r="Y186" s="10"/>
    </row>
    <row r="187" spans="4:36" ht="24.75" customHeight="1">
      <c r="D187" s="110" t="s">
        <v>173</v>
      </c>
      <c r="E187" s="110"/>
      <c r="F187" s="110"/>
      <c r="G187" s="110"/>
      <c r="H187" s="59" t="s">
        <v>87</v>
      </c>
      <c r="I187" s="107">
        <f>G179</f>
        <v>157.5</v>
      </c>
      <c r="J187" s="107"/>
      <c r="K187" s="107"/>
      <c r="L187" s="107"/>
      <c r="M187" s="14" t="s">
        <v>48</v>
      </c>
      <c r="N187" s="107">
        <f aca="true" t="shared" si="2" ref="N187:N192">R180</f>
        <v>154.212</v>
      </c>
      <c r="O187" s="107"/>
      <c r="P187" s="107"/>
      <c r="Q187" s="107"/>
      <c r="R187" s="55" t="s">
        <v>136</v>
      </c>
      <c r="S187" s="56"/>
      <c r="T187" s="56"/>
      <c r="U187" s="56"/>
      <c r="V187" s="108">
        <f>L180</f>
        <v>26.27692678</v>
      </c>
      <c r="W187" s="108"/>
      <c r="X187" s="108"/>
      <c r="Y187" s="14" t="s">
        <v>137</v>
      </c>
      <c r="Z187" s="108">
        <f>AM148</f>
        <v>12</v>
      </c>
      <c r="AA187" s="108"/>
      <c r="AB187" s="108"/>
      <c r="AC187" s="5" t="s">
        <v>89</v>
      </c>
      <c r="AD187" s="109">
        <f>(I187+N187)/2*V187*Z187</f>
        <v>49145.00040268416</v>
      </c>
      <c r="AE187" s="109"/>
      <c r="AF187" s="109"/>
      <c r="AG187" s="109"/>
      <c r="AH187" s="109"/>
      <c r="AI187" s="5" t="s">
        <v>113</v>
      </c>
      <c r="AJ187" s="5" t="s">
        <v>20</v>
      </c>
    </row>
    <row r="188" spans="4:46" ht="24.75" customHeight="1">
      <c r="D188" s="92" t="s">
        <v>228</v>
      </c>
      <c r="E188" s="92"/>
      <c r="F188" s="92"/>
      <c r="G188" s="92"/>
      <c r="H188" s="14" t="s">
        <v>87</v>
      </c>
      <c r="I188" s="107">
        <f>R180</f>
        <v>154.212</v>
      </c>
      <c r="J188" s="107"/>
      <c r="K188" s="107"/>
      <c r="L188" s="107"/>
      <c r="M188" s="14" t="s">
        <v>48</v>
      </c>
      <c r="N188" s="107">
        <f t="shared" si="2"/>
        <v>141.7</v>
      </c>
      <c r="O188" s="107"/>
      <c r="P188" s="107"/>
      <c r="Q188" s="107"/>
      <c r="R188" s="68" t="s">
        <v>171</v>
      </c>
      <c r="S188" s="14"/>
      <c r="T188" s="8">
        <v>2</v>
      </c>
      <c r="U188" s="62" t="s">
        <v>137</v>
      </c>
      <c r="V188" s="63">
        <f>L181-L180</f>
        <v>100</v>
      </c>
      <c r="W188" s="63"/>
      <c r="X188" s="63"/>
      <c r="Y188" s="64" t="s">
        <v>137</v>
      </c>
      <c r="Z188" s="24">
        <f>Z187</f>
        <v>12</v>
      </c>
      <c r="AA188" s="25"/>
      <c r="AB188" s="24"/>
      <c r="AC188" s="65" t="s">
        <v>47</v>
      </c>
      <c r="AD188" s="66">
        <v>2</v>
      </c>
      <c r="AE188" s="66"/>
      <c r="AF188" s="66"/>
      <c r="AG188" s="8" t="s">
        <v>34</v>
      </c>
      <c r="AH188" s="63">
        <f>ROUND(+(I188+N188)/T188*V188*Z188/AD188,1)</f>
        <v>88773.6</v>
      </c>
      <c r="AI188" s="63"/>
      <c r="AJ188" s="63"/>
      <c r="AK188" s="63"/>
      <c r="AL188" s="92" t="str">
        <f>IF(AH188&gt;+V138,"N/本  ＞  ρa   N.G.","N/本  ＜  ρa   O.K.")</f>
        <v>N/本  ＜  ρa   O.K.</v>
      </c>
      <c r="AM188" s="92"/>
      <c r="AN188" s="92"/>
      <c r="AO188" s="92"/>
      <c r="AP188" s="92"/>
      <c r="AQ188" s="92"/>
      <c r="AR188" s="92"/>
      <c r="AS188" s="92"/>
      <c r="AT188" s="92"/>
    </row>
    <row r="189" spans="4:46" ht="24.75" customHeight="1">
      <c r="D189" s="92" t="s">
        <v>250</v>
      </c>
      <c r="E189" s="92"/>
      <c r="F189" s="92"/>
      <c r="G189" s="92"/>
      <c r="H189" s="14" t="s">
        <v>87</v>
      </c>
      <c r="I189" s="107">
        <f>N188</f>
        <v>141.7</v>
      </c>
      <c r="J189" s="107"/>
      <c r="K189" s="107"/>
      <c r="L189" s="107"/>
      <c r="M189" s="14" t="s">
        <v>48</v>
      </c>
      <c r="N189" s="107">
        <f t="shared" si="2"/>
        <v>129.189</v>
      </c>
      <c r="O189" s="107"/>
      <c r="P189" s="107"/>
      <c r="Q189" s="107"/>
      <c r="R189" s="68" t="s">
        <v>171</v>
      </c>
      <c r="S189" s="14"/>
      <c r="T189" s="8">
        <v>2</v>
      </c>
      <c r="U189" s="62" t="s">
        <v>137</v>
      </c>
      <c r="V189" s="63">
        <f>(L182-L181)</f>
        <v>100</v>
      </c>
      <c r="W189" s="67"/>
      <c r="X189" s="24"/>
      <c r="Y189" s="64" t="s">
        <v>137</v>
      </c>
      <c r="Z189" s="24">
        <f>Z187</f>
        <v>12</v>
      </c>
      <c r="AA189" s="24"/>
      <c r="AB189" s="24"/>
      <c r="AC189" s="65" t="s">
        <v>47</v>
      </c>
      <c r="AD189" s="66">
        <v>2</v>
      </c>
      <c r="AE189" s="66"/>
      <c r="AF189" s="66"/>
      <c r="AG189" s="8" t="s">
        <v>34</v>
      </c>
      <c r="AH189" s="63">
        <f>ROUND(+(I189+N189)/T189*V189*Z189/AD189,1)</f>
        <v>81266.7</v>
      </c>
      <c r="AI189" s="63"/>
      <c r="AJ189" s="63"/>
      <c r="AK189" s="63"/>
      <c r="AL189" s="92" t="str">
        <f>IF(AH189&gt;+V138,"N/本  ＞  ρa   N.G.","N/本  ＜  ρa   O.K.")</f>
        <v>N/本  ＜  ρa   O.K.</v>
      </c>
      <c r="AM189" s="92"/>
      <c r="AN189" s="92"/>
      <c r="AO189" s="92"/>
      <c r="AP189" s="92"/>
      <c r="AQ189" s="92"/>
      <c r="AR189" s="92"/>
      <c r="AS189" s="92"/>
      <c r="AT189" s="92"/>
    </row>
    <row r="190" spans="4:46" ht="24.75" customHeight="1">
      <c r="D190" s="92" t="s">
        <v>251</v>
      </c>
      <c r="E190" s="92"/>
      <c r="F190" s="92"/>
      <c r="G190" s="92"/>
      <c r="H190" s="14" t="s">
        <v>87</v>
      </c>
      <c r="I190" s="107">
        <f>N189</f>
        <v>129.189</v>
      </c>
      <c r="J190" s="107"/>
      <c r="K190" s="107"/>
      <c r="L190" s="107"/>
      <c r="M190" s="14" t="s">
        <v>48</v>
      </c>
      <c r="N190" s="107">
        <f t="shared" si="2"/>
        <v>116.677</v>
      </c>
      <c r="O190" s="107"/>
      <c r="P190" s="107"/>
      <c r="Q190" s="107"/>
      <c r="R190" s="68" t="s">
        <v>171</v>
      </c>
      <c r="S190" s="14"/>
      <c r="T190" s="8">
        <v>2</v>
      </c>
      <c r="U190" s="62" t="s">
        <v>137</v>
      </c>
      <c r="V190" s="63">
        <f>(L183-L182)</f>
        <v>100</v>
      </c>
      <c r="W190" s="67"/>
      <c r="X190" s="24"/>
      <c r="Y190" s="64" t="s">
        <v>137</v>
      </c>
      <c r="Z190" s="24">
        <f>Z187</f>
        <v>12</v>
      </c>
      <c r="AA190" s="24"/>
      <c r="AB190" s="24"/>
      <c r="AC190" s="65" t="s">
        <v>47</v>
      </c>
      <c r="AD190" s="66">
        <v>2</v>
      </c>
      <c r="AE190" s="66"/>
      <c r="AF190" s="66"/>
      <c r="AG190" s="8" t="s">
        <v>34</v>
      </c>
      <c r="AH190" s="63">
        <f>ROUND(+(I190+N190)/T190*V190*Z190/AD190,1)</f>
        <v>73759.8</v>
      </c>
      <c r="AI190" s="63"/>
      <c r="AJ190" s="63"/>
      <c r="AK190" s="63"/>
      <c r="AL190" s="92" t="str">
        <f>IF(AH190&gt;+V138,"N/本  ＞  ρa   N.G.","N/本  ＜  ρa   O.K.")</f>
        <v>N/本  ＜  ρa   O.K.</v>
      </c>
      <c r="AM190" s="92"/>
      <c r="AN190" s="92"/>
      <c r="AO190" s="92"/>
      <c r="AP190" s="92"/>
      <c r="AQ190" s="92"/>
      <c r="AR190" s="92"/>
      <c r="AS190" s="92"/>
      <c r="AT190" s="92"/>
    </row>
    <row r="191" spans="4:46" ht="24.75" customHeight="1">
      <c r="D191" s="92" t="s">
        <v>252</v>
      </c>
      <c r="E191" s="92"/>
      <c r="F191" s="92"/>
      <c r="G191" s="92"/>
      <c r="H191" s="14" t="s">
        <v>87</v>
      </c>
      <c r="I191" s="107">
        <f>N190</f>
        <v>116.677</v>
      </c>
      <c r="J191" s="107"/>
      <c r="K191" s="107"/>
      <c r="L191" s="107"/>
      <c r="M191" s="14" t="s">
        <v>48</v>
      </c>
      <c r="N191" s="107">
        <f t="shared" si="2"/>
        <v>104.165</v>
      </c>
      <c r="O191" s="107"/>
      <c r="P191" s="107"/>
      <c r="Q191" s="107"/>
      <c r="R191" s="68" t="s">
        <v>171</v>
      </c>
      <c r="S191" s="14"/>
      <c r="T191" s="8">
        <v>2</v>
      </c>
      <c r="U191" s="62" t="s">
        <v>137</v>
      </c>
      <c r="V191" s="63">
        <f>(L184-L183)</f>
        <v>100</v>
      </c>
      <c r="W191" s="67"/>
      <c r="X191" s="24"/>
      <c r="Y191" s="64" t="s">
        <v>137</v>
      </c>
      <c r="Z191" s="24">
        <f>Z187</f>
        <v>12</v>
      </c>
      <c r="AA191" s="24"/>
      <c r="AB191" s="24"/>
      <c r="AC191" s="65" t="s">
        <v>47</v>
      </c>
      <c r="AD191" s="66">
        <v>2</v>
      </c>
      <c r="AE191" s="66"/>
      <c r="AF191" s="66"/>
      <c r="AG191" s="8" t="s">
        <v>34</v>
      </c>
      <c r="AH191" s="63">
        <f>ROUND(+(I191+N191)/T191*V191*Z191/AD191,1)</f>
        <v>66252.6</v>
      </c>
      <c r="AI191" s="63"/>
      <c r="AJ191" s="63"/>
      <c r="AK191" s="63"/>
      <c r="AL191" s="92" t="str">
        <f>IF(AH191&gt;+V138,"N/本  ＞  ρa   N.G.","N/本  ＜  ρa   O.K.")</f>
        <v>N/本  ＜  ρa   O.K.</v>
      </c>
      <c r="AM191" s="92"/>
      <c r="AN191" s="92"/>
      <c r="AO191" s="92"/>
      <c r="AP191" s="92"/>
      <c r="AQ191" s="92"/>
      <c r="AR191" s="92"/>
      <c r="AS191" s="92"/>
      <c r="AT191" s="92"/>
    </row>
    <row r="192" spans="4:46" ht="24.75" customHeight="1">
      <c r="D192" s="92" t="s">
        <v>253</v>
      </c>
      <c r="E192" s="92"/>
      <c r="F192" s="92"/>
      <c r="G192" s="92"/>
      <c r="H192" s="14" t="s">
        <v>87</v>
      </c>
      <c r="I192" s="107">
        <f>N191</f>
        <v>104.165</v>
      </c>
      <c r="J192" s="107"/>
      <c r="K192" s="107"/>
      <c r="L192" s="107"/>
      <c r="M192" s="14" t="s">
        <v>48</v>
      </c>
      <c r="N192" s="107">
        <f t="shared" si="2"/>
        <v>91.653</v>
      </c>
      <c r="O192" s="107"/>
      <c r="P192" s="107"/>
      <c r="Q192" s="107"/>
      <c r="R192" s="68" t="s">
        <v>171</v>
      </c>
      <c r="S192" s="14"/>
      <c r="T192" s="8">
        <v>2</v>
      </c>
      <c r="U192" s="62" t="s">
        <v>137</v>
      </c>
      <c r="V192" s="63">
        <f>(L185-L184)</f>
        <v>100.00000000000006</v>
      </c>
      <c r="W192" s="67"/>
      <c r="X192" s="24"/>
      <c r="Y192" s="64" t="s">
        <v>137</v>
      </c>
      <c r="Z192" s="24">
        <f>Z187</f>
        <v>12</v>
      </c>
      <c r="AA192" s="24"/>
      <c r="AB192" s="24"/>
      <c r="AC192" s="65" t="s">
        <v>47</v>
      </c>
      <c r="AD192" s="66">
        <v>2</v>
      </c>
      <c r="AE192" s="66"/>
      <c r="AF192" s="66"/>
      <c r="AG192" s="8" t="s">
        <v>34</v>
      </c>
      <c r="AH192" s="63">
        <f>ROUND(+(I192+N192)/T192*V192*Z192/AD192,1)</f>
        <v>58745.4</v>
      </c>
      <c r="AI192" s="63"/>
      <c r="AJ192" s="63"/>
      <c r="AK192" s="63"/>
      <c r="AL192" s="92" t="str">
        <f>IF(AH192&gt;+V138,"N/本  ＞  ρa   N.G.","N/本  ＜  ρa   O.K.")</f>
        <v>N/本  ＜  ρa   O.K.</v>
      </c>
      <c r="AM192" s="92"/>
      <c r="AN192" s="92"/>
      <c r="AO192" s="92"/>
      <c r="AP192" s="92"/>
      <c r="AQ192" s="92"/>
      <c r="AR192" s="92"/>
      <c r="AS192" s="92"/>
      <c r="AT192" s="92"/>
    </row>
    <row r="193" spans="4:25" ht="24.75" customHeight="1">
      <c r="D193" s="47"/>
      <c r="E193" s="47"/>
      <c r="F193" s="47"/>
      <c r="G193" s="47"/>
      <c r="H193" s="47"/>
      <c r="I193" s="47"/>
      <c r="J193" s="47"/>
      <c r="K193" s="47"/>
      <c r="L193" s="56"/>
      <c r="M193" s="56"/>
      <c r="N193" s="47"/>
      <c r="O193" s="47"/>
      <c r="P193" s="47"/>
      <c r="Q193" s="10"/>
      <c r="R193" s="55"/>
      <c r="S193" s="56"/>
      <c r="T193" s="56"/>
      <c r="U193" s="56"/>
      <c r="V193" s="57"/>
      <c r="W193" s="10"/>
      <c r="X193" s="10"/>
      <c r="Y193" s="10"/>
    </row>
    <row r="194" spans="3:47" ht="24.75" customHeight="1">
      <c r="C194" s="18" t="s">
        <v>9</v>
      </c>
      <c r="I194" s="23"/>
      <c r="AU194" s="23"/>
    </row>
    <row r="195" spans="4:47" ht="24.75" customHeight="1">
      <c r="D195" s="5" t="s">
        <v>26</v>
      </c>
      <c r="AU195" s="23"/>
    </row>
    <row r="196" spans="4:47" ht="24.75" customHeight="1">
      <c r="D196" s="5" t="s">
        <v>27</v>
      </c>
      <c r="AU196" s="23"/>
    </row>
    <row r="197" spans="5:47" ht="24.75" customHeight="1">
      <c r="E197" s="5" t="s">
        <v>125</v>
      </c>
      <c r="AU197" s="23"/>
    </row>
    <row r="198" ht="24.75" customHeight="1">
      <c r="D198" s="5" t="s">
        <v>7</v>
      </c>
    </row>
    <row r="199" spans="3:42" ht="24.75" customHeight="1">
      <c r="C199" s="106" t="s">
        <v>49</v>
      </c>
      <c r="D199" s="106"/>
      <c r="E199" s="106"/>
      <c r="G199" s="105">
        <f>ABS(O5)</f>
        <v>369.49014934</v>
      </c>
      <c r="H199" s="105"/>
      <c r="I199" s="105"/>
      <c r="J199" s="19" t="s">
        <v>41</v>
      </c>
      <c r="K199" s="132">
        <v>1000</v>
      </c>
      <c r="L199" s="132"/>
      <c r="M199" s="132"/>
      <c r="N199" s="92" t="s">
        <v>48</v>
      </c>
      <c r="O199" s="92"/>
      <c r="P199" s="105">
        <f>ABS(O6)</f>
        <v>392.6304892</v>
      </c>
      <c r="Q199" s="105"/>
      <c r="R199" s="105"/>
      <c r="S199" s="19" t="s">
        <v>41</v>
      </c>
      <c r="T199" s="97">
        <v>100000</v>
      </c>
      <c r="U199" s="97"/>
      <c r="V199" s="97"/>
      <c r="W199" s="97"/>
      <c r="Y199" s="106" t="s">
        <v>47</v>
      </c>
      <c r="Z199" s="106"/>
      <c r="AA199" s="122">
        <v>44</v>
      </c>
      <c r="AB199" s="122"/>
      <c r="AC199" s="122"/>
      <c r="AD199" s="92" t="s">
        <v>34</v>
      </c>
      <c r="AE199" s="92"/>
      <c r="AF199" s="102">
        <f>ROUND((G199*K199/J200+P199*T199/(R200*T200))/AA199,1)</f>
        <v>4397</v>
      </c>
      <c r="AG199" s="102"/>
      <c r="AH199" s="102"/>
      <c r="AI199" s="102"/>
      <c r="AJ199" s="103" t="str">
        <f>IF(AF199&gt;+M127,"N/本   ＞ ρa","N/本  ＜  ρa")</f>
        <v>N/本  ＜  ρa</v>
      </c>
      <c r="AK199" s="103"/>
      <c r="AL199" s="103"/>
      <c r="AM199" s="103"/>
      <c r="AN199" s="103"/>
      <c r="AO199" s="103"/>
      <c r="AP199" s="103"/>
    </row>
    <row r="200" spans="3:42" ht="24.75" customHeight="1">
      <c r="C200" s="106"/>
      <c r="D200" s="106"/>
      <c r="E200" s="106"/>
      <c r="J200" s="8">
        <v>2</v>
      </c>
      <c r="N200" s="92"/>
      <c r="O200" s="92"/>
      <c r="R200" s="8">
        <v>2</v>
      </c>
      <c r="S200" s="14" t="s">
        <v>41</v>
      </c>
      <c r="T200" s="24">
        <f>(AG4+AN4)/2*1000</f>
        <v>2250</v>
      </c>
      <c r="U200" s="25"/>
      <c r="V200" s="25"/>
      <c r="Y200" s="106"/>
      <c r="Z200" s="106"/>
      <c r="AA200" s="122"/>
      <c r="AB200" s="122"/>
      <c r="AC200" s="122"/>
      <c r="AD200" s="92"/>
      <c r="AE200" s="92"/>
      <c r="AF200" s="102"/>
      <c r="AG200" s="102"/>
      <c r="AH200" s="102"/>
      <c r="AI200" s="102"/>
      <c r="AJ200" s="103"/>
      <c r="AK200" s="103"/>
      <c r="AL200" s="103"/>
      <c r="AM200" s="103"/>
      <c r="AN200" s="103"/>
      <c r="AO200" s="103"/>
      <c r="AP200" s="103"/>
    </row>
    <row r="202" spans="3:9" ht="24.75" customHeight="1">
      <c r="C202" s="5" t="s">
        <v>10</v>
      </c>
      <c r="I202" s="23"/>
    </row>
    <row r="203" spans="4:31" ht="24.75" customHeight="1">
      <c r="D203" s="5" t="s">
        <v>50</v>
      </c>
      <c r="P203" s="104">
        <f>ROUND(MAX(AH171:AH175,AH188:AH192),1)</f>
        <v>88773.6</v>
      </c>
      <c r="Q203" s="104"/>
      <c r="R203" s="104"/>
      <c r="S203" s="104"/>
      <c r="T203" s="5" t="s">
        <v>48</v>
      </c>
      <c r="U203" s="104">
        <f>+AF199</f>
        <v>4397</v>
      </c>
      <c r="V203" s="104"/>
      <c r="W203" s="104"/>
      <c r="X203" s="104"/>
      <c r="Y203" s="5" t="s">
        <v>33</v>
      </c>
      <c r="AA203" s="100">
        <f>ROUND(SQRT(P203^2+U203^2),1)</f>
        <v>88882.4</v>
      </c>
      <c r="AB203" s="100"/>
      <c r="AC203" s="100"/>
      <c r="AD203" s="100"/>
      <c r="AE203" s="5" t="str">
        <f>IF(AA203&gt;$AA$10,"N/本  ＞  ρa ,  N.G","N/本  ＜  ρa ,  O.K")</f>
        <v>N/本  ＜  ρa ,  O.K</v>
      </c>
    </row>
    <row r="204" spans="3:9" ht="24.75" customHeight="1">
      <c r="C204" s="18" t="s">
        <v>245</v>
      </c>
      <c r="I204" s="23"/>
    </row>
    <row r="205" ht="24.75" customHeight="1">
      <c r="D205" s="5" t="s">
        <v>25</v>
      </c>
    </row>
    <row r="206" spans="4:30" ht="24.75" customHeight="1">
      <c r="D206" s="92" t="s">
        <v>214</v>
      </c>
      <c r="E206" s="92"/>
      <c r="F206" s="92"/>
      <c r="G206" s="132">
        <f>+AM148</f>
        <v>12</v>
      </c>
      <c r="H206" s="132"/>
      <c r="I206" s="132"/>
      <c r="J206" s="19" t="s">
        <v>41</v>
      </c>
      <c r="K206" s="176">
        <f>IF(AG6=0,M208&amp;"³",M208)</f>
        <v>2205.1077071199948</v>
      </c>
      <c r="L206" s="176"/>
      <c r="M206" s="176"/>
      <c r="N206" s="103" t="str">
        <f>IF(AG6=0,""," × ( "&amp;ROUND(M208,1)&amp;"²cos²"&amp;ROUND(AG6,2)&amp;" + "&amp;ROUND(I208,1)&amp;"²sin²"&amp;ROUND(AG6,2)&amp;" )")</f>
        <v> × ( 2205.1²cos²3.9 + 12²sin²3.9 )</v>
      </c>
      <c r="O206" s="103"/>
      <c r="P206" s="103"/>
      <c r="Q206" s="103"/>
      <c r="R206" s="103"/>
      <c r="S206" s="103"/>
      <c r="T206" s="103"/>
      <c r="U206" s="103"/>
      <c r="V206" s="103"/>
      <c r="W206" s="103"/>
      <c r="X206" s="103"/>
      <c r="Y206" s="103"/>
      <c r="Z206" s="103"/>
      <c r="AA206" s="103"/>
      <c r="AB206" s="103"/>
      <c r="AC206" s="103"/>
      <c r="AD206" s="103"/>
    </row>
    <row r="207" spans="4:30" ht="24.75" customHeight="1">
      <c r="D207" s="92"/>
      <c r="E207" s="92"/>
      <c r="F207" s="92"/>
      <c r="I207" s="92">
        <v>12</v>
      </c>
      <c r="J207" s="92"/>
      <c r="K207" s="92"/>
      <c r="N207" s="103"/>
      <c r="O207" s="103"/>
      <c r="P207" s="103"/>
      <c r="Q207" s="103"/>
      <c r="R207" s="103"/>
      <c r="S207" s="103"/>
      <c r="T207" s="103"/>
      <c r="U207" s="103"/>
      <c r="V207" s="103"/>
      <c r="W207" s="103"/>
      <c r="X207" s="103"/>
      <c r="Y207" s="103"/>
      <c r="Z207" s="103"/>
      <c r="AA207" s="103"/>
      <c r="AB207" s="103"/>
      <c r="AC207" s="103"/>
      <c r="AD207" s="103"/>
    </row>
    <row r="208" spans="4:42" ht="24.75" customHeight="1">
      <c r="D208" s="8"/>
      <c r="E208" s="8"/>
      <c r="F208" s="8"/>
      <c r="G208" s="92" t="s">
        <v>48</v>
      </c>
      <c r="H208" s="92"/>
      <c r="I208" s="124">
        <f>+G206</f>
        <v>12</v>
      </c>
      <c r="J208" s="124"/>
      <c r="K208" s="92" t="s">
        <v>36</v>
      </c>
      <c r="L208" s="92"/>
      <c r="M208" s="100">
        <f>AM147/COS(RADIANS(AG6))</f>
        <v>2205.1077071199948</v>
      </c>
      <c r="N208" s="100"/>
      <c r="O208" s="100"/>
      <c r="P208" s="100"/>
      <c r="Q208" s="92" t="s">
        <v>37</v>
      </c>
      <c r="R208" s="92"/>
      <c r="S208" s="80">
        <f>AM147/2</f>
        <v>1100</v>
      </c>
      <c r="T208" s="80"/>
      <c r="U208" s="80"/>
      <c r="V208" s="80"/>
      <c r="W208" s="92" t="s">
        <v>46</v>
      </c>
      <c r="X208" s="80">
        <f>ROUND(Q227,2)</f>
        <v>1193.95</v>
      </c>
      <c r="Y208" s="80"/>
      <c r="Z208" s="80"/>
      <c r="AA208" s="80"/>
      <c r="AB208" s="92" t="s">
        <v>38</v>
      </c>
      <c r="AC208" s="92"/>
      <c r="AD208" s="92"/>
      <c r="AE208" s="90">
        <f>I208*M208/12*((M208*COS(RADIANS(AG6)))^2+(I208*SIN(RADIANS(AG6)))^2)+I208*M208*(S208-X208)^2</f>
        <v>10906286082.181974</v>
      </c>
      <c r="AF208" s="90"/>
      <c r="AG208" s="90"/>
      <c r="AH208" s="90"/>
      <c r="AI208" s="90"/>
      <c r="AJ208" s="90"/>
      <c r="AK208" s="92" t="s">
        <v>224</v>
      </c>
      <c r="AL208" s="92"/>
      <c r="AM208" s="28"/>
      <c r="AN208" s="28"/>
      <c r="AO208" s="8"/>
      <c r="AP208" s="8"/>
    </row>
    <row r="209" spans="4:42" ht="24.75" customHeight="1">
      <c r="D209" s="8"/>
      <c r="E209" s="8"/>
      <c r="F209" s="8"/>
      <c r="G209" s="92"/>
      <c r="H209" s="92"/>
      <c r="I209" s="124"/>
      <c r="J209" s="124"/>
      <c r="K209" s="92"/>
      <c r="L209" s="92"/>
      <c r="M209" s="100"/>
      <c r="N209" s="100"/>
      <c r="O209" s="100"/>
      <c r="P209" s="100"/>
      <c r="Q209" s="92"/>
      <c r="R209" s="92"/>
      <c r="S209" s="80"/>
      <c r="T209" s="80"/>
      <c r="U209" s="80"/>
      <c r="V209" s="80"/>
      <c r="W209" s="92"/>
      <c r="X209" s="80"/>
      <c r="Y209" s="80"/>
      <c r="Z209" s="80"/>
      <c r="AA209" s="80"/>
      <c r="AB209" s="92"/>
      <c r="AC209" s="92"/>
      <c r="AD209" s="92"/>
      <c r="AE209" s="90"/>
      <c r="AF209" s="90"/>
      <c r="AG209" s="90"/>
      <c r="AH209" s="90"/>
      <c r="AI209" s="90"/>
      <c r="AJ209" s="90"/>
      <c r="AK209" s="92"/>
      <c r="AL209" s="92"/>
      <c r="AM209" s="28"/>
      <c r="AN209" s="28"/>
      <c r="AO209" s="8"/>
      <c r="AP209" s="8"/>
    </row>
    <row r="210" spans="4:42" ht="24.75" customHeight="1">
      <c r="D210" s="8"/>
      <c r="E210" s="8"/>
      <c r="F210" s="8"/>
      <c r="I210" s="8"/>
      <c r="J210" s="8"/>
      <c r="K210" s="8"/>
      <c r="N210" s="8"/>
      <c r="O210" s="8"/>
      <c r="P210" s="9"/>
      <c r="W210" s="8"/>
      <c r="AK210" s="7"/>
      <c r="AL210" s="7"/>
      <c r="AM210" s="7"/>
      <c r="AN210" s="7"/>
      <c r="AO210" s="8"/>
      <c r="AP210" s="8"/>
    </row>
    <row r="211" spans="4:23" ht="24.75" customHeight="1">
      <c r="D211" s="5" t="s">
        <v>28</v>
      </c>
      <c r="W211" s="8"/>
    </row>
    <row r="212" spans="4:33" ht="24.75" customHeight="1">
      <c r="D212" s="92" t="s">
        <v>215</v>
      </c>
      <c r="E212" s="92"/>
      <c r="F212" s="92"/>
      <c r="G212" s="92"/>
      <c r="H212" s="97" t="s">
        <v>209</v>
      </c>
      <c r="I212" s="97"/>
      <c r="J212" s="97"/>
      <c r="K212" s="92" t="s">
        <v>34</v>
      </c>
      <c r="L212" s="92"/>
      <c r="M212" s="100">
        <f>AA214</f>
        <v>5781.70733254</v>
      </c>
      <c r="N212" s="100"/>
      <c r="O212" s="100"/>
      <c r="P212" s="100"/>
      <c r="Q212" s="92" t="s">
        <v>41</v>
      </c>
      <c r="R212" s="92"/>
      <c r="S212" s="101">
        <f>+AE208</f>
        <v>10906286082.181974</v>
      </c>
      <c r="T212" s="101"/>
      <c r="U212" s="101"/>
      <c r="V212" s="101"/>
      <c r="W212" s="101"/>
      <c r="X212" s="101"/>
      <c r="Y212" s="92" t="s">
        <v>34</v>
      </c>
      <c r="Z212" s="92"/>
      <c r="AA212" s="89">
        <f>+M212*S212/S213</f>
        <v>578.1699954350281</v>
      </c>
      <c r="AB212" s="89"/>
      <c r="AC212" s="89"/>
      <c r="AD212" s="89"/>
      <c r="AE212" s="92" t="s">
        <v>103</v>
      </c>
      <c r="AF212" s="92"/>
      <c r="AG212" s="18"/>
    </row>
    <row r="213" spans="4:33" ht="24.75" customHeight="1">
      <c r="D213" s="92"/>
      <c r="E213" s="92"/>
      <c r="F213" s="92"/>
      <c r="G213" s="92"/>
      <c r="H213" s="92" t="s">
        <v>51</v>
      </c>
      <c r="I213" s="92"/>
      <c r="J213" s="92"/>
      <c r="K213" s="92"/>
      <c r="L213" s="92"/>
      <c r="M213" s="100"/>
      <c r="N213" s="100"/>
      <c r="O213" s="100"/>
      <c r="P213" s="100"/>
      <c r="Q213" s="92"/>
      <c r="R213" s="92"/>
      <c r="S213" s="99">
        <f>+U215</f>
        <v>109063000000</v>
      </c>
      <c r="T213" s="99"/>
      <c r="U213" s="99"/>
      <c r="V213" s="99"/>
      <c r="W213" s="99"/>
      <c r="X213" s="99"/>
      <c r="Y213" s="92"/>
      <c r="Z213" s="92"/>
      <c r="AA213" s="89"/>
      <c r="AB213" s="89"/>
      <c r="AC213" s="89"/>
      <c r="AD213" s="89"/>
      <c r="AE213" s="92"/>
      <c r="AF213" s="92"/>
      <c r="AG213" s="18"/>
    </row>
    <row r="214" spans="4:31" ht="24.75" customHeight="1">
      <c r="D214" s="5" t="s">
        <v>216</v>
      </c>
      <c r="I214" s="23"/>
      <c r="AA214" s="89">
        <f>ABS(O4)</f>
        <v>5781.70733254</v>
      </c>
      <c r="AB214" s="89"/>
      <c r="AC214" s="89"/>
      <c r="AD214" s="89"/>
      <c r="AE214" s="5" t="s">
        <v>111</v>
      </c>
    </row>
    <row r="215" spans="4:31" ht="24.75" customHeight="1">
      <c r="D215" s="5" t="s">
        <v>52</v>
      </c>
      <c r="G215" s="5" t="s">
        <v>29</v>
      </c>
      <c r="I215" s="23"/>
      <c r="S215" s="5" t="s">
        <v>53</v>
      </c>
      <c r="U215" s="99">
        <v>109063000000</v>
      </c>
      <c r="V215" s="99"/>
      <c r="W215" s="99"/>
      <c r="X215" s="99"/>
      <c r="Y215" s="99"/>
      <c r="Z215" s="99"/>
      <c r="AA215" s="5" t="s">
        <v>224</v>
      </c>
      <c r="AB215" s="8"/>
      <c r="AC215" s="8"/>
      <c r="AD215" s="41"/>
      <c r="AE215" s="41"/>
    </row>
    <row r="216" spans="9:35" ht="24.75" customHeight="1">
      <c r="I216" s="23"/>
      <c r="T216" s="22"/>
      <c r="U216" s="22"/>
      <c r="V216" s="22"/>
      <c r="W216" s="22"/>
      <c r="X216" s="22"/>
      <c r="AA216" s="69"/>
      <c r="AB216" s="8"/>
      <c r="AC216" s="8"/>
      <c r="AD216" s="41"/>
      <c r="AE216" s="41"/>
      <c r="AF216" s="41"/>
      <c r="AG216" s="41"/>
      <c r="AH216" s="8"/>
      <c r="AI216" s="8"/>
    </row>
    <row r="217" spans="4:35" ht="24.75" customHeight="1">
      <c r="D217" s="97" t="s">
        <v>246</v>
      </c>
      <c r="E217" s="97"/>
      <c r="F217" s="97"/>
      <c r="G217" s="97"/>
      <c r="H217" s="97"/>
      <c r="I217" s="97"/>
      <c r="J217" s="97"/>
      <c r="K217" s="97"/>
      <c r="L217" s="97"/>
      <c r="M217" s="97"/>
      <c r="N217" s="41"/>
      <c r="O217" s="41"/>
      <c r="P217" s="41"/>
      <c r="Q217" s="8"/>
      <c r="R217" s="8"/>
      <c r="S217" s="22"/>
      <c r="T217" s="22"/>
      <c r="U217" s="22"/>
      <c r="V217" s="22"/>
      <c r="W217" s="22"/>
      <c r="X217" s="8"/>
      <c r="Y217" s="8"/>
      <c r="Z217" s="69"/>
      <c r="AA217" s="69"/>
      <c r="AB217" s="8"/>
      <c r="AC217" s="8"/>
      <c r="AD217" s="41"/>
      <c r="AE217" s="41"/>
      <c r="AF217" s="41"/>
      <c r="AG217" s="41"/>
      <c r="AH217" s="8"/>
      <c r="AI217" s="8"/>
    </row>
    <row r="218" spans="4:42" ht="24.75" customHeight="1" thickBot="1">
      <c r="D218" s="77"/>
      <c r="E218" s="75"/>
      <c r="F218" s="75"/>
      <c r="G218" s="75"/>
      <c r="H218" s="75"/>
      <c r="I218" s="75"/>
      <c r="J218" s="75"/>
      <c r="K218" s="75"/>
      <c r="L218" s="75"/>
      <c r="M218" s="74" t="s">
        <v>230</v>
      </c>
      <c r="N218" s="74"/>
      <c r="O218" s="74"/>
      <c r="P218" s="74"/>
      <c r="Q218" s="74"/>
      <c r="R218" s="74"/>
      <c r="S218" s="73" t="s">
        <v>104</v>
      </c>
      <c r="T218" s="73"/>
      <c r="U218" s="73"/>
      <c r="V218" s="73"/>
      <c r="W218" s="73"/>
      <c r="X218" s="73"/>
      <c r="Y218" s="74" t="s">
        <v>231</v>
      </c>
      <c r="Z218" s="74"/>
      <c r="AA218" s="74"/>
      <c r="AB218" s="74"/>
      <c r="AC218" s="74"/>
      <c r="AD218" s="74"/>
      <c r="AE218" s="74" t="s">
        <v>232</v>
      </c>
      <c r="AF218" s="74"/>
      <c r="AG218" s="74"/>
      <c r="AH218" s="74"/>
      <c r="AI218" s="74"/>
      <c r="AJ218" s="74"/>
      <c r="AK218" s="75" t="s">
        <v>233</v>
      </c>
      <c r="AL218" s="75"/>
      <c r="AM218" s="75"/>
      <c r="AN218" s="75"/>
      <c r="AO218" s="75"/>
      <c r="AP218" s="76"/>
    </row>
    <row r="219" spans="4:42" ht="24.75" customHeight="1" thickBot="1" thickTop="1">
      <c r="D219" s="177">
        <v>2</v>
      </c>
      <c r="E219" s="178"/>
      <c r="F219" s="178"/>
      <c r="G219" s="179">
        <v>2180</v>
      </c>
      <c r="H219" s="179"/>
      <c r="I219" s="179"/>
      <c r="J219" s="179"/>
      <c r="K219" s="180">
        <v>9</v>
      </c>
      <c r="L219" s="181"/>
      <c r="M219" s="73">
        <f>+G219*K219*D219</f>
        <v>39240</v>
      </c>
      <c r="N219" s="73"/>
      <c r="O219" s="73"/>
      <c r="P219" s="73"/>
      <c r="Q219" s="73"/>
      <c r="R219" s="73"/>
      <c r="S219" s="78" t="s">
        <v>55</v>
      </c>
      <c r="T219" s="78"/>
      <c r="U219" s="78"/>
      <c r="V219" s="78"/>
      <c r="W219" s="78"/>
      <c r="X219" s="78"/>
      <c r="Y219" s="79" t="s">
        <v>55</v>
      </c>
      <c r="Z219" s="79"/>
      <c r="AA219" s="79"/>
      <c r="AB219" s="79"/>
      <c r="AC219" s="79"/>
      <c r="AD219" s="79"/>
      <c r="AE219" s="79" t="s">
        <v>55</v>
      </c>
      <c r="AF219" s="79"/>
      <c r="AG219" s="79"/>
      <c r="AH219" s="79"/>
      <c r="AI219" s="79"/>
      <c r="AJ219" s="79"/>
      <c r="AK219" s="182">
        <f>K219*G219/12*((G219*COS(RADIANS(AG6)))^2+(K219*SIN(RADIANS(AG6)))^2)*D219</f>
        <v>15468440160.32391</v>
      </c>
      <c r="AL219" s="182"/>
      <c r="AM219" s="182"/>
      <c r="AN219" s="182"/>
      <c r="AO219" s="182"/>
      <c r="AP219" s="183"/>
    </row>
    <row r="220" spans="4:42" ht="24.75" customHeight="1" thickTop="1">
      <c r="D220" s="86" t="s">
        <v>56</v>
      </c>
      <c r="E220" s="97"/>
      <c r="F220" s="97"/>
      <c r="G220" s="97"/>
      <c r="H220" s="97"/>
      <c r="I220" s="97"/>
      <c r="J220" s="97"/>
      <c r="K220" s="97"/>
      <c r="L220" s="97"/>
      <c r="M220" s="87">
        <f>SUM(M219:R219)</f>
        <v>39240</v>
      </c>
      <c r="N220" s="87"/>
      <c r="O220" s="87"/>
      <c r="P220" s="87"/>
      <c r="Q220" s="87"/>
      <c r="R220" s="87"/>
      <c r="S220" s="88"/>
      <c r="T220" s="88"/>
      <c r="U220" s="88"/>
      <c r="V220" s="88"/>
      <c r="W220" s="88"/>
      <c r="X220" s="88"/>
      <c r="Y220" s="81"/>
      <c r="Z220" s="81"/>
      <c r="AA220" s="81"/>
      <c r="AB220" s="81"/>
      <c r="AC220" s="81"/>
      <c r="AD220" s="81"/>
      <c r="AE220" s="81">
        <f>SUM(AE219:AJ219)</f>
        <v>0</v>
      </c>
      <c r="AF220" s="81"/>
      <c r="AG220" s="81"/>
      <c r="AH220" s="81"/>
      <c r="AI220" s="81"/>
      <c r="AJ220" s="81"/>
      <c r="AK220" s="82">
        <f>SUM(AK219:AP219)</f>
        <v>15468440160.32391</v>
      </c>
      <c r="AL220" s="82"/>
      <c r="AM220" s="82"/>
      <c r="AN220" s="82"/>
      <c r="AO220" s="82"/>
      <c r="AP220" s="83"/>
    </row>
    <row r="221" spans="4:31" ht="24.75" customHeight="1">
      <c r="D221" s="5" t="s">
        <v>39</v>
      </c>
      <c r="K221" s="84">
        <f>+AK220</f>
        <v>15468440160.32391</v>
      </c>
      <c r="L221" s="84"/>
      <c r="M221" s="84"/>
      <c r="N221" s="84"/>
      <c r="O221" s="84"/>
      <c r="P221" s="84"/>
      <c r="Q221" s="5" t="s">
        <v>48</v>
      </c>
      <c r="R221" s="85">
        <f>+AE220</f>
        <v>0</v>
      </c>
      <c r="S221" s="85"/>
      <c r="T221" s="85"/>
      <c r="U221" s="85"/>
      <c r="V221" s="85"/>
      <c r="W221" s="85"/>
      <c r="X221" s="5" t="s">
        <v>89</v>
      </c>
      <c r="Y221" s="84">
        <f>+K221+R221</f>
        <v>15468440160.32391</v>
      </c>
      <c r="Z221" s="84"/>
      <c r="AA221" s="84"/>
      <c r="AB221" s="84"/>
      <c r="AC221" s="84"/>
      <c r="AD221" s="84"/>
      <c r="AE221" s="5" t="s">
        <v>224</v>
      </c>
    </row>
    <row r="222" spans="4:37" ht="24.75" customHeight="1">
      <c r="D222" s="5" t="s">
        <v>57</v>
      </c>
      <c r="G222" s="90">
        <f>+Y221</f>
        <v>15468440160.32391</v>
      </c>
      <c r="H222" s="90"/>
      <c r="I222" s="90"/>
      <c r="J222" s="90"/>
      <c r="K222" s="90"/>
      <c r="L222" s="90"/>
      <c r="M222" s="5" t="s">
        <v>48</v>
      </c>
      <c r="N222" s="80">
        <f>+M220</f>
        <v>39240</v>
      </c>
      <c r="O222" s="80"/>
      <c r="P222" s="80"/>
      <c r="Q222" s="80"/>
      <c r="R222" s="5" t="s">
        <v>37</v>
      </c>
      <c r="T222" s="80">
        <f>AM147/2</f>
        <v>1100</v>
      </c>
      <c r="U222" s="80"/>
      <c r="V222" s="80"/>
      <c r="W222" s="80"/>
      <c r="X222" s="5" t="s">
        <v>46</v>
      </c>
      <c r="Y222" s="80">
        <f>ROUND(Q227,2)</f>
        <v>1193.95</v>
      </c>
      <c r="Z222" s="80"/>
      <c r="AA222" s="80"/>
      <c r="AB222" s="80"/>
      <c r="AC222" s="5" t="s">
        <v>38</v>
      </c>
      <c r="AE222" s="99">
        <f>+G222+N222*(T222-Y222)^2</f>
        <v>15814796042.42391</v>
      </c>
      <c r="AF222" s="99"/>
      <c r="AG222" s="99"/>
      <c r="AH222" s="99"/>
      <c r="AI222" s="99"/>
      <c r="AJ222" s="99"/>
      <c r="AK222" s="5" t="s">
        <v>224</v>
      </c>
    </row>
    <row r="223" spans="4:34" ht="24.75" customHeight="1">
      <c r="D223" s="5" t="s">
        <v>58</v>
      </c>
      <c r="G223" s="5" t="s">
        <v>234</v>
      </c>
      <c r="AD223" s="6"/>
      <c r="AE223" s="6"/>
      <c r="AF223" s="6"/>
      <c r="AG223" s="6"/>
      <c r="AH223" s="6"/>
    </row>
    <row r="224" spans="7:34" ht="24.75" customHeight="1">
      <c r="G224" s="22"/>
      <c r="H224" s="22"/>
      <c r="I224" s="22"/>
      <c r="J224" s="22"/>
      <c r="K224" s="22"/>
      <c r="M224" s="41"/>
      <c r="N224" s="41"/>
      <c r="O224" s="41"/>
      <c r="P224" s="41"/>
      <c r="S224" s="41"/>
      <c r="T224" s="41"/>
      <c r="U224" s="41"/>
      <c r="V224" s="41"/>
      <c r="X224" s="41"/>
      <c r="Y224" s="41"/>
      <c r="Z224" s="41"/>
      <c r="AA224" s="41"/>
      <c r="AD224" s="6"/>
      <c r="AE224" s="6"/>
      <c r="AF224" s="6"/>
      <c r="AG224" s="6"/>
      <c r="AH224" s="6"/>
    </row>
    <row r="225" spans="4:29" ht="24.75" customHeight="1">
      <c r="D225" s="5" t="s">
        <v>235</v>
      </c>
      <c r="I225" s="8"/>
      <c r="J225" s="8"/>
      <c r="K225" s="8"/>
      <c r="L225" s="8"/>
      <c r="M225" s="41"/>
      <c r="N225" s="41"/>
      <c r="O225" s="41"/>
      <c r="P225" s="41"/>
      <c r="Q225" s="8"/>
      <c r="R225" s="8"/>
      <c r="S225" s="22"/>
      <c r="T225" s="22"/>
      <c r="U225" s="22"/>
      <c r="V225" s="22"/>
      <c r="W225" s="22"/>
      <c r="X225" s="8"/>
      <c r="Y225" s="8"/>
      <c r="Z225" s="69"/>
      <c r="AA225" s="69"/>
      <c r="AB225" s="8"/>
      <c r="AC225" s="8"/>
    </row>
    <row r="226" spans="4:9" ht="24.75" customHeight="1">
      <c r="D226" s="5" t="s">
        <v>236</v>
      </c>
      <c r="I226" s="23"/>
    </row>
    <row r="227" spans="5:21" ht="24.75" customHeight="1">
      <c r="E227" s="5" t="s">
        <v>59</v>
      </c>
      <c r="H227" s="150">
        <v>-1030.049237246</v>
      </c>
      <c r="I227" s="150"/>
      <c r="J227" s="150"/>
      <c r="K227" s="150"/>
      <c r="L227" s="70" t="s">
        <v>102</v>
      </c>
      <c r="N227" s="70" t="s">
        <v>60</v>
      </c>
      <c r="Q227" s="89">
        <f>(AM147+AM19+AM74)+H227</f>
        <v>1193.950762754</v>
      </c>
      <c r="R227" s="89"/>
      <c r="S227" s="89"/>
      <c r="T227" s="89"/>
      <c r="U227" s="70" t="s">
        <v>102</v>
      </c>
    </row>
    <row r="228" spans="4:15" ht="24.75" customHeight="1">
      <c r="D228" s="5" t="s">
        <v>237</v>
      </c>
      <c r="G228" s="23"/>
      <c r="O228" s="5" t="s">
        <v>238</v>
      </c>
    </row>
    <row r="229" spans="4:45" ht="24.75" customHeight="1">
      <c r="D229" s="92" t="s">
        <v>123</v>
      </c>
      <c r="E229" s="92"/>
      <c r="F229" s="92"/>
      <c r="G229" s="97" t="s">
        <v>114</v>
      </c>
      <c r="H229" s="97"/>
      <c r="I229" s="97"/>
      <c r="J229" s="92" t="s">
        <v>61</v>
      </c>
      <c r="K229" s="92"/>
      <c r="L229" s="92"/>
      <c r="M229" s="92" t="s">
        <v>34</v>
      </c>
      <c r="N229" s="98">
        <f>+AA212</f>
        <v>578.1699954350281</v>
      </c>
      <c r="O229" s="98"/>
      <c r="P229" s="98"/>
      <c r="Q229" s="98"/>
      <c r="R229" s="98"/>
      <c r="S229" s="19" t="s">
        <v>41</v>
      </c>
      <c r="T229" s="97">
        <f>10^6</f>
        <v>1000000</v>
      </c>
      <c r="U229" s="97"/>
      <c r="V229" s="97"/>
      <c r="W229" s="95" t="s">
        <v>41</v>
      </c>
      <c r="X229" s="95"/>
      <c r="Y229" s="96">
        <f>+H227</f>
        <v>-1030.049237246</v>
      </c>
      <c r="Z229" s="96"/>
      <c r="AA229" s="96"/>
      <c r="AB229" s="96"/>
      <c r="AC229" s="96"/>
      <c r="AD229" s="92" t="s">
        <v>34</v>
      </c>
      <c r="AE229" s="96">
        <f>+N229*T229/O230*Y229</f>
        <v>-37.65736600072498</v>
      </c>
      <c r="AF229" s="96"/>
      <c r="AG229" s="96"/>
      <c r="AH229" s="96"/>
      <c r="AI229" s="96"/>
      <c r="AJ229" s="92" t="str">
        <f>IF(O4&gt;0,IF(ABS(AE229)&gt;Z9,"N/㎟  ＞   σca ,    N.G","N/㎟  ＜   σca ,    O.K"),IF(ABS(AE229)&gt;O9,"N/㎟  ＞   σta ,    N.G","N/㎟  ＜   σta ,    O.K"))</f>
        <v>N/㎟  ＜   σca ,    O.K</v>
      </c>
      <c r="AK229" s="92"/>
      <c r="AL229" s="92"/>
      <c r="AM229" s="92"/>
      <c r="AN229" s="92"/>
      <c r="AO229" s="92"/>
      <c r="AP229" s="92"/>
      <c r="AQ229" s="92"/>
      <c r="AR229" s="92"/>
      <c r="AS229" s="92"/>
    </row>
    <row r="230" spans="4:45" ht="24.75" customHeight="1">
      <c r="D230" s="92"/>
      <c r="E230" s="92"/>
      <c r="F230" s="92"/>
      <c r="G230" s="93" t="s">
        <v>62</v>
      </c>
      <c r="H230" s="93"/>
      <c r="I230" s="93"/>
      <c r="J230" s="92"/>
      <c r="K230" s="92"/>
      <c r="L230" s="92"/>
      <c r="M230" s="92"/>
      <c r="O230" s="94">
        <f>+AE222</f>
        <v>15814796042.42391</v>
      </c>
      <c r="P230" s="94"/>
      <c r="Q230" s="94"/>
      <c r="R230" s="94"/>
      <c r="S230" s="94"/>
      <c r="T230" s="94"/>
      <c r="U230" s="94"/>
      <c r="W230" s="95"/>
      <c r="X230" s="95"/>
      <c r="Y230" s="96"/>
      <c r="Z230" s="96"/>
      <c r="AA230" s="96"/>
      <c r="AB230" s="96"/>
      <c r="AC230" s="96"/>
      <c r="AD230" s="92"/>
      <c r="AE230" s="96"/>
      <c r="AF230" s="96"/>
      <c r="AG230" s="96"/>
      <c r="AH230" s="96"/>
      <c r="AI230" s="96"/>
      <c r="AJ230" s="92"/>
      <c r="AK230" s="92"/>
      <c r="AL230" s="92"/>
      <c r="AM230" s="92"/>
      <c r="AN230" s="92"/>
      <c r="AO230" s="92"/>
      <c r="AP230" s="92"/>
      <c r="AQ230" s="92"/>
      <c r="AR230" s="92"/>
      <c r="AS230" s="92"/>
    </row>
    <row r="231" spans="4:45" ht="24.75" customHeight="1">
      <c r="D231" s="92" t="s">
        <v>124</v>
      </c>
      <c r="E231" s="92"/>
      <c r="F231" s="92"/>
      <c r="G231" s="97" t="s">
        <v>114</v>
      </c>
      <c r="H231" s="97"/>
      <c r="I231" s="97"/>
      <c r="J231" s="92" t="s">
        <v>63</v>
      </c>
      <c r="K231" s="92"/>
      <c r="L231" s="92"/>
      <c r="M231" s="92" t="s">
        <v>34</v>
      </c>
      <c r="N231" s="98">
        <f>+N229</f>
        <v>578.1699954350281</v>
      </c>
      <c r="O231" s="98"/>
      <c r="P231" s="98"/>
      <c r="Q231" s="98"/>
      <c r="R231" s="98"/>
      <c r="S231" s="19" t="s">
        <v>41</v>
      </c>
      <c r="T231" s="97">
        <f>10^6</f>
        <v>1000000</v>
      </c>
      <c r="U231" s="97"/>
      <c r="V231" s="97"/>
      <c r="W231" s="95" t="s">
        <v>41</v>
      </c>
      <c r="X231" s="95"/>
      <c r="Y231" s="96">
        <f>+Q227</f>
        <v>1193.950762754</v>
      </c>
      <c r="Z231" s="96"/>
      <c r="AA231" s="96"/>
      <c r="AB231" s="96"/>
      <c r="AC231" s="96"/>
      <c r="AD231" s="92" t="s">
        <v>34</v>
      </c>
      <c r="AE231" s="96">
        <f>+N231*T231/O232*Y231</f>
        <v>43.649409401129795</v>
      </c>
      <c r="AF231" s="96"/>
      <c r="AG231" s="96"/>
      <c r="AH231" s="96"/>
      <c r="AI231" s="96"/>
      <c r="AJ231" s="92" t="str">
        <f>IF(O4&gt;0,IF(ABS(AE231)&gt;O9,"N/㎟  ＞   σta ,    N.G","N/㎟  ＜   σta ,    O.K"),IF(ABS(AE231)&gt;Z9,"N/㎟  ＞   σca ,    N.G","N/㎟  ＜   σca ,    O.K"))</f>
        <v>N/㎟  ＜   σta ,    O.K</v>
      </c>
      <c r="AK231" s="92"/>
      <c r="AL231" s="92"/>
      <c r="AM231" s="92"/>
      <c r="AN231" s="92"/>
      <c r="AO231" s="92"/>
      <c r="AP231" s="92"/>
      <c r="AQ231" s="92"/>
      <c r="AR231" s="92"/>
      <c r="AS231" s="92"/>
    </row>
    <row r="232" spans="4:45" ht="24.75" customHeight="1">
      <c r="D232" s="92"/>
      <c r="E232" s="92"/>
      <c r="F232" s="92"/>
      <c r="G232" s="93" t="s">
        <v>62</v>
      </c>
      <c r="H232" s="93"/>
      <c r="I232" s="93"/>
      <c r="J232" s="92"/>
      <c r="K232" s="92"/>
      <c r="L232" s="92"/>
      <c r="M232" s="92"/>
      <c r="O232" s="94">
        <f>+O230</f>
        <v>15814796042.42391</v>
      </c>
      <c r="P232" s="94"/>
      <c r="Q232" s="94"/>
      <c r="R232" s="94"/>
      <c r="S232" s="94"/>
      <c r="T232" s="94"/>
      <c r="U232" s="94"/>
      <c r="W232" s="95"/>
      <c r="X232" s="95"/>
      <c r="Y232" s="96"/>
      <c r="Z232" s="96"/>
      <c r="AA232" s="96"/>
      <c r="AB232" s="96"/>
      <c r="AC232" s="96"/>
      <c r="AD232" s="92"/>
      <c r="AE232" s="96"/>
      <c r="AF232" s="96"/>
      <c r="AG232" s="96"/>
      <c r="AH232" s="96"/>
      <c r="AI232" s="96"/>
      <c r="AJ232" s="92"/>
      <c r="AK232" s="92"/>
      <c r="AL232" s="92"/>
      <c r="AM232" s="92"/>
      <c r="AN232" s="92"/>
      <c r="AO232" s="92"/>
      <c r="AP232" s="92"/>
      <c r="AQ232" s="92"/>
      <c r="AR232" s="92"/>
      <c r="AS232" s="92"/>
    </row>
    <row r="233" spans="4:32" ht="24.75" customHeight="1">
      <c r="D233" s="8"/>
      <c r="E233" s="8"/>
      <c r="G233" s="53"/>
      <c r="H233" s="53"/>
      <c r="I233" s="53"/>
      <c r="J233" s="53"/>
      <c r="K233" s="53"/>
      <c r="M233" s="53"/>
      <c r="N233" s="53"/>
      <c r="O233" s="53"/>
      <c r="P233" s="53"/>
      <c r="Q233" s="53"/>
      <c r="S233" s="53"/>
      <c r="T233" s="53"/>
      <c r="U233" s="53"/>
      <c r="V233" s="53"/>
      <c r="W233" s="53"/>
      <c r="X233" s="25"/>
      <c r="Y233" s="25"/>
      <c r="Z233" s="25"/>
      <c r="AA233" s="25"/>
      <c r="AB233" s="25"/>
      <c r="AC233" s="25"/>
      <c r="AD233" s="25"/>
      <c r="AE233" s="25"/>
      <c r="AF233" s="25"/>
    </row>
    <row r="236" spans="1:2" ht="24.75" customHeight="1">
      <c r="A236" s="4"/>
      <c r="B236" s="145" t="s">
        <v>268</v>
      </c>
    </row>
    <row r="237" spans="3:43" ht="24.75" customHeight="1">
      <c r="C237" s="5" t="s">
        <v>207</v>
      </c>
      <c r="O237" s="146">
        <v>4971.32124776</v>
      </c>
      <c r="P237" s="146"/>
      <c r="Q237" s="146"/>
      <c r="R237" s="146"/>
      <c r="S237" s="146"/>
      <c r="T237" s="5" t="s">
        <v>111</v>
      </c>
      <c r="Z237" s="5" t="s">
        <v>12</v>
      </c>
      <c r="AE237" s="5" t="s">
        <v>105</v>
      </c>
      <c r="AG237" s="146">
        <v>2.4</v>
      </c>
      <c r="AH237" s="146"/>
      <c r="AI237" s="146"/>
      <c r="AJ237" s="5" t="s">
        <v>106</v>
      </c>
      <c r="AL237" s="5" t="s">
        <v>107</v>
      </c>
      <c r="AN237" s="146">
        <v>2.1</v>
      </c>
      <c r="AO237" s="146"/>
      <c r="AP237" s="146"/>
      <c r="AQ237" s="5" t="s">
        <v>106</v>
      </c>
    </row>
    <row r="238" spans="3:36" ht="24.75" customHeight="1">
      <c r="C238" s="5" t="s">
        <v>208</v>
      </c>
      <c r="O238" s="146">
        <v>732.86092548</v>
      </c>
      <c r="P238" s="146"/>
      <c r="Q238" s="146"/>
      <c r="R238" s="146"/>
      <c r="S238" s="146"/>
      <c r="T238" s="5" t="s">
        <v>112</v>
      </c>
      <c r="Z238" s="5" t="s">
        <v>13</v>
      </c>
      <c r="AE238" s="5" t="s">
        <v>108</v>
      </c>
      <c r="AG238" s="146">
        <v>2.2</v>
      </c>
      <c r="AH238" s="146"/>
      <c r="AI238" s="146"/>
      <c r="AJ238" s="5" t="s">
        <v>106</v>
      </c>
    </row>
    <row r="239" spans="3:36" ht="24.75" customHeight="1">
      <c r="C239" s="5" t="s">
        <v>174</v>
      </c>
      <c r="J239" s="53"/>
      <c r="K239" s="53"/>
      <c r="L239" s="53"/>
      <c r="M239" s="53"/>
      <c r="N239" s="53"/>
      <c r="O239" s="146">
        <v>564.09475276</v>
      </c>
      <c r="P239" s="146"/>
      <c r="Q239" s="146"/>
      <c r="R239" s="146"/>
      <c r="S239" s="146"/>
      <c r="T239" s="5" t="s">
        <v>111</v>
      </c>
      <c r="Z239" s="5" t="s">
        <v>14</v>
      </c>
      <c r="AE239" s="147" t="s">
        <v>109</v>
      </c>
      <c r="AF239" s="147"/>
      <c r="AG239" s="148">
        <f>DEGREES(ATAN((AG237-AN237)/2/AG238))</f>
        <v>3.900493742381888</v>
      </c>
      <c r="AH239" s="148"/>
      <c r="AI239" s="148"/>
      <c r="AJ239" s="149" t="s">
        <v>110</v>
      </c>
    </row>
    <row r="240" spans="3:28" ht="24.75" customHeight="1">
      <c r="C240" s="5" t="s">
        <v>175</v>
      </c>
      <c r="O240" s="150">
        <v>-40.333095674</v>
      </c>
      <c r="P240" s="150"/>
      <c r="Q240" s="150"/>
      <c r="R240" s="150"/>
      <c r="S240" s="150"/>
      <c r="T240" s="5" t="s">
        <v>218</v>
      </c>
      <c r="AB240" s="151" t="s">
        <v>11</v>
      </c>
    </row>
    <row r="241" spans="3:47" ht="24.75" customHeight="1">
      <c r="C241" s="5" t="s">
        <v>176</v>
      </c>
      <c r="O241" s="150">
        <v>46.600884388</v>
      </c>
      <c r="P241" s="150"/>
      <c r="Q241" s="150"/>
      <c r="R241" s="150"/>
      <c r="S241" s="150"/>
      <c r="T241" s="5" t="s">
        <v>218</v>
      </c>
      <c r="AU241" s="152"/>
    </row>
    <row r="242" spans="3:85" ht="24.75" customHeight="1">
      <c r="C242" s="5" t="s">
        <v>177</v>
      </c>
      <c r="F242" s="153" t="s">
        <v>266</v>
      </c>
      <c r="G242" s="153"/>
      <c r="H242" s="153"/>
      <c r="I242" s="153"/>
      <c r="J242" s="145" t="s">
        <v>257</v>
      </c>
      <c r="L242" s="5" t="s">
        <v>148</v>
      </c>
      <c r="O242" s="102">
        <f>HLOOKUP(F242,AX243:CJ246,AU243,FALSE)</f>
        <v>210</v>
      </c>
      <c r="P242" s="102"/>
      <c r="Q242" s="102"/>
      <c r="R242" s="102"/>
      <c r="S242" s="5" t="s">
        <v>218</v>
      </c>
      <c r="W242" s="5" t="s">
        <v>149</v>
      </c>
      <c r="Z242" s="150">
        <v>188.533333333</v>
      </c>
      <c r="AA242" s="150"/>
      <c r="AB242" s="150"/>
      <c r="AC242" s="150"/>
      <c r="AD242" s="5" t="s">
        <v>218</v>
      </c>
      <c r="AH242" s="5" t="s">
        <v>150</v>
      </c>
      <c r="AK242" s="102">
        <f>HLOOKUP(F242,AX248:CJ251,AU248,FALSE)</f>
        <v>120</v>
      </c>
      <c r="AL242" s="102"/>
      <c r="AM242" s="102"/>
      <c r="AN242" s="102"/>
      <c r="AO242" s="5" t="s">
        <v>218</v>
      </c>
      <c r="AU242" s="143" t="s">
        <v>220</v>
      </c>
      <c r="AV242" s="143"/>
      <c r="AW242" s="143"/>
      <c r="AX242" s="143"/>
      <c r="AY242" s="143"/>
      <c r="AZ242" s="143"/>
      <c r="BA242" s="143"/>
      <c r="BB242" s="143"/>
      <c r="BC242" s="143"/>
      <c r="BD242" s="143"/>
      <c r="BE242" s="143"/>
      <c r="BF242" s="152"/>
      <c r="BG242" s="152"/>
      <c r="BH242" s="152"/>
      <c r="BI242" s="152"/>
      <c r="BJ242" s="152"/>
      <c r="BK242" s="152"/>
      <c r="BL242" s="152"/>
      <c r="BM242" s="152"/>
      <c r="BN242" s="152"/>
      <c r="BO242" s="152"/>
      <c r="BP242" s="152"/>
      <c r="BQ242" s="152"/>
      <c r="BR242" s="152"/>
      <c r="BS242" s="152"/>
      <c r="BT242" s="152"/>
      <c r="BU242" s="152"/>
      <c r="BV242" s="152"/>
      <c r="BW242" s="152"/>
      <c r="BX242" s="152"/>
      <c r="BY242" s="152"/>
      <c r="BZ242" s="152"/>
      <c r="CA242" s="152"/>
      <c r="CB242" s="152"/>
      <c r="CC242" s="152"/>
      <c r="CD242" s="152"/>
      <c r="CE242" s="152"/>
      <c r="CF242" s="152"/>
      <c r="CG242" s="152"/>
    </row>
    <row r="243" spans="3:88" ht="24.75" customHeight="1">
      <c r="C243" s="5" t="s">
        <v>189</v>
      </c>
      <c r="H243" s="154">
        <v>22</v>
      </c>
      <c r="I243" s="154"/>
      <c r="J243" s="154"/>
      <c r="K243" s="155" t="s">
        <v>267</v>
      </c>
      <c r="L243" s="156">
        <v>10</v>
      </c>
      <c r="M243" s="156"/>
      <c r="N243" s="156"/>
      <c r="O243" s="5" t="s">
        <v>40</v>
      </c>
      <c r="R243" s="124">
        <f>IF(H243=20,IF(L243=10,39000,31000),IF(H243=22,IF(L243=10,48000,39000),IF(H243=24,IF(L243=10,56000,45000),"確認希望")))</f>
        <v>48000</v>
      </c>
      <c r="S243" s="124"/>
      <c r="T243" s="124"/>
      <c r="U243" s="5" t="s">
        <v>41</v>
      </c>
      <c r="V243" s="144">
        <v>2</v>
      </c>
      <c r="W243" s="144"/>
      <c r="X243" s="144"/>
      <c r="Y243" s="144"/>
      <c r="Z243" s="8" t="s">
        <v>34</v>
      </c>
      <c r="AA243" s="92">
        <f>+R243*V243</f>
        <v>96000</v>
      </c>
      <c r="AB243" s="92"/>
      <c r="AC243" s="92"/>
      <c r="AD243" s="5" t="s">
        <v>113</v>
      </c>
      <c r="AU243" s="135">
        <f>IF(AM252&lt;=40,2,IF(AM252&lt;=75,3,4))</f>
        <v>2</v>
      </c>
      <c r="AV243" s="136"/>
      <c r="AW243" s="137"/>
      <c r="AX243" s="138" t="s">
        <v>91</v>
      </c>
      <c r="AY243" s="139"/>
      <c r="AZ243" s="140"/>
      <c r="BA243" s="138" t="s">
        <v>92</v>
      </c>
      <c r="BB243" s="139"/>
      <c r="BC243" s="140"/>
      <c r="BD243" s="138" t="s">
        <v>93</v>
      </c>
      <c r="BE243" s="139"/>
      <c r="BF243" s="140"/>
      <c r="BG243" s="138" t="s">
        <v>132</v>
      </c>
      <c r="BH243" s="139"/>
      <c r="BI243" s="140"/>
      <c r="BJ243" s="138" t="s">
        <v>90</v>
      </c>
      <c r="BK243" s="139"/>
      <c r="BL243" s="140"/>
      <c r="BM243" s="157" t="s">
        <v>133</v>
      </c>
      <c r="BN243" s="158"/>
      <c r="BO243" s="159"/>
      <c r="BP243" s="138" t="s">
        <v>94</v>
      </c>
      <c r="BQ243" s="139"/>
      <c r="BR243" s="140"/>
      <c r="BS243" s="138" t="s">
        <v>95</v>
      </c>
      <c r="BT243" s="139"/>
      <c r="BU243" s="140"/>
      <c r="BV243" s="138" t="s">
        <v>96</v>
      </c>
      <c r="BW243" s="139"/>
      <c r="BX243" s="140"/>
      <c r="BY243" s="157" t="s">
        <v>134</v>
      </c>
      <c r="BZ243" s="158"/>
      <c r="CA243" s="159"/>
      <c r="CB243" s="138" t="s">
        <v>97</v>
      </c>
      <c r="CC243" s="139"/>
      <c r="CD243" s="140"/>
      <c r="CE243" s="138" t="s">
        <v>98</v>
      </c>
      <c r="CF243" s="139"/>
      <c r="CG243" s="140"/>
      <c r="CH243" s="157" t="s">
        <v>135</v>
      </c>
      <c r="CI243" s="158"/>
      <c r="CJ243" s="159"/>
    </row>
    <row r="244" spans="10:88" ht="24.75" customHeight="1">
      <c r="J244" s="160"/>
      <c r="AU244" s="161">
        <v>40</v>
      </c>
      <c r="AV244" s="161"/>
      <c r="AW244" s="161"/>
      <c r="AX244" s="135">
        <v>140</v>
      </c>
      <c r="AY244" s="136"/>
      <c r="AZ244" s="137"/>
      <c r="BA244" s="135">
        <f>AX244</f>
        <v>140</v>
      </c>
      <c r="BB244" s="136"/>
      <c r="BC244" s="137"/>
      <c r="BD244" s="135">
        <f>AX244</f>
        <v>140</v>
      </c>
      <c r="BE244" s="136"/>
      <c r="BF244" s="137"/>
      <c r="BG244" s="135">
        <v>140</v>
      </c>
      <c r="BH244" s="136"/>
      <c r="BI244" s="137"/>
      <c r="BJ244" s="135">
        <v>185</v>
      </c>
      <c r="BK244" s="136"/>
      <c r="BL244" s="137"/>
      <c r="BM244" s="135">
        <f>BJ244</f>
        <v>185</v>
      </c>
      <c r="BN244" s="136"/>
      <c r="BO244" s="137"/>
      <c r="BP244" s="135">
        <v>210</v>
      </c>
      <c r="BQ244" s="136"/>
      <c r="BR244" s="137"/>
      <c r="BS244" s="135">
        <f>BP244</f>
        <v>210</v>
      </c>
      <c r="BT244" s="136"/>
      <c r="BU244" s="137"/>
      <c r="BV244" s="135">
        <f>BP244</f>
        <v>210</v>
      </c>
      <c r="BW244" s="136"/>
      <c r="BX244" s="137"/>
      <c r="BY244" s="135">
        <v>210</v>
      </c>
      <c r="BZ244" s="136"/>
      <c r="CA244" s="137"/>
      <c r="CB244" s="135">
        <v>255</v>
      </c>
      <c r="CC244" s="136"/>
      <c r="CD244" s="137"/>
      <c r="CE244" s="135">
        <f>CB244</f>
        <v>255</v>
      </c>
      <c r="CF244" s="136"/>
      <c r="CG244" s="137"/>
      <c r="CH244" s="135">
        <f>CE244</f>
        <v>255</v>
      </c>
      <c r="CI244" s="136"/>
      <c r="CJ244" s="137"/>
    </row>
    <row r="245" spans="2:88" ht="24.75" customHeight="1">
      <c r="B245" s="5" t="s">
        <v>0</v>
      </c>
      <c r="I245" s="92" t="str">
        <f>IF(O237&gt;0,"(上フランジ)","(下フランジ)")</f>
        <v>(上フランジ)</v>
      </c>
      <c r="J245" s="92"/>
      <c r="K245" s="92"/>
      <c r="L245" s="92"/>
      <c r="M245" s="92"/>
      <c r="N245" s="92"/>
      <c r="O245" s="5" t="s">
        <v>249</v>
      </c>
      <c r="AU245" s="162" t="s">
        <v>99</v>
      </c>
      <c r="AV245" s="162"/>
      <c r="AW245" s="162"/>
      <c r="AX245" s="135">
        <v>125</v>
      </c>
      <c r="AY245" s="136"/>
      <c r="AZ245" s="137"/>
      <c r="BA245" s="135">
        <f>AX245</f>
        <v>125</v>
      </c>
      <c r="BB245" s="136"/>
      <c r="BC245" s="137"/>
      <c r="BD245" s="135">
        <f>AX245</f>
        <v>125</v>
      </c>
      <c r="BE245" s="136"/>
      <c r="BF245" s="137"/>
      <c r="BG245" s="135">
        <v>140</v>
      </c>
      <c r="BH245" s="136"/>
      <c r="BI245" s="137"/>
      <c r="BJ245" s="135">
        <v>175</v>
      </c>
      <c r="BK245" s="136"/>
      <c r="BL245" s="137"/>
      <c r="BM245" s="135">
        <f>BM244</f>
        <v>185</v>
      </c>
      <c r="BN245" s="136"/>
      <c r="BO245" s="137"/>
      <c r="BP245" s="135">
        <v>200</v>
      </c>
      <c r="BQ245" s="136"/>
      <c r="BR245" s="137"/>
      <c r="BS245" s="135">
        <f>BP245</f>
        <v>200</v>
      </c>
      <c r="BT245" s="136"/>
      <c r="BU245" s="137"/>
      <c r="BV245" s="135">
        <f>BP245</f>
        <v>200</v>
      </c>
      <c r="BW245" s="136"/>
      <c r="BX245" s="137"/>
      <c r="BY245" s="135">
        <v>210</v>
      </c>
      <c r="BZ245" s="136"/>
      <c r="CA245" s="137"/>
      <c r="CB245" s="135">
        <v>245</v>
      </c>
      <c r="CC245" s="136"/>
      <c r="CD245" s="137"/>
      <c r="CE245" s="135">
        <f>CB245</f>
        <v>245</v>
      </c>
      <c r="CF245" s="136"/>
      <c r="CG245" s="137"/>
      <c r="CH245" s="135">
        <f>CH244</f>
        <v>255</v>
      </c>
      <c r="CI245" s="136"/>
      <c r="CJ245" s="137"/>
    </row>
    <row r="246" spans="3:88" ht="24.75" customHeight="1">
      <c r="C246" s="5" t="s">
        <v>115</v>
      </c>
      <c r="E246" s="142">
        <f>IF(O237&gt;0,ABS(O240),ABS(O241))</f>
        <v>40.333095674</v>
      </c>
      <c r="F246" s="142"/>
      <c r="G246" s="142"/>
      <c r="H246" s="142"/>
      <c r="I246" s="142"/>
      <c r="J246" s="142"/>
      <c r="K246" s="5" t="str">
        <f>+T240</f>
        <v>N/㎟</v>
      </c>
      <c r="AU246" s="162" t="s">
        <v>100</v>
      </c>
      <c r="AV246" s="162"/>
      <c r="AW246" s="162"/>
      <c r="AX246" s="135">
        <v>125</v>
      </c>
      <c r="AY246" s="136"/>
      <c r="AZ246" s="137"/>
      <c r="BA246" s="135">
        <f>AX246</f>
        <v>125</v>
      </c>
      <c r="BB246" s="136"/>
      <c r="BC246" s="137"/>
      <c r="BD246" s="135">
        <f>AX246</f>
        <v>125</v>
      </c>
      <c r="BE246" s="136"/>
      <c r="BF246" s="137"/>
      <c r="BG246" s="135">
        <v>140</v>
      </c>
      <c r="BH246" s="136"/>
      <c r="BI246" s="137"/>
      <c r="BJ246" s="135">
        <v>175</v>
      </c>
      <c r="BK246" s="136"/>
      <c r="BL246" s="137"/>
      <c r="BM246" s="135">
        <f>BM244</f>
        <v>185</v>
      </c>
      <c r="BN246" s="136"/>
      <c r="BO246" s="137"/>
      <c r="BP246" s="135">
        <v>195</v>
      </c>
      <c r="BQ246" s="136"/>
      <c r="BR246" s="137"/>
      <c r="BS246" s="135">
        <f>BP246</f>
        <v>195</v>
      </c>
      <c r="BT246" s="136"/>
      <c r="BU246" s="137"/>
      <c r="BV246" s="135">
        <f>BP246</f>
        <v>195</v>
      </c>
      <c r="BW246" s="136"/>
      <c r="BX246" s="137"/>
      <c r="BY246" s="135">
        <v>210</v>
      </c>
      <c r="BZ246" s="136"/>
      <c r="CA246" s="137"/>
      <c r="CB246" s="135">
        <v>240</v>
      </c>
      <c r="CC246" s="136"/>
      <c r="CD246" s="137"/>
      <c r="CE246" s="135">
        <f>CB246</f>
        <v>240</v>
      </c>
      <c r="CF246" s="136"/>
      <c r="CG246" s="137"/>
      <c r="CH246" s="135">
        <f>CH244</f>
        <v>255</v>
      </c>
      <c r="CI246" s="136"/>
      <c r="CJ246" s="137"/>
    </row>
    <row r="247" spans="3:54" ht="24.75" customHeight="1">
      <c r="C247" s="5" t="s">
        <v>116</v>
      </c>
      <c r="E247" s="130">
        <v>0.75</v>
      </c>
      <c r="F247" s="130"/>
      <c r="G247" s="130"/>
      <c r="H247" s="130"/>
      <c r="I247" s="5" t="s">
        <v>41</v>
      </c>
      <c r="J247" s="102">
        <f>Z242</f>
        <v>188.533333333</v>
      </c>
      <c r="K247" s="102"/>
      <c r="L247" s="102"/>
      <c r="M247" s="5" t="s">
        <v>34</v>
      </c>
      <c r="N247" s="89">
        <f>+E247*J247</f>
        <v>141.39999999975</v>
      </c>
      <c r="O247" s="89"/>
      <c r="P247" s="89"/>
      <c r="Q247" s="89"/>
      <c r="R247" s="5" t="str">
        <f>+K246</f>
        <v>N/㎟</v>
      </c>
      <c r="T247" s="10"/>
      <c r="U247" s="11"/>
      <c r="V247" s="12" t="s">
        <v>178</v>
      </c>
      <c r="AU247" s="141" t="s">
        <v>221</v>
      </c>
      <c r="AV247" s="141"/>
      <c r="AW247" s="141"/>
      <c r="AX247" s="141"/>
      <c r="AY247" s="141"/>
      <c r="AZ247" s="141"/>
      <c r="BA247" s="141"/>
      <c r="BB247" s="141"/>
    </row>
    <row r="248" spans="3:88" ht="24.75" customHeight="1">
      <c r="C248" s="5" t="s">
        <v>247</v>
      </c>
      <c r="L248" s="5" t="str">
        <f>IF(O237&gt;0,"σu","σl")</f>
        <v>σu</v>
      </c>
      <c r="N248" s="5" t="s">
        <v>179</v>
      </c>
      <c r="P248" s="89">
        <f>+MAX(E246,N247)</f>
        <v>141.39999999975</v>
      </c>
      <c r="Q248" s="89"/>
      <c r="R248" s="89"/>
      <c r="S248" s="89"/>
      <c r="T248" s="5" t="s">
        <v>222</v>
      </c>
      <c r="AU248" s="135">
        <f>AU243</f>
        <v>2</v>
      </c>
      <c r="AV248" s="136"/>
      <c r="AW248" s="137"/>
      <c r="AX248" s="138" t="s">
        <v>91</v>
      </c>
      <c r="AY248" s="139"/>
      <c r="AZ248" s="140"/>
      <c r="BA248" s="138" t="s">
        <v>92</v>
      </c>
      <c r="BB248" s="139"/>
      <c r="BC248" s="140"/>
      <c r="BD248" s="138" t="s">
        <v>93</v>
      </c>
      <c r="BE248" s="139"/>
      <c r="BF248" s="140"/>
      <c r="BG248" s="138" t="s">
        <v>132</v>
      </c>
      <c r="BH248" s="139"/>
      <c r="BI248" s="140"/>
      <c r="BJ248" s="138" t="s">
        <v>90</v>
      </c>
      <c r="BK248" s="139"/>
      <c r="BL248" s="140"/>
      <c r="BM248" s="157" t="s">
        <v>133</v>
      </c>
      <c r="BN248" s="158"/>
      <c r="BO248" s="159"/>
      <c r="BP248" s="138" t="s">
        <v>94</v>
      </c>
      <c r="BQ248" s="139"/>
      <c r="BR248" s="140"/>
      <c r="BS248" s="138" t="s">
        <v>95</v>
      </c>
      <c r="BT248" s="139"/>
      <c r="BU248" s="140"/>
      <c r="BV248" s="138" t="s">
        <v>96</v>
      </c>
      <c r="BW248" s="139"/>
      <c r="BX248" s="140"/>
      <c r="BY248" s="157" t="s">
        <v>134</v>
      </c>
      <c r="BZ248" s="158"/>
      <c r="CA248" s="159"/>
      <c r="CB248" s="138" t="s">
        <v>97</v>
      </c>
      <c r="CC248" s="139"/>
      <c r="CD248" s="140"/>
      <c r="CE248" s="138" t="s">
        <v>98</v>
      </c>
      <c r="CF248" s="139"/>
      <c r="CG248" s="140"/>
      <c r="CH248" s="157" t="s">
        <v>135</v>
      </c>
      <c r="CI248" s="158"/>
      <c r="CJ248" s="159"/>
    </row>
    <row r="249" spans="7:88" ht="24.75" customHeight="1">
      <c r="G249" s="9"/>
      <c r="AU249" s="161">
        <v>40</v>
      </c>
      <c r="AV249" s="161"/>
      <c r="AW249" s="161"/>
      <c r="AX249" s="135">
        <v>80</v>
      </c>
      <c r="AY249" s="136"/>
      <c r="AZ249" s="137"/>
      <c r="BA249" s="135">
        <f>AX249</f>
        <v>80</v>
      </c>
      <c r="BB249" s="136"/>
      <c r="BC249" s="137"/>
      <c r="BD249" s="135">
        <f>AX249</f>
        <v>80</v>
      </c>
      <c r="BE249" s="136"/>
      <c r="BF249" s="137"/>
      <c r="BG249" s="135">
        <v>80</v>
      </c>
      <c r="BH249" s="136"/>
      <c r="BI249" s="137"/>
      <c r="BJ249" s="135">
        <v>105</v>
      </c>
      <c r="BK249" s="136"/>
      <c r="BL249" s="137"/>
      <c r="BM249" s="135">
        <v>105</v>
      </c>
      <c r="BN249" s="136"/>
      <c r="BO249" s="137"/>
      <c r="BP249" s="135">
        <v>120</v>
      </c>
      <c r="BQ249" s="136"/>
      <c r="BR249" s="137"/>
      <c r="BS249" s="135">
        <f>BP249</f>
        <v>120</v>
      </c>
      <c r="BT249" s="136"/>
      <c r="BU249" s="137"/>
      <c r="BV249" s="135">
        <f>BP249</f>
        <v>120</v>
      </c>
      <c r="BW249" s="136"/>
      <c r="BX249" s="137"/>
      <c r="BY249" s="135">
        <v>120</v>
      </c>
      <c r="BZ249" s="136"/>
      <c r="CA249" s="137"/>
      <c r="CB249" s="135">
        <v>145</v>
      </c>
      <c r="CC249" s="136"/>
      <c r="CD249" s="137"/>
      <c r="CE249" s="135">
        <f>CB249</f>
        <v>145</v>
      </c>
      <c r="CF249" s="136"/>
      <c r="CG249" s="137"/>
      <c r="CH249" s="135">
        <v>145</v>
      </c>
      <c r="CI249" s="136"/>
      <c r="CJ249" s="137"/>
    </row>
    <row r="250" spans="7:88" ht="24.75" customHeight="1">
      <c r="G250" s="9"/>
      <c r="AU250" s="162" t="s">
        <v>99</v>
      </c>
      <c r="AV250" s="162"/>
      <c r="AW250" s="162"/>
      <c r="AX250" s="135">
        <v>75</v>
      </c>
      <c r="AY250" s="136"/>
      <c r="AZ250" s="137"/>
      <c r="BA250" s="135">
        <f>AX250</f>
        <v>75</v>
      </c>
      <c r="BB250" s="136"/>
      <c r="BC250" s="137"/>
      <c r="BD250" s="135">
        <f>AX250</f>
        <v>75</v>
      </c>
      <c r="BE250" s="136"/>
      <c r="BF250" s="137"/>
      <c r="BG250" s="135">
        <v>80</v>
      </c>
      <c r="BH250" s="136"/>
      <c r="BI250" s="137"/>
      <c r="BJ250" s="135">
        <v>100</v>
      </c>
      <c r="BK250" s="136"/>
      <c r="BL250" s="137"/>
      <c r="BM250" s="135">
        <v>105</v>
      </c>
      <c r="BN250" s="136"/>
      <c r="BO250" s="137"/>
      <c r="BP250" s="135">
        <v>115</v>
      </c>
      <c r="BQ250" s="136"/>
      <c r="BR250" s="137"/>
      <c r="BS250" s="135">
        <f>BP250</f>
        <v>115</v>
      </c>
      <c r="BT250" s="136"/>
      <c r="BU250" s="137"/>
      <c r="BV250" s="135">
        <f>BP250</f>
        <v>115</v>
      </c>
      <c r="BW250" s="136"/>
      <c r="BX250" s="137"/>
      <c r="BY250" s="135">
        <v>120</v>
      </c>
      <c r="BZ250" s="136"/>
      <c r="CA250" s="137"/>
      <c r="CB250" s="135">
        <v>140</v>
      </c>
      <c r="CC250" s="136"/>
      <c r="CD250" s="137"/>
      <c r="CE250" s="135">
        <f>CB250</f>
        <v>140</v>
      </c>
      <c r="CF250" s="136"/>
      <c r="CG250" s="137"/>
      <c r="CH250" s="135">
        <v>145</v>
      </c>
      <c r="CI250" s="136"/>
      <c r="CJ250" s="137"/>
    </row>
    <row r="251" spans="7:88" ht="24.75" customHeight="1">
      <c r="G251" s="9"/>
      <c r="AU251" s="162" t="s">
        <v>100</v>
      </c>
      <c r="AV251" s="162"/>
      <c r="AW251" s="162"/>
      <c r="AX251" s="135">
        <v>75</v>
      </c>
      <c r="AY251" s="136"/>
      <c r="AZ251" s="137"/>
      <c r="BA251" s="135">
        <f>AX251</f>
        <v>75</v>
      </c>
      <c r="BB251" s="136"/>
      <c r="BC251" s="137"/>
      <c r="BD251" s="135">
        <f>AX251</f>
        <v>75</v>
      </c>
      <c r="BE251" s="136"/>
      <c r="BF251" s="137"/>
      <c r="BG251" s="135">
        <v>80</v>
      </c>
      <c r="BH251" s="136"/>
      <c r="BI251" s="137"/>
      <c r="BJ251" s="135">
        <v>100</v>
      </c>
      <c r="BK251" s="136"/>
      <c r="BL251" s="137"/>
      <c r="BM251" s="135">
        <v>105</v>
      </c>
      <c r="BN251" s="136"/>
      <c r="BO251" s="137"/>
      <c r="BP251" s="135">
        <v>110</v>
      </c>
      <c r="BQ251" s="136"/>
      <c r="BR251" s="137"/>
      <c r="BS251" s="135">
        <f>BP251</f>
        <v>110</v>
      </c>
      <c r="BT251" s="136"/>
      <c r="BU251" s="137"/>
      <c r="BV251" s="135">
        <f>BP251</f>
        <v>110</v>
      </c>
      <c r="BW251" s="136"/>
      <c r="BX251" s="137"/>
      <c r="BY251" s="135">
        <v>120</v>
      </c>
      <c r="BZ251" s="136"/>
      <c r="CA251" s="137"/>
      <c r="CB251" s="135">
        <v>135</v>
      </c>
      <c r="CC251" s="136"/>
      <c r="CD251" s="137"/>
      <c r="CE251" s="135">
        <f>CB251</f>
        <v>135</v>
      </c>
      <c r="CF251" s="136"/>
      <c r="CG251" s="137"/>
      <c r="CH251" s="135">
        <v>145</v>
      </c>
      <c r="CI251" s="136"/>
      <c r="CJ251" s="137"/>
    </row>
    <row r="252" spans="7:41" ht="24.75" customHeight="1">
      <c r="G252" s="9"/>
      <c r="AH252" s="5" t="s">
        <v>180</v>
      </c>
      <c r="AM252" s="163">
        <v>15</v>
      </c>
      <c r="AN252" s="163"/>
      <c r="AO252" s="5" t="s">
        <v>84</v>
      </c>
    </row>
    <row r="253" spans="34:42" ht="24.75" customHeight="1">
      <c r="AH253" s="5" t="s">
        <v>217</v>
      </c>
      <c r="AM253" s="163">
        <v>2640</v>
      </c>
      <c r="AN253" s="163"/>
      <c r="AO253" s="163"/>
      <c r="AP253" s="4" t="s">
        <v>84</v>
      </c>
    </row>
    <row r="254" spans="34:43" ht="24.75" customHeight="1">
      <c r="AH254" s="5" t="s">
        <v>210</v>
      </c>
      <c r="AO254" s="163">
        <v>120</v>
      </c>
      <c r="AP254" s="163"/>
      <c r="AQ254" s="5" t="s">
        <v>84</v>
      </c>
    </row>
    <row r="255" spans="34:38" ht="24.75" customHeight="1">
      <c r="AH255" s="5" t="s">
        <v>201</v>
      </c>
      <c r="AL255" s="5" t="s">
        <v>223</v>
      </c>
    </row>
    <row r="260" ht="24.75" customHeight="1">
      <c r="C260" s="5" t="s">
        <v>181</v>
      </c>
    </row>
    <row r="261" spans="4:40" ht="24.75" customHeight="1">
      <c r="D261" s="5" t="s">
        <v>182</v>
      </c>
      <c r="I261" s="5" t="str">
        <f>IF(O237&gt;0,"Asσs ＋ 2 Pfwu","Asσs ＋ 2 Pfwl")</f>
        <v>Asσs ＋ 2 Pfwu</v>
      </c>
      <c r="P261" s="5" t="s">
        <v>89</v>
      </c>
      <c r="Q261" s="95">
        <f>+AM252</f>
        <v>15</v>
      </c>
      <c r="R261" s="95"/>
      <c r="S261" s="14" t="s">
        <v>41</v>
      </c>
      <c r="T261" s="114">
        <f>+AM253</f>
        <v>2640</v>
      </c>
      <c r="U261" s="114"/>
      <c r="V261" s="114"/>
      <c r="W261" s="14" t="s">
        <v>41</v>
      </c>
      <c r="X261" s="108">
        <f>P248</f>
        <v>141.39999999975</v>
      </c>
      <c r="Y261" s="108"/>
      <c r="Z261" s="108"/>
      <c r="AA261" s="14" t="s">
        <v>143</v>
      </c>
      <c r="AB261" s="95">
        <f>IF(O237&gt;0,AD403,AD420)</f>
        <v>44025.09888112242</v>
      </c>
      <c r="AC261" s="95"/>
      <c r="AD261" s="95"/>
      <c r="AE261" s="95"/>
      <c r="AF261" s="14" t="s">
        <v>138</v>
      </c>
      <c r="AG261" s="14"/>
      <c r="AH261" s="5" t="s">
        <v>89</v>
      </c>
      <c r="AI261" s="102">
        <f>Q261*T261*X261+AB261*2</f>
        <v>5687490.197752345</v>
      </c>
      <c r="AJ261" s="102"/>
      <c r="AK261" s="102"/>
      <c r="AL261" s="102"/>
      <c r="AM261" s="102"/>
      <c r="AN261" s="5" t="s">
        <v>113</v>
      </c>
    </row>
    <row r="262" spans="9:31" ht="24.75" customHeight="1">
      <c r="I262" s="5" t="s">
        <v>200</v>
      </c>
      <c r="V262" s="5" t="str">
        <f>IF(O237&gt;0,"Pfwu","Pfwl")</f>
        <v>Pfwu</v>
      </c>
      <c r="X262" s="14" t="s">
        <v>183</v>
      </c>
      <c r="Y262" s="14"/>
      <c r="AA262" s="6"/>
      <c r="AB262" s="6"/>
      <c r="AC262" s="6"/>
      <c r="AD262" s="6"/>
      <c r="AE262" s="6"/>
    </row>
    <row r="263" spans="4:41" ht="24.75" customHeight="1">
      <c r="D263" s="5" t="s">
        <v>151</v>
      </c>
      <c r="F263" s="14" t="s">
        <v>152</v>
      </c>
      <c r="J263" s="5" t="s">
        <v>89</v>
      </c>
      <c r="K263" s="102">
        <f>AI261</f>
        <v>5687490.197752345</v>
      </c>
      <c r="L263" s="102"/>
      <c r="M263" s="102"/>
      <c r="N263" s="102"/>
      <c r="O263" s="102"/>
      <c r="P263" s="17" t="s">
        <v>88</v>
      </c>
      <c r="Q263" s="89">
        <f>+AA243</f>
        <v>96000</v>
      </c>
      <c r="R263" s="89"/>
      <c r="S263" s="89"/>
      <c r="T263" s="89"/>
      <c r="U263" s="8" t="s">
        <v>30</v>
      </c>
      <c r="V263" s="113">
        <f>ROUNDUP(K263/Q263,1)</f>
        <v>59.300000000000004</v>
      </c>
      <c r="W263" s="113"/>
      <c r="X263" s="113"/>
      <c r="Y263" s="113"/>
      <c r="AA263" s="92" t="s">
        <v>43</v>
      </c>
      <c r="AB263" s="92"/>
      <c r="AC263" s="6"/>
      <c r="AE263" s="164">
        <v>80</v>
      </c>
      <c r="AF263" s="164"/>
      <c r="AG263" s="164"/>
      <c r="AH263" s="164"/>
      <c r="AI263" s="92" t="s">
        <v>5</v>
      </c>
      <c r="AJ263" s="92"/>
      <c r="AK263" s="92"/>
      <c r="AL263" s="92"/>
      <c r="AM263" s="92"/>
      <c r="AO263" s="5" t="str">
        <f>IF(V263&lt;=AE263,"O.K.","N.G.")</f>
        <v>O.K.</v>
      </c>
    </row>
    <row r="264" ht="24.75" customHeight="1">
      <c r="C264" s="5" t="s">
        <v>239</v>
      </c>
    </row>
    <row r="265" spans="4:33" ht="24.75" customHeight="1">
      <c r="D265" s="18" t="s">
        <v>184</v>
      </c>
      <c r="E265" s="18"/>
      <c r="F265" s="18"/>
      <c r="G265" s="18"/>
      <c r="H265" s="18"/>
      <c r="I265" s="18"/>
      <c r="J265" s="18"/>
      <c r="P265" s="15"/>
      <c r="Q265" s="102">
        <f>AI261</f>
        <v>5687490.197752345</v>
      </c>
      <c r="R265" s="102"/>
      <c r="S265" s="102"/>
      <c r="T265" s="102"/>
      <c r="U265" s="102"/>
      <c r="V265" s="17" t="s">
        <v>88</v>
      </c>
      <c r="W265" s="108">
        <f>Z242</f>
        <v>188.533333333</v>
      </c>
      <c r="X265" s="108"/>
      <c r="Y265" s="108"/>
      <c r="Z265" s="108"/>
      <c r="AA265" s="8" t="s">
        <v>34</v>
      </c>
      <c r="AB265" s="89">
        <f>Q265/W265</f>
        <v>30167.02721585432</v>
      </c>
      <c r="AC265" s="89"/>
      <c r="AD265" s="89"/>
      <c r="AE265" s="89"/>
      <c r="AF265" s="92" t="s">
        <v>101</v>
      </c>
      <c r="AG265" s="92"/>
    </row>
    <row r="266" spans="4:27" ht="24.75" customHeight="1">
      <c r="D266" s="5" t="s">
        <v>240</v>
      </c>
      <c r="I266" s="165">
        <v>2</v>
      </c>
      <c r="J266" s="165"/>
      <c r="K266" s="165"/>
      <c r="L266" s="126">
        <v>80</v>
      </c>
      <c r="M266" s="126"/>
      <c r="N266" s="126"/>
      <c r="O266" s="163">
        <v>9</v>
      </c>
      <c r="P266" s="163"/>
      <c r="Q266" s="127">
        <v>630</v>
      </c>
      <c r="R266" s="127"/>
      <c r="S266" s="127"/>
      <c r="T266" s="127"/>
      <c r="U266" s="5" t="s">
        <v>31</v>
      </c>
      <c r="W266" s="89">
        <f>+L266*O266*I266</f>
        <v>1440</v>
      </c>
      <c r="X266" s="89"/>
      <c r="Y266" s="89"/>
      <c r="Z266" s="89"/>
      <c r="AA266" s="5" t="s">
        <v>101</v>
      </c>
    </row>
    <row r="267" spans="9:45" ht="24.75" customHeight="1">
      <c r="I267" s="165">
        <v>6</v>
      </c>
      <c r="J267" s="165"/>
      <c r="K267" s="165"/>
      <c r="L267" s="126">
        <v>280</v>
      </c>
      <c r="M267" s="126"/>
      <c r="N267" s="126"/>
      <c r="O267" s="163">
        <v>9</v>
      </c>
      <c r="P267" s="163"/>
      <c r="Q267" s="127">
        <f>Q266</f>
        <v>630</v>
      </c>
      <c r="R267" s="127"/>
      <c r="S267" s="127"/>
      <c r="T267" s="127"/>
      <c r="U267" s="5" t="s">
        <v>31</v>
      </c>
      <c r="W267" s="89">
        <f>+L267*O267*I267</f>
        <v>15120</v>
      </c>
      <c r="X267" s="89"/>
      <c r="Y267" s="89"/>
      <c r="Z267" s="89"/>
      <c r="AA267" s="5" t="s">
        <v>101</v>
      </c>
      <c r="AR267" s="18"/>
      <c r="AS267" s="18"/>
    </row>
    <row r="268" spans="9:28" ht="24.75" customHeight="1">
      <c r="I268" s="165">
        <v>1</v>
      </c>
      <c r="J268" s="165"/>
      <c r="K268" s="165"/>
      <c r="L268" s="126">
        <f>+AM253-10</f>
        <v>2630</v>
      </c>
      <c r="M268" s="126"/>
      <c r="N268" s="126"/>
      <c r="O268" s="163">
        <v>9</v>
      </c>
      <c r="P268" s="163"/>
      <c r="Q268" s="127">
        <f>Q267</f>
        <v>630</v>
      </c>
      <c r="R268" s="127"/>
      <c r="S268" s="127"/>
      <c r="T268" s="127"/>
      <c r="U268" s="19" t="s">
        <v>31</v>
      </c>
      <c r="V268" s="19"/>
      <c r="W268" s="105">
        <f>+L268*O268*I268</f>
        <v>23670</v>
      </c>
      <c r="X268" s="105"/>
      <c r="Y268" s="105"/>
      <c r="Z268" s="105"/>
      <c r="AA268" s="19" t="s">
        <v>101</v>
      </c>
      <c r="AB268" s="19"/>
    </row>
    <row r="269" spans="21:39" ht="24.75" customHeight="1">
      <c r="U269" s="5" t="s">
        <v>32</v>
      </c>
      <c r="W269" s="89">
        <f>+SUM(W266:W268)</f>
        <v>40230</v>
      </c>
      <c r="X269" s="89"/>
      <c r="Y269" s="89"/>
      <c r="Z269" s="89"/>
      <c r="AA269" s="92" t="str">
        <f>IF(W269&gt;AB265,"mm² ＞  Asreq'd =","mm² ＜   Asreq'd =")</f>
        <v>mm² ＞  Asreq'd =</v>
      </c>
      <c r="AB269" s="92"/>
      <c r="AC269" s="92"/>
      <c r="AD269" s="92"/>
      <c r="AE269" s="92"/>
      <c r="AF269" s="92"/>
      <c r="AG269" s="92"/>
      <c r="AH269" s="92"/>
      <c r="AI269" s="89">
        <f>+AB265</f>
        <v>30167.02721585432</v>
      </c>
      <c r="AJ269" s="89"/>
      <c r="AK269" s="89"/>
      <c r="AL269" s="89"/>
      <c r="AM269" s="5" t="str">
        <f>IF(W269&gt;AB265,"mm² O.K","mm² N.G")</f>
        <v>mm² O.K</v>
      </c>
    </row>
    <row r="270" spans="4:38" ht="24.75" customHeight="1">
      <c r="D270" s="4" t="s">
        <v>241</v>
      </c>
      <c r="E270" s="4"/>
      <c r="F270" s="4"/>
      <c r="G270" s="4"/>
      <c r="H270" s="4"/>
      <c r="I270" s="4"/>
      <c r="J270" s="4"/>
      <c r="K270" s="4"/>
      <c r="O270" s="5" t="s">
        <v>89</v>
      </c>
      <c r="P270" s="102">
        <f>AI261</f>
        <v>5687490.197752345</v>
      </c>
      <c r="Q270" s="102"/>
      <c r="R270" s="102"/>
      <c r="S270" s="102"/>
      <c r="T270" s="102"/>
      <c r="U270" s="17" t="s">
        <v>88</v>
      </c>
      <c r="V270" s="89">
        <f>W269</f>
        <v>40230</v>
      </c>
      <c r="W270" s="89"/>
      <c r="X270" s="89"/>
      <c r="Y270" s="89"/>
      <c r="Z270" s="8" t="s">
        <v>34</v>
      </c>
      <c r="AA270" s="134">
        <f>P270/V270</f>
        <v>141.37435241740855</v>
      </c>
      <c r="AB270" s="134"/>
      <c r="AC270" s="134"/>
      <c r="AD270" s="134"/>
      <c r="AE270" s="134"/>
      <c r="AF270" s="18" t="str">
        <f>IF(AA270&gt;Z242,"N/㎟ ＞  σca , N.G","N/㎟＜  σca , O.K")</f>
        <v>N/㎟＜  σca , O.K</v>
      </c>
      <c r="AG270" s="18"/>
      <c r="AH270" s="18"/>
      <c r="AI270" s="18"/>
      <c r="AJ270" s="18"/>
      <c r="AK270" s="18"/>
      <c r="AL270" s="18"/>
    </row>
    <row r="271" spans="4:44" ht="24.75" customHeight="1">
      <c r="D271" s="21"/>
      <c r="E271" s="21"/>
      <c r="F271" s="21"/>
      <c r="G271" s="21"/>
      <c r="H271" s="21"/>
      <c r="I271" s="21"/>
      <c r="J271" s="21"/>
      <c r="K271" s="21"/>
      <c r="W271" s="8"/>
      <c r="X271" s="20"/>
      <c r="Y271" s="20"/>
      <c r="Z271" s="20"/>
      <c r="AA271" s="20"/>
      <c r="AR271" s="18"/>
    </row>
    <row r="272" ht="24.75" customHeight="1">
      <c r="C272" s="5" t="s">
        <v>192</v>
      </c>
    </row>
    <row r="273" spans="3:23" ht="24.75" customHeight="1">
      <c r="C273" s="5" t="s">
        <v>193</v>
      </c>
      <c r="M273" s="13"/>
      <c r="N273" s="13"/>
      <c r="O273" s="14"/>
      <c r="P273" s="15"/>
      <c r="Q273" s="15"/>
      <c r="R273" s="15"/>
      <c r="S273" s="14"/>
      <c r="T273" s="16"/>
      <c r="U273" s="16"/>
      <c r="V273" s="16"/>
      <c r="W273" s="16"/>
    </row>
    <row r="274" spans="4:38" ht="24.75" customHeight="1">
      <c r="D274" s="4" t="s">
        <v>153</v>
      </c>
      <c r="E274" s="21"/>
      <c r="F274" s="21"/>
      <c r="G274" s="13"/>
      <c r="H274" s="13"/>
      <c r="I274" s="8"/>
      <c r="J274" s="102">
        <f>AI261</f>
        <v>5687490.197752345</v>
      </c>
      <c r="K274" s="102"/>
      <c r="L274" s="102"/>
      <c r="M274" s="102"/>
      <c r="N274" s="102"/>
      <c r="O274" s="17" t="s">
        <v>88</v>
      </c>
      <c r="P274" s="133">
        <f>+AE263</f>
        <v>80</v>
      </c>
      <c r="Q274" s="133"/>
      <c r="R274" s="133"/>
      <c r="S274" s="133"/>
      <c r="U274" s="8" t="s">
        <v>34</v>
      </c>
      <c r="V274" s="100">
        <f>J274/P274</f>
        <v>71093.62747190431</v>
      </c>
      <c r="W274" s="100"/>
      <c r="X274" s="100"/>
      <c r="Y274" s="100"/>
      <c r="Z274" s="100"/>
      <c r="AA274" s="18" t="s">
        <v>202</v>
      </c>
      <c r="AB274" s="8"/>
      <c r="AC274" s="8"/>
      <c r="AD274" s="18" t="str">
        <f>IF(V274&gt;AA243," ＞  ρa    N.G","＜ ρa    O.K")</f>
        <v>＜ ρa    O.K</v>
      </c>
      <c r="AE274" s="8"/>
      <c r="AF274" s="8"/>
      <c r="AG274" s="8"/>
      <c r="AH274" s="8"/>
      <c r="AI274" s="8"/>
      <c r="AJ274" s="8"/>
      <c r="AK274" s="8"/>
      <c r="AL274" s="8"/>
    </row>
    <row r="275" spans="3:38" ht="24.75" customHeight="1">
      <c r="C275" s="14"/>
      <c r="D275" s="34"/>
      <c r="E275" s="34"/>
      <c r="F275" s="34"/>
      <c r="G275" s="13"/>
      <c r="H275" s="13"/>
      <c r="I275" s="13"/>
      <c r="J275" s="14"/>
      <c r="K275" s="14"/>
      <c r="L275" s="14"/>
      <c r="M275" s="35"/>
      <c r="N275" s="35"/>
      <c r="O275" s="35"/>
      <c r="P275" s="35"/>
      <c r="Q275" s="14"/>
      <c r="R275" s="14"/>
      <c r="S275" s="14"/>
      <c r="T275" s="14"/>
      <c r="U275" s="13"/>
      <c r="V275" s="71"/>
      <c r="W275" s="71"/>
      <c r="X275" s="71"/>
      <c r="Y275" s="71"/>
      <c r="Z275" s="71"/>
      <c r="AA275" s="13"/>
      <c r="AB275" s="13"/>
      <c r="AC275" s="13"/>
      <c r="AD275" s="13"/>
      <c r="AE275" s="13"/>
      <c r="AF275" s="13"/>
      <c r="AG275" s="13"/>
      <c r="AH275" s="13"/>
      <c r="AI275" s="13"/>
      <c r="AJ275" s="13"/>
      <c r="AK275" s="13"/>
      <c r="AL275" s="8"/>
    </row>
    <row r="276" spans="3:38" ht="24.75" customHeight="1">
      <c r="C276" s="5" t="s">
        <v>206</v>
      </c>
      <c r="D276" s="21"/>
      <c r="E276" s="21"/>
      <c r="F276" s="21"/>
      <c r="G276" s="8"/>
      <c r="H276" s="8"/>
      <c r="I276" s="8"/>
      <c r="U276" s="8"/>
      <c r="V276" s="22"/>
      <c r="W276" s="22"/>
      <c r="X276" s="22"/>
      <c r="Y276" s="22"/>
      <c r="Z276" s="22"/>
      <c r="AA276" s="8"/>
      <c r="AB276" s="8"/>
      <c r="AC276" s="8"/>
      <c r="AD276" s="8"/>
      <c r="AE276" s="8"/>
      <c r="AF276" s="8"/>
      <c r="AG276" s="8"/>
      <c r="AH276" s="8"/>
      <c r="AI276" s="8"/>
      <c r="AJ276" s="8"/>
      <c r="AK276" s="8"/>
      <c r="AL276" s="8"/>
    </row>
    <row r="277" spans="4:47" ht="24.75" customHeight="1">
      <c r="D277" s="5" t="s">
        <v>205</v>
      </c>
      <c r="AU277" s="23"/>
    </row>
    <row r="278" spans="5:47" ht="24.75" customHeight="1">
      <c r="E278" s="5" t="s">
        <v>211</v>
      </c>
      <c r="AU278" s="23"/>
    </row>
    <row r="279" ht="24.75" customHeight="1">
      <c r="D279" s="5" t="s">
        <v>7</v>
      </c>
    </row>
    <row r="280" spans="3:36" ht="24.75" customHeight="1">
      <c r="C280" s="106" t="s">
        <v>49</v>
      </c>
      <c r="D280" s="106"/>
      <c r="E280" s="106"/>
      <c r="G280" s="105">
        <f>O239</f>
        <v>564.09475276</v>
      </c>
      <c r="H280" s="105"/>
      <c r="I280" s="105"/>
      <c r="J280" s="19" t="s">
        <v>41</v>
      </c>
      <c r="K280" s="97">
        <v>1000000</v>
      </c>
      <c r="L280" s="97"/>
      <c r="M280" s="97"/>
      <c r="N280" s="97"/>
      <c r="P280" s="106" t="s">
        <v>47</v>
      </c>
      <c r="Q280" s="106"/>
      <c r="R280" s="122">
        <f>P274</f>
        <v>80</v>
      </c>
      <c r="S280" s="122"/>
      <c r="T280" s="122"/>
      <c r="U280" s="92" t="s">
        <v>34</v>
      </c>
      <c r="V280" s="92"/>
      <c r="W280" s="102">
        <f>ROUND((G280*K280/(I281*K281))/R280,1)</f>
        <v>1602.5</v>
      </c>
      <c r="X280" s="102"/>
      <c r="Y280" s="102"/>
      <c r="Z280" s="102"/>
      <c r="AA280" s="92" t="str">
        <f>IF(W280&gt;AA243,"N/本   ＞ ρa   N.G.","N/本  ＜  ρa   O.K.")</f>
        <v>N/本  ＜  ρa   O.K.</v>
      </c>
      <c r="AB280" s="92"/>
      <c r="AC280" s="92"/>
      <c r="AD280" s="92"/>
      <c r="AE280" s="92"/>
      <c r="AF280" s="92"/>
      <c r="AG280" s="92"/>
      <c r="AH280" s="92"/>
      <c r="AI280" s="92"/>
      <c r="AJ280" s="92"/>
    </row>
    <row r="281" spans="3:36" ht="24.75" customHeight="1">
      <c r="C281" s="106"/>
      <c r="D281" s="106"/>
      <c r="E281" s="106"/>
      <c r="I281" s="8">
        <v>2</v>
      </c>
      <c r="J281" s="14" t="s">
        <v>41</v>
      </c>
      <c r="K281" s="24">
        <f>AM380</f>
        <v>2200</v>
      </c>
      <c r="L281" s="25"/>
      <c r="M281" s="25"/>
      <c r="P281" s="106"/>
      <c r="Q281" s="106"/>
      <c r="R281" s="122"/>
      <c r="S281" s="122"/>
      <c r="T281" s="122"/>
      <c r="U281" s="92"/>
      <c r="V281" s="92"/>
      <c r="W281" s="102"/>
      <c r="X281" s="102"/>
      <c r="Y281" s="102"/>
      <c r="Z281" s="102"/>
      <c r="AA281" s="92"/>
      <c r="AB281" s="92"/>
      <c r="AC281" s="92"/>
      <c r="AD281" s="92"/>
      <c r="AE281" s="92"/>
      <c r="AF281" s="92"/>
      <c r="AG281" s="92"/>
      <c r="AH281" s="92"/>
      <c r="AI281" s="92"/>
      <c r="AJ281" s="92"/>
    </row>
    <row r="283" spans="3:9" ht="24.75" customHeight="1">
      <c r="C283" s="5" t="s">
        <v>212</v>
      </c>
      <c r="I283" s="23"/>
    </row>
    <row r="284" spans="4:31" ht="24.75" customHeight="1">
      <c r="D284" s="5" t="s">
        <v>50</v>
      </c>
      <c r="P284" s="119">
        <f>V274</f>
        <v>71093.62747190431</v>
      </c>
      <c r="Q284" s="119"/>
      <c r="R284" s="119"/>
      <c r="S284" s="119"/>
      <c r="T284" s="5" t="s">
        <v>48</v>
      </c>
      <c r="U284" s="104">
        <f>+W280</f>
        <v>1602.5</v>
      </c>
      <c r="V284" s="104"/>
      <c r="W284" s="104"/>
      <c r="X284" s="104"/>
      <c r="Y284" s="5" t="s">
        <v>33</v>
      </c>
      <c r="AA284" s="100">
        <f>ROUND(SQRT(P284^2+U284^2),1)</f>
        <v>71111.7</v>
      </c>
      <c r="AB284" s="100"/>
      <c r="AC284" s="100"/>
      <c r="AD284" s="100"/>
      <c r="AE284" s="5" t="str">
        <f>IF(AA284&gt;$AA$10,"N/本  ＞  ρa ,  N.G","N/本  ＜  ρa ,  O.K")</f>
        <v>N/本  ＜  ρa ,  O.K</v>
      </c>
    </row>
    <row r="285" spans="16:30" ht="24.75" customHeight="1">
      <c r="P285" s="26"/>
      <c r="Q285" s="26"/>
      <c r="R285" s="26"/>
      <c r="S285" s="26"/>
      <c r="U285" s="26"/>
      <c r="V285" s="26"/>
      <c r="W285" s="26"/>
      <c r="X285" s="26"/>
      <c r="AA285" s="9"/>
      <c r="AB285" s="9"/>
      <c r="AC285" s="9"/>
      <c r="AD285" s="9"/>
    </row>
    <row r="286" spans="2:11" ht="24.75" customHeight="1">
      <c r="B286" s="5" t="s">
        <v>187</v>
      </c>
      <c r="H286" s="27"/>
      <c r="K286" s="9"/>
    </row>
    <row r="287" spans="7:9" ht="24.75" customHeight="1">
      <c r="G287" s="27"/>
      <c r="I287" s="27"/>
    </row>
    <row r="288" spans="5:17" ht="24.75" customHeight="1">
      <c r="E288" s="166"/>
      <c r="F288" s="166"/>
      <c r="G288" s="166"/>
      <c r="K288" s="29"/>
      <c r="L288" s="29"/>
      <c r="M288" s="29"/>
      <c r="N288" s="166"/>
      <c r="Q288" s="30"/>
    </row>
    <row r="289" spans="17:31" ht="24.75" customHeight="1">
      <c r="Q289" s="30"/>
      <c r="U289" s="31"/>
      <c r="V289" s="31"/>
      <c r="X289" s="5" t="s">
        <v>185</v>
      </c>
      <c r="AB289" s="163">
        <v>150</v>
      </c>
      <c r="AC289" s="163"/>
      <c r="AD289" s="163"/>
      <c r="AE289" s="5" t="s">
        <v>84</v>
      </c>
    </row>
    <row r="290" spans="17:31" ht="24.75" customHeight="1">
      <c r="Q290" s="30"/>
      <c r="R290" s="30"/>
      <c r="S290" s="32"/>
      <c r="T290" s="32"/>
      <c r="U290" s="167"/>
      <c r="V290" s="33"/>
      <c r="X290" s="5" t="s">
        <v>186</v>
      </c>
      <c r="AB290" s="163">
        <v>14</v>
      </c>
      <c r="AC290" s="163"/>
      <c r="AD290" s="163"/>
      <c r="AE290" s="5" t="s">
        <v>84</v>
      </c>
    </row>
    <row r="291" spans="1:19" ht="24.75" customHeight="1">
      <c r="A291" s="53"/>
      <c r="B291" s="53"/>
      <c r="C291" s="53"/>
      <c r="D291" s="53"/>
      <c r="E291" s="53"/>
      <c r="F291" s="53"/>
      <c r="G291" s="53"/>
      <c r="H291" s="53"/>
      <c r="I291" s="53"/>
      <c r="J291" s="53"/>
      <c r="K291" s="53"/>
      <c r="L291" s="53"/>
      <c r="M291" s="53"/>
      <c r="N291" s="53"/>
      <c r="O291" s="53"/>
      <c r="P291" s="53"/>
      <c r="Q291" s="53"/>
      <c r="R291" s="53"/>
      <c r="S291" s="53"/>
    </row>
    <row r="292" spans="7:11" ht="24.75" customHeight="1">
      <c r="G292" s="27"/>
      <c r="I292" s="27"/>
      <c r="K292" s="9"/>
    </row>
    <row r="293" ht="24.75" customHeight="1">
      <c r="C293" s="5" t="s">
        <v>181</v>
      </c>
    </row>
    <row r="294" spans="4:41" ht="24.75" customHeight="1">
      <c r="D294" s="106" t="s">
        <v>42</v>
      </c>
      <c r="E294" s="106"/>
      <c r="F294" s="19" t="str">
        <f>IF(O237&gt;0,"As σu","As σl")</f>
        <v>As σu</v>
      </c>
      <c r="G294" s="19"/>
      <c r="H294" s="19"/>
      <c r="I294" s="92" t="s">
        <v>34</v>
      </c>
      <c r="J294" s="97">
        <f>+AB290</f>
        <v>14</v>
      </c>
      <c r="K294" s="97"/>
      <c r="L294" s="19" t="s">
        <v>41</v>
      </c>
      <c r="M294" s="132">
        <f>+AB289</f>
        <v>150</v>
      </c>
      <c r="N294" s="132"/>
      <c r="O294" s="132"/>
      <c r="P294" s="19" t="s">
        <v>41</v>
      </c>
      <c r="Q294" s="105">
        <f>P248</f>
        <v>141.39999999975</v>
      </c>
      <c r="R294" s="105"/>
      <c r="S294" s="105"/>
      <c r="T294" s="105"/>
      <c r="U294" s="92" t="s">
        <v>30</v>
      </c>
      <c r="V294" s="113">
        <f>ROUND(+J294*M294*Q294/M295,1)</f>
        <v>3.1</v>
      </c>
      <c r="W294" s="113"/>
      <c r="X294" s="113"/>
      <c r="Y294" s="113"/>
      <c r="Z294" s="92" t="s">
        <v>43</v>
      </c>
      <c r="AA294" s="92"/>
      <c r="AB294" s="92"/>
      <c r="AC294" s="164">
        <v>5</v>
      </c>
      <c r="AD294" s="164"/>
      <c r="AE294" s="164"/>
      <c r="AF294" s="164"/>
      <c r="AG294" s="92" t="s">
        <v>4</v>
      </c>
      <c r="AH294" s="92"/>
      <c r="AI294" s="92"/>
      <c r="AJ294" s="92"/>
      <c r="AM294" s="92" t="str">
        <f>IF(V294&lt;=AC294,"O.K.","N.G.")</f>
        <v>O.K.</v>
      </c>
      <c r="AN294" s="92"/>
      <c r="AO294" s="92"/>
    </row>
    <row r="295" spans="4:51" ht="24.75" customHeight="1">
      <c r="D295" s="106"/>
      <c r="E295" s="106"/>
      <c r="F295" s="92" t="s">
        <v>44</v>
      </c>
      <c r="G295" s="92"/>
      <c r="H295" s="92"/>
      <c r="I295" s="92"/>
      <c r="M295" s="89">
        <f>AA243</f>
        <v>96000</v>
      </c>
      <c r="N295" s="89"/>
      <c r="O295" s="89"/>
      <c r="P295" s="89"/>
      <c r="U295" s="92"/>
      <c r="V295" s="113"/>
      <c r="W295" s="113"/>
      <c r="X295" s="113"/>
      <c r="Y295" s="113"/>
      <c r="Z295" s="92"/>
      <c r="AA295" s="92"/>
      <c r="AB295" s="92"/>
      <c r="AC295" s="164"/>
      <c r="AD295" s="164"/>
      <c r="AE295" s="164"/>
      <c r="AF295" s="164"/>
      <c r="AG295" s="92"/>
      <c r="AH295" s="92"/>
      <c r="AI295" s="92"/>
      <c r="AJ295" s="92"/>
      <c r="AM295" s="92"/>
      <c r="AN295" s="92"/>
      <c r="AO295" s="92"/>
      <c r="AW295" s="8"/>
      <c r="AY295" s="18"/>
    </row>
    <row r="296" ht="24.75" customHeight="1">
      <c r="C296" s="5" t="s">
        <v>239</v>
      </c>
    </row>
    <row r="297" spans="4:28" ht="24.75" customHeight="1">
      <c r="D297" s="92" t="s">
        <v>188</v>
      </c>
      <c r="E297" s="106"/>
      <c r="F297" s="106"/>
      <c r="G297" s="106"/>
      <c r="H297" s="106"/>
      <c r="I297" s="106"/>
      <c r="J297" s="106"/>
      <c r="K297" s="132">
        <f>+J294</f>
        <v>14</v>
      </c>
      <c r="L297" s="132"/>
      <c r="M297" s="19" t="s">
        <v>41</v>
      </c>
      <c r="N297" s="132">
        <f>+M294</f>
        <v>150</v>
      </c>
      <c r="O297" s="132"/>
      <c r="P297" s="132"/>
      <c r="Q297" s="19" t="s">
        <v>41</v>
      </c>
      <c r="R297" s="105">
        <f>+Q294</f>
        <v>141.39999999975</v>
      </c>
      <c r="S297" s="105"/>
      <c r="T297" s="105"/>
      <c r="U297" s="105"/>
      <c r="V297" s="92" t="s">
        <v>34</v>
      </c>
      <c r="W297" s="89">
        <f>+K297*N297*R297/N298</f>
        <v>1575.0000000000002</v>
      </c>
      <c r="X297" s="89"/>
      <c r="Y297" s="89"/>
      <c r="Z297" s="89"/>
      <c r="AA297" s="103" t="s">
        <v>101</v>
      </c>
      <c r="AB297" s="103"/>
    </row>
    <row r="298" spans="4:54" ht="24.75" customHeight="1">
      <c r="D298" s="106"/>
      <c r="E298" s="106"/>
      <c r="F298" s="106"/>
      <c r="G298" s="106"/>
      <c r="H298" s="106"/>
      <c r="I298" s="106"/>
      <c r="J298" s="106"/>
      <c r="N298" s="89">
        <f>Z242</f>
        <v>188.533333333</v>
      </c>
      <c r="O298" s="89"/>
      <c r="P298" s="89"/>
      <c r="Q298" s="89"/>
      <c r="V298" s="92"/>
      <c r="W298" s="89"/>
      <c r="X298" s="89"/>
      <c r="Y298" s="89"/>
      <c r="Z298" s="89"/>
      <c r="AA298" s="103"/>
      <c r="AB298" s="103"/>
      <c r="AX298" s="23"/>
      <c r="AZ298" s="23"/>
      <c r="BB298" s="23"/>
    </row>
    <row r="299" spans="4:54" ht="24.75" customHeight="1">
      <c r="D299" s="5" t="s">
        <v>240</v>
      </c>
      <c r="I299" s="165">
        <v>2</v>
      </c>
      <c r="J299" s="165"/>
      <c r="K299" s="165"/>
      <c r="L299" s="126">
        <v>80</v>
      </c>
      <c r="M299" s="126"/>
      <c r="N299" s="126"/>
      <c r="O299" s="92">
        <v>9</v>
      </c>
      <c r="P299" s="92"/>
      <c r="Q299" s="127">
        <v>780</v>
      </c>
      <c r="R299" s="127"/>
      <c r="S299" s="127"/>
      <c r="T299" s="127"/>
      <c r="U299" s="5" t="s">
        <v>31</v>
      </c>
      <c r="W299" s="89">
        <f>+L299*O299*I299</f>
        <v>1440</v>
      </c>
      <c r="X299" s="89"/>
      <c r="Y299" s="89"/>
      <c r="Z299" s="89"/>
      <c r="AA299" s="5" t="s">
        <v>101</v>
      </c>
      <c r="AD299" s="5" t="str">
        <f>IF(W299&gt;=W297,"O.K.","N.G.")</f>
        <v>N.G.</v>
      </c>
      <c r="AT299" s="4"/>
      <c r="BB299" s="8"/>
    </row>
    <row r="301" spans="2:15" ht="24.75" customHeight="1">
      <c r="B301" s="5" t="s">
        <v>1</v>
      </c>
      <c r="I301" s="92" t="str">
        <f>IF(O237&gt;0,"(下フランジ)","(上フランジ)")</f>
        <v>(下フランジ)</v>
      </c>
      <c r="J301" s="92"/>
      <c r="K301" s="92"/>
      <c r="L301" s="92"/>
      <c r="M301" s="92"/>
      <c r="N301" s="92"/>
      <c r="O301" s="5" t="s">
        <v>249</v>
      </c>
    </row>
    <row r="302" spans="3:10" ht="24.75" customHeight="1">
      <c r="C302" s="5" t="s">
        <v>115</v>
      </c>
      <c r="E302" s="131">
        <f>IF(O237&gt;0,ABS(O241),ABS(O240))</f>
        <v>46.600884388</v>
      </c>
      <c r="F302" s="131"/>
      <c r="G302" s="131"/>
      <c r="H302" s="131"/>
      <c r="I302" s="131"/>
      <c r="J302" s="5" t="s">
        <v>218</v>
      </c>
    </row>
    <row r="303" spans="3:22" ht="24.75" customHeight="1">
      <c r="C303" s="5" t="s">
        <v>116</v>
      </c>
      <c r="E303" s="130">
        <f>+E247</f>
        <v>0.75</v>
      </c>
      <c r="F303" s="130"/>
      <c r="G303" s="130"/>
      <c r="H303" s="130"/>
      <c r="I303" s="5" t="s">
        <v>41</v>
      </c>
      <c r="J303" s="102">
        <f>O242</f>
        <v>210</v>
      </c>
      <c r="K303" s="102"/>
      <c r="L303" s="102"/>
      <c r="M303" s="5" t="s">
        <v>34</v>
      </c>
      <c r="N303" s="89">
        <f>+E303*J303</f>
        <v>157.5</v>
      </c>
      <c r="O303" s="89"/>
      <c r="P303" s="89"/>
      <c r="Q303" s="89"/>
      <c r="R303" s="5" t="str">
        <f>+J302</f>
        <v>N/㎟</v>
      </c>
      <c r="T303" s="10"/>
      <c r="U303" s="11"/>
      <c r="V303" s="12" t="s">
        <v>178</v>
      </c>
    </row>
    <row r="304" spans="3:20" ht="24.75" customHeight="1">
      <c r="C304" s="5" t="s">
        <v>247</v>
      </c>
      <c r="L304" s="5" t="str">
        <f>IF(O237&gt;0,"σl","σu")</f>
        <v>σl</v>
      </c>
      <c r="N304" s="5" t="s">
        <v>179</v>
      </c>
      <c r="P304" s="89">
        <f>+MAX(E302,N303)</f>
        <v>157.5</v>
      </c>
      <c r="Q304" s="89"/>
      <c r="R304" s="89"/>
      <c r="S304" s="89"/>
      <c r="T304" s="5" t="s">
        <v>222</v>
      </c>
    </row>
    <row r="306" ht="24.75" customHeight="1">
      <c r="G306" s="9"/>
    </row>
    <row r="307" spans="7:42" ht="24.75" customHeight="1">
      <c r="G307" s="9"/>
      <c r="AH307" s="5" t="s">
        <v>180</v>
      </c>
      <c r="AM307" s="163">
        <v>15</v>
      </c>
      <c r="AN307" s="163"/>
      <c r="AO307" s="163"/>
      <c r="AP307" s="5" t="s">
        <v>84</v>
      </c>
    </row>
    <row r="308" spans="7:42" ht="24.75" customHeight="1">
      <c r="G308" s="9"/>
      <c r="AH308" s="5" t="s">
        <v>217</v>
      </c>
      <c r="AM308" s="163">
        <v>2340</v>
      </c>
      <c r="AN308" s="163"/>
      <c r="AO308" s="163"/>
      <c r="AP308" s="5" t="s">
        <v>84</v>
      </c>
    </row>
    <row r="309" spans="34:43" ht="24.75" customHeight="1">
      <c r="AH309" s="5" t="s">
        <v>210</v>
      </c>
      <c r="AO309" s="163">
        <v>120</v>
      </c>
      <c r="AP309" s="163"/>
      <c r="AQ309" s="5" t="s">
        <v>84</v>
      </c>
    </row>
    <row r="310" spans="34:38" ht="24.75" customHeight="1">
      <c r="AH310" s="5" t="s">
        <v>201</v>
      </c>
      <c r="AL310" s="5" t="s">
        <v>213</v>
      </c>
    </row>
    <row r="311" spans="5:38" ht="24.75" customHeight="1">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row>
    <row r="312" spans="5:38" ht="24.75" customHeight="1">
      <c r="E312" s="34"/>
      <c r="F312" s="34"/>
      <c r="G312" s="14"/>
      <c r="H312" s="14"/>
      <c r="I312" s="14"/>
      <c r="J312" s="13"/>
      <c r="K312" s="13"/>
      <c r="L312" s="13"/>
      <c r="M312" s="14"/>
      <c r="N312" s="16"/>
      <c r="O312" s="16"/>
      <c r="P312" s="16"/>
      <c r="Q312" s="14"/>
      <c r="R312" s="16"/>
      <c r="S312" s="16"/>
      <c r="T312" s="16"/>
      <c r="U312" s="16"/>
      <c r="V312" s="13"/>
      <c r="W312" s="35"/>
      <c r="X312" s="35"/>
      <c r="Y312" s="35"/>
      <c r="Z312" s="35"/>
      <c r="AA312" s="13"/>
      <c r="AB312" s="13"/>
      <c r="AC312" s="13"/>
      <c r="AD312" s="168"/>
      <c r="AE312" s="168"/>
      <c r="AF312" s="168"/>
      <c r="AG312" s="168"/>
      <c r="AH312" s="13"/>
      <c r="AI312" s="13"/>
      <c r="AJ312" s="13"/>
      <c r="AK312" s="13"/>
      <c r="AL312" s="14"/>
    </row>
    <row r="313" spans="5:38" ht="24.75" customHeight="1">
      <c r="E313" s="34"/>
      <c r="F313" s="34"/>
      <c r="G313" s="13"/>
      <c r="H313" s="13"/>
      <c r="I313" s="13"/>
      <c r="J313" s="13"/>
      <c r="K313" s="14"/>
      <c r="L313" s="14"/>
      <c r="M313" s="14"/>
      <c r="N313" s="16"/>
      <c r="O313" s="16"/>
      <c r="P313" s="16"/>
      <c r="Q313" s="16"/>
      <c r="R313" s="14"/>
      <c r="S313" s="14"/>
      <c r="T313" s="14"/>
      <c r="U313" s="14"/>
      <c r="V313" s="13"/>
      <c r="W313" s="35"/>
      <c r="X313" s="35"/>
      <c r="Y313" s="35"/>
      <c r="Z313" s="35"/>
      <c r="AA313" s="13"/>
      <c r="AB313" s="13"/>
      <c r="AC313" s="13"/>
      <c r="AD313" s="168"/>
      <c r="AE313" s="168"/>
      <c r="AF313" s="168"/>
      <c r="AG313" s="168"/>
      <c r="AH313" s="13"/>
      <c r="AI313" s="13"/>
      <c r="AJ313" s="13"/>
      <c r="AK313" s="13"/>
      <c r="AL313" s="14"/>
    </row>
    <row r="314" spans="5:38" ht="24.75" customHeight="1">
      <c r="E314" s="13"/>
      <c r="F314" s="34"/>
      <c r="G314" s="34"/>
      <c r="H314" s="34"/>
      <c r="I314" s="34"/>
      <c r="J314" s="34"/>
      <c r="K314" s="34"/>
      <c r="L314" s="16"/>
      <c r="M314" s="16"/>
      <c r="N314" s="14"/>
      <c r="O314" s="16"/>
      <c r="P314" s="16"/>
      <c r="Q314" s="16"/>
      <c r="R314" s="14"/>
      <c r="S314" s="16"/>
      <c r="T314" s="16"/>
      <c r="U314" s="16"/>
      <c r="V314" s="16"/>
      <c r="W314" s="13"/>
      <c r="X314" s="16"/>
      <c r="Y314" s="16"/>
      <c r="Z314" s="16"/>
      <c r="AA314" s="16"/>
      <c r="AB314" s="36"/>
      <c r="AC314" s="36"/>
      <c r="AD314" s="14"/>
      <c r="AE314" s="14"/>
      <c r="AF314" s="14"/>
      <c r="AG314" s="14"/>
      <c r="AH314" s="14"/>
      <c r="AI314" s="14"/>
      <c r="AJ314" s="14"/>
      <c r="AK314" s="14"/>
      <c r="AL314" s="14"/>
    </row>
    <row r="315" spans="7:30" ht="24.75" customHeight="1">
      <c r="G315" s="34"/>
      <c r="H315" s="34"/>
      <c r="I315" s="34"/>
      <c r="J315" s="34"/>
      <c r="K315" s="34"/>
      <c r="L315" s="14"/>
      <c r="M315" s="14"/>
      <c r="N315" s="14"/>
      <c r="O315" s="16"/>
      <c r="P315" s="16"/>
      <c r="Q315" s="16"/>
      <c r="R315" s="16"/>
      <c r="S315" s="14"/>
      <c r="T315" s="14"/>
      <c r="U315" s="14"/>
      <c r="V315" s="14"/>
      <c r="W315" s="13"/>
      <c r="X315" s="16"/>
      <c r="Y315" s="16"/>
      <c r="Z315" s="16"/>
      <c r="AA315" s="16"/>
      <c r="AB315" s="36"/>
      <c r="AC315" s="36"/>
      <c r="AD315" s="14"/>
    </row>
    <row r="316" ht="24.75" customHeight="1">
      <c r="C316" s="5" t="s">
        <v>181</v>
      </c>
    </row>
    <row r="317" ht="24.75" customHeight="1">
      <c r="D317" s="5" t="s">
        <v>2</v>
      </c>
    </row>
    <row r="318" spans="4:38" ht="24.75" customHeight="1">
      <c r="D318" s="5" t="s">
        <v>3</v>
      </c>
      <c r="S318" s="5" t="s">
        <v>190</v>
      </c>
      <c r="AB318" s="150">
        <v>26.5</v>
      </c>
      <c r="AC318" s="150"/>
      <c r="AD318" s="150"/>
      <c r="AE318" s="5" t="s">
        <v>191</v>
      </c>
      <c r="AK318" s="169">
        <v>2</v>
      </c>
      <c r="AL318" s="5" t="s">
        <v>203</v>
      </c>
    </row>
    <row r="319" spans="5:71" ht="24.75" customHeight="1">
      <c r="E319" s="37" t="str">
        <f>IF(AW319=1,"Ar = ( "&amp;AB318&amp;" + "&amp;ROUND(AB318-(BA319^2/4/BG319),3)&amp;" ) × "&amp;AB366&amp;" = ","Ar = "&amp;AB318&amp;"× "&amp;BR319&amp;"本 ×"&amp;AB366&amp;" = ")</f>
        <v>Ar = 26.5× 1本 ×14 = </v>
      </c>
      <c r="F319" s="34"/>
      <c r="R319" s="128">
        <f>IF(AW319=1,(AB318+(AB318-(BA319^2/4/BG319)))*AB366,AB318*BR319*AB366)</f>
        <v>371</v>
      </c>
      <c r="S319" s="128"/>
      <c r="T319" s="128"/>
      <c r="U319" s="128"/>
      <c r="V319" s="128"/>
      <c r="W319" s="5">
        <f>IF(AW319=1,"∵ w = d - p2/4g = "&amp;AB318&amp;" - "&amp;BA319&amp;"²/ ( 4 × "&amp;BG319&amp;" ) = "&amp;ROUND(AB318-(BA319^2/4/BG319),3)&amp;" mm","")</f>
      </c>
      <c r="Y319" s="38"/>
      <c r="Z319" s="39"/>
      <c r="AA319" s="39"/>
      <c r="AB319" s="39"/>
      <c r="AD319" s="40"/>
      <c r="AE319" s="40"/>
      <c r="AF319" s="40"/>
      <c r="AG319" s="18"/>
      <c r="AI319" s="28"/>
      <c r="AJ319" s="28"/>
      <c r="AL319" s="41"/>
      <c r="AM319" s="41"/>
      <c r="AN319" s="41"/>
      <c r="AP319" s="13"/>
      <c r="AU319" s="5" t="s">
        <v>154</v>
      </c>
      <c r="AW319" s="169">
        <v>0</v>
      </c>
      <c r="AX319" s="5" t="s">
        <v>155</v>
      </c>
      <c r="AY319" s="5" t="s">
        <v>141</v>
      </c>
      <c r="BA319" s="163">
        <v>75</v>
      </c>
      <c r="BB319" s="163"/>
      <c r="BC319" s="163"/>
      <c r="BD319" s="5" t="s">
        <v>155</v>
      </c>
      <c r="BE319" s="5" t="s">
        <v>142</v>
      </c>
      <c r="BG319" s="163">
        <v>0</v>
      </c>
      <c r="BH319" s="163"/>
      <c r="BI319" s="163"/>
      <c r="BJ319" s="5" t="s">
        <v>155</v>
      </c>
      <c r="BK319" s="5" t="s">
        <v>254</v>
      </c>
      <c r="BR319" s="169">
        <v>1</v>
      </c>
      <c r="BS319" s="5" t="s">
        <v>204</v>
      </c>
    </row>
    <row r="320" spans="4:45" ht="24.75" customHeight="1">
      <c r="D320" s="5" t="s">
        <v>182</v>
      </c>
      <c r="I320" s="5" t="str">
        <f>IF(O237&gt;0,"(As＋Ar×"&amp;AK318&amp;")σs＋2 Pfwl","(As＋Ar×"&amp;AK318&amp;")σs＋2 Pfwu")</f>
        <v>(As＋Ar×2)σs＋2 Pfwl</v>
      </c>
      <c r="R320" s="5" t="s">
        <v>89</v>
      </c>
      <c r="S320" s="5" t="s">
        <v>87</v>
      </c>
      <c r="T320" s="42">
        <f>AM307*AM308</f>
        <v>35100</v>
      </c>
      <c r="U320" s="42"/>
      <c r="V320" s="43"/>
      <c r="W320" s="43" t="s">
        <v>143</v>
      </c>
      <c r="X320" s="39">
        <f>R319*AK318</f>
        <v>742</v>
      </c>
      <c r="Y320" s="39"/>
      <c r="Z320" s="39"/>
      <c r="AA320" s="5" t="s">
        <v>144</v>
      </c>
      <c r="AB320" s="14" t="s">
        <v>137</v>
      </c>
      <c r="AC320" s="108">
        <f>P304</f>
        <v>157.5</v>
      </c>
      <c r="AD320" s="108"/>
      <c r="AE320" s="108"/>
      <c r="AF320" s="14" t="s">
        <v>143</v>
      </c>
      <c r="AG320" s="95">
        <f>IF(O237&gt;0,AD420,AD403)</f>
        <v>49101.80113505784</v>
      </c>
      <c r="AH320" s="95"/>
      <c r="AI320" s="95"/>
      <c r="AJ320" s="95"/>
      <c r="AK320" s="14" t="s">
        <v>138</v>
      </c>
      <c r="AL320" s="14"/>
      <c r="AM320" s="5" t="s">
        <v>89</v>
      </c>
      <c r="AN320" s="129">
        <f>(T320+X320)*AC320+AG320*2</f>
        <v>5743318.602270116</v>
      </c>
      <c r="AO320" s="129"/>
      <c r="AP320" s="129"/>
      <c r="AQ320" s="129"/>
      <c r="AR320" s="129"/>
      <c r="AS320" s="129"/>
    </row>
    <row r="321" spans="9:31" ht="24.75" customHeight="1">
      <c r="I321" s="5" t="s">
        <v>200</v>
      </c>
      <c r="V321" s="5" t="str">
        <f>IF(O237&gt;0,"Pfwl","Pfwu")</f>
        <v>Pfwl</v>
      </c>
      <c r="X321" s="14" t="s">
        <v>183</v>
      </c>
      <c r="Y321" s="14"/>
      <c r="AA321" s="6"/>
      <c r="AB321" s="6"/>
      <c r="AC321" s="6"/>
      <c r="AD321" s="6"/>
      <c r="AE321" s="6"/>
    </row>
    <row r="322" spans="4:41" ht="24.75" customHeight="1">
      <c r="D322" s="5" t="s">
        <v>151</v>
      </c>
      <c r="F322" s="14" t="s">
        <v>152</v>
      </c>
      <c r="J322" s="5" t="s">
        <v>89</v>
      </c>
      <c r="K322" s="102">
        <f>AN320</f>
        <v>5743318.602270116</v>
      </c>
      <c r="L322" s="102"/>
      <c r="M322" s="102"/>
      <c r="N322" s="102"/>
      <c r="O322" s="102"/>
      <c r="P322" s="102"/>
      <c r="Q322" s="17" t="s">
        <v>88</v>
      </c>
      <c r="R322" s="89">
        <f>AA243</f>
        <v>96000</v>
      </c>
      <c r="S322" s="89"/>
      <c r="T322" s="89"/>
      <c r="U322" s="89"/>
      <c r="V322" s="8" t="s">
        <v>89</v>
      </c>
      <c r="W322" s="113">
        <f>ROUND(K322/R322,1)</f>
        <v>59.8</v>
      </c>
      <c r="X322" s="113"/>
      <c r="Y322" s="113"/>
      <c r="Z322" s="113"/>
      <c r="AA322" s="92" t="s">
        <v>43</v>
      </c>
      <c r="AB322" s="92"/>
      <c r="AC322" s="6"/>
      <c r="AD322" s="6"/>
      <c r="AE322" s="164">
        <v>41</v>
      </c>
      <c r="AF322" s="164"/>
      <c r="AG322" s="164"/>
      <c r="AH322" s="164"/>
      <c r="AI322" s="92" t="s">
        <v>5</v>
      </c>
      <c r="AJ322" s="92"/>
      <c r="AK322" s="92"/>
      <c r="AL322" s="92"/>
      <c r="AM322" s="92"/>
      <c r="AO322" s="5" t="str">
        <f>IF(W322&lt;=AE322,"O.K.","N.G.")</f>
        <v>N.G.</v>
      </c>
    </row>
    <row r="323" ht="24.75" customHeight="1">
      <c r="C323" s="5" t="s">
        <v>239</v>
      </c>
    </row>
    <row r="324" spans="4:34" ht="24.75" customHeight="1">
      <c r="D324" s="18" t="s">
        <v>194</v>
      </c>
      <c r="E324" s="18"/>
      <c r="F324" s="18"/>
      <c r="G324" s="18"/>
      <c r="H324" s="18"/>
      <c r="I324" s="18"/>
      <c r="J324" s="18"/>
      <c r="P324" s="15"/>
      <c r="Q324" s="102">
        <f>AN320</f>
        <v>5743318.602270116</v>
      </c>
      <c r="R324" s="102"/>
      <c r="S324" s="102"/>
      <c r="T324" s="102"/>
      <c r="U324" s="102"/>
      <c r="V324" s="102"/>
      <c r="W324" s="17" t="s">
        <v>88</v>
      </c>
      <c r="X324" s="108">
        <f>O242</f>
        <v>210</v>
      </c>
      <c r="Y324" s="108"/>
      <c r="Z324" s="108"/>
      <c r="AA324" s="108"/>
      <c r="AB324" s="8" t="s">
        <v>34</v>
      </c>
      <c r="AC324" s="89">
        <f>Q324/X324</f>
        <v>27349.136201286266</v>
      </c>
      <c r="AD324" s="89"/>
      <c r="AE324" s="89"/>
      <c r="AF324" s="89"/>
      <c r="AG324" s="92" t="s">
        <v>101</v>
      </c>
      <c r="AH324" s="92"/>
    </row>
    <row r="325" spans="4:27" ht="24.75" customHeight="1">
      <c r="D325" s="5" t="s">
        <v>240</v>
      </c>
      <c r="I325" s="165">
        <v>2</v>
      </c>
      <c r="J325" s="165"/>
      <c r="K325" s="165"/>
      <c r="L325" s="126">
        <v>80</v>
      </c>
      <c r="M325" s="126"/>
      <c r="N325" s="126"/>
      <c r="O325" s="163">
        <v>9</v>
      </c>
      <c r="P325" s="163"/>
      <c r="Q325" s="127">
        <v>630</v>
      </c>
      <c r="R325" s="127"/>
      <c r="S325" s="127"/>
      <c r="T325" s="127"/>
      <c r="U325" s="5" t="s">
        <v>31</v>
      </c>
      <c r="W325" s="89">
        <f>+L325*O325*I325</f>
        <v>1440</v>
      </c>
      <c r="X325" s="89"/>
      <c r="Y325" s="89"/>
      <c r="Z325" s="89"/>
      <c r="AA325" s="5" t="s">
        <v>101</v>
      </c>
    </row>
    <row r="326" spans="9:27" ht="24.75" customHeight="1">
      <c r="I326" s="165">
        <v>3</v>
      </c>
      <c r="J326" s="165"/>
      <c r="K326" s="165"/>
      <c r="L326" s="126">
        <v>280</v>
      </c>
      <c r="M326" s="126"/>
      <c r="N326" s="126"/>
      <c r="O326" s="163">
        <v>9</v>
      </c>
      <c r="P326" s="163"/>
      <c r="Q326" s="127">
        <f>Q325</f>
        <v>630</v>
      </c>
      <c r="R326" s="127"/>
      <c r="S326" s="127"/>
      <c r="T326" s="127"/>
      <c r="U326" s="5" t="s">
        <v>31</v>
      </c>
      <c r="W326" s="89">
        <f>+L326*O326*I326</f>
        <v>7560</v>
      </c>
      <c r="X326" s="89"/>
      <c r="Y326" s="89"/>
      <c r="Z326" s="89"/>
      <c r="AA326" s="5" t="s">
        <v>101</v>
      </c>
    </row>
    <row r="327" spans="9:28" ht="24.75" customHeight="1">
      <c r="I327" s="165">
        <v>1</v>
      </c>
      <c r="J327" s="165"/>
      <c r="K327" s="165"/>
      <c r="L327" s="126">
        <f>+AM308-10</f>
        <v>2330</v>
      </c>
      <c r="M327" s="126"/>
      <c r="N327" s="126"/>
      <c r="O327" s="163">
        <v>9</v>
      </c>
      <c r="P327" s="163"/>
      <c r="Q327" s="127">
        <f>Q326</f>
        <v>630</v>
      </c>
      <c r="R327" s="127"/>
      <c r="S327" s="127"/>
      <c r="T327" s="127"/>
      <c r="U327" s="19" t="s">
        <v>31</v>
      </c>
      <c r="V327" s="19"/>
      <c r="W327" s="105">
        <f>+L327*O327*I327</f>
        <v>20970</v>
      </c>
      <c r="X327" s="105"/>
      <c r="Y327" s="105"/>
      <c r="Z327" s="105"/>
      <c r="AA327" s="19" t="s">
        <v>101</v>
      </c>
      <c r="AB327" s="19"/>
    </row>
    <row r="328" spans="21:27" ht="24.75" customHeight="1">
      <c r="U328" s="5" t="s">
        <v>32</v>
      </c>
      <c r="W328" s="89">
        <f>+SUM(W325:W327)</f>
        <v>29970</v>
      </c>
      <c r="X328" s="89"/>
      <c r="Y328" s="89"/>
      <c r="Z328" s="89"/>
      <c r="AA328" s="5" t="s">
        <v>101</v>
      </c>
    </row>
    <row r="329" ht="24.75" customHeight="1">
      <c r="D329" s="5" t="s">
        <v>242</v>
      </c>
    </row>
    <row r="330" spans="5:65" ht="24.75" customHeight="1">
      <c r="E330" s="5" t="s">
        <v>156</v>
      </c>
      <c r="H330" s="5" t="s">
        <v>87</v>
      </c>
      <c r="I330" s="124">
        <f>+W328</f>
        <v>29970</v>
      </c>
      <c r="J330" s="124"/>
      <c r="K330" s="124"/>
      <c r="L330" s="5" t="s">
        <v>46</v>
      </c>
      <c r="M330" s="89">
        <f>+(+H243+3)</f>
        <v>25</v>
      </c>
      <c r="N330" s="89"/>
      <c r="O330" s="89"/>
      <c r="P330" s="5" t="s">
        <v>41</v>
      </c>
      <c r="Q330" s="89">
        <f>O326</f>
        <v>9</v>
      </c>
      <c r="R330" s="89"/>
      <c r="S330" s="89"/>
      <c r="T330" s="5" t="s">
        <v>41</v>
      </c>
      <c r="U330" s="125">
        <f>BA330</f>
        <v>8</v>
      </c>
      <c r="V330" s="125"/>
      <c r="W330" s="125"/>
      <c r="X330" s="5" t="s">
        <v>41</v>
      </c>
      <c r="Y330" s="122">
        <v>2</v>
      </c>
      <c r="Z330" s="122"/>
      <c r="AA330" s="122"/>
      <c r="AB330" s="5" t="s">
        <v>140</v>
      </c>
      <c r="AC330" s="80">
        <f>IF(AW319=1,ROUND((AB318+(AB318-(BA319^2/4/BG319)))*AB366,2),ROUND(AB318*BR319*AB366,2))</f>
        <v>371</v>
      </c>
      <c r="AD330" s="80"/>
      <c r="AE330" s="80"/>
      <c r="AF330" s="5" t="s">
        <v>41</v>
      </c>
      <c r="AG330" s="122">
        <f>AK318</f>
        <v>2</v>
      </c>
      <c r="AH330" s="122"/>
      <c r="AI330" s="122"/>
      <c r="AJ330" s="5" t="s">
        <v>139</v>
      </c>
      <c r="AO330" s="5" t="str">
        <f>IF(BA330=BJ330,"","( 第1列 )")</f>
        <v>( 第1列 )</v>
      </c>
      <c r="AU330" s="5" t="s">
        <v>255</v>
      </c>
      <c r="BA330" s="163">
        <v>8</v>
      </c>
      <c r="BB330" s="163"/>
      <c r="BD330" s="5" t="s">
        <v>256</v>
      </c>
      <c r="BJ330" s="163">
        <v>11</v>
      </c>
      <c r="BK330" s="163"/>
      <c r="BM330" s="1"/>
    </row>
    <row r="331" spans="3:24" ht="24.75" customHeight="1">
      <c r="C331" s="44"/>
      <c r="E331" s="44"/>
      <c r="G331" s="5" t="s">
        <v>34</v>
      </c>
      <c r="H331" s="89">
        <f>(I330-M330*Q330*U330*Y330-AC330*AG330)*1.1</f>
        <v>28190.800000000003</v>
      </c>
      <c r="I331" s="89"/>
      <c r="J331" s="89"/>
      <c r="K331" s="89"/>
      <c r="L331" s="5" t="str">
        <f>IF(H331&gt;AC324,"mm²  ＞  Asreq'd =","cm² ＜  Asreq'd =")</f>
        <v>mm²  ＞  Asreq'd =</v>
      </c>
      <c r="T331" s="89">
        <f>AC324</f>
        <v>27349.136201286266</v>
      </c>
      <c r="U331" s="89"/>
      <c r="V331" s="89"/>
      <c r="W331" s="89"/>
      <c r="X331" s="5" t="str">
        <f>IF(H331&gt;AC324,"mm²  O.K","mm²  N.G")</f>
        <v>mm²  O.K</v>
      </c>
    </row>
    <row r="332" spans="3:40" ht="24.75" customHeight="1">
      <c r="C332" s="44"/>
      <c r="D332" s="4" t="s">
        <v>243</v>
      </c>
      <c r="E332" s="4"/>
      <c r="F332" s="4"/>
      <c r="G332" s="4"/>
      <c r="H332" s="4"/>
      <c r="I332" s="4"/>
      <c r="J332" s="4"/>
      <c r="K332" s="4"/>
      <c r="P332" s="5" t="s">
        <v>89</v>
      </c>
      <c r="Q332" s="102">
        <f>AN320</f>
        <v>5743318.602270116</v>
      </c>
      <c r="R332" s="102"/>
      <c r="S332" s="102"/>
      <c r="T332" s="102"/>
      <c r="U332" s="102"/>
      <c r="V332" s="102"/>
      <c r="W332" s="17" t="s">
        <v>88</v>
      </c>
      <c r="X332" s="89">
        <f>H331</f>
        <v>28190.800000000003</v>
      </c>
      <c r="Y332" s="89"/>
      <c r="Z332" s="89"/>
      <c r="AA332" s="89"/>
      <c r="AB332" s="8" t="s">
        <v>34</v>
      </c>
      <c r="AC332" s="116">
        <f>Q332/X332</f>
        <v>203.73024540878995</v>
      </c>
      <c r="AD332" s="116"/>
      <c r="AE332" s="116"/>
      <c r="AF332" s="116"/>
      <c r="AG332" s="18" t="str">
        <f>IF(AC332&gt;O242,"N/㎟ ＞  σta ,  N.G","N/㎟ ＜  σta ,  O.K")</f>
        <v>N/㎟ ＜  σta ,  O.K</v>
      </c>
      <c r="AH332" s="18"/>
      <c r="AI332" s="18"/>
      <c r="AJ332" s="18"/>
      <c r="AK332" s="18"/>
      <c r="AL332" s="18"/>
      <c r="AM332" s="18"/>
      <c r="AN332" s="18"/>
    </row>
    <row r="333" spans="5:41" ht="24.75" customHeight="1">
      <c r="E333" s="5" t="s">
        <v>157</v>
      </c>
      <c r="H333" s="5" t="s">
        <v>87</v>
      </c>
      <c r="I333" s="124">
        <f>I330</f>
        <v>29970</v>
      </c>
      <c r="J333" s="124"/>
      <c r="K333" s="124"/>
      <c r="L333" s="5" t="s">
        <v>46</v>
      </c>
      <c r="M333" s="89">
        <f>M330</f>
        <v>25</v>
      </c>
      <c r="N333" s="89"/>
      <c r="O333" s="89"/>
      <c r="P333" s="5" t="s">
        <v>41</v>
      </c>
      <c r="Q333" s="89">
        <f>Q330</f>
        <v>9</v>
      </c>
      <c r="R333" s="89"/>
      <c r="S333" s="89"/>
      <c r="T333" s="5" t="s">
        <v>41</v>
      </c>
      <c r="U333" s="125">
        <f>BJ330</f>
        <v>11</v>
      </c>
      <c r="V333" s="125"/>
      <c r="W333" s="125"/>
      <c r="X333" s="5" t="s">
        <v>41</v>
      </c>
      <c r="Y333" s="122">
        <v>2</v>
      </c>
      <c r="Z333" s="122"/>
      <c r="AA333" s="122"/>
      <c r="AB333" s="5" t="s">
        <v>140</v>
      </c>
      <c r="AC333" s="80">
        <f>AC330</f>
        <v>371</v>
      </c>
      <c r="AD333" s="80"/>
      <c r="AE333" s="80"/>
      <c r="AF333" s="5" t="s">
        <v>41</v>
      </c>
      <c r="AG333" s="122">
        <f>AG330</f>
        <v>2</v>
      </c>
      <c r="AH333" s="122"/>
      <c r="AI333" s="122"/>
      <c r="AJ333" s="5" t="s">
        <v>139</v>
      </c>
      <c r="AO333" s="5" t="str">
        <f>IF(BA330=BJ330,"","( 第2列 )")</f>
        <v>( 第2列 )</v>
      </c>
    </row>
    <row r="334" spans="3:12" ht="24.75" customHeight="1">
      <c r="C334" s="44"/>
      <c r="E334" s="44"/>
      <c r="G334" s="5" t="s">
        <v>34</v>
      </c>
      <c r="H334" s="89">
        <f>(I333-M333*Q333*U333*Y333-AC333*AG333)*1.1</f>
        <v>26705.800000000003</v>
      </c>
      <c r="I334" s="89"/>
      <c r="J334" s="89"/>
      <c r="K334" s="89"/>
      <c r="L334" s="5" t="s">
        <v>101</v>
      </c>
    </row>
    <row r="335" spans="3:17" ht="24.75" customHeight="1">
      <c r="C335" s="44"/>
      <c r="D335" s="4" t="s">
        <v>244</v>
      </c>
      <c r="E335" s="4"/>
      <c r="F335" s="4"/>
      <c r="G335" s="4"/>
      <c r="H335" s="4"/>
      <c r="I335" s="4"/>
      <c r="J335" s="4"/>
      <c r="K335" s="4"/>
      <c r="Q335" s="5" t="str">
        <f>"("&amp;AE322&amp;" - "&amp;U330&amp;") / "&amp;AE322</f>
        <v>(41 - 8) / 41</v>
      </c>
    </row>
    <row r="336" spans="3:40" ht="24.75" customHeight="1">
      <c r="C336" s="44"/>
      <c r="D336" s="37"/>
      <c r="E336" s="37"/>
      <c r="F336" s="37"/>
      <c r="G336" s="37"/>
      <c r="H336" s="37"/>
      <c r="I336" s="37"/>
      <c r="J336" s="37"/>
      <c r="K336" s="5" t="s">
        <v>89</v>
      </c>
      <c r="L336" s="102">
        <f>Q332</f>
        <v>5743318.602270116</v>
      </c>
      <c r="M336" s="102"/>
      <c r="N336" s="102"/>
      <c r="O336" s="102"/>
      <c r="P336" s="102"/>
      <c r="Q336" s="102"/>
      <c r="R336" s="17" t="s">
        <v>88</v>
      </c>
      <c r="S336" s="89">
        <f>H334</f>
        <v>26705.800000000003</v>
      </c>
      <c r="T336" s="89"/>
      <c r="U336" s="89"/>
      <c r="V336" s="89"/>
      <c r="W336" s="5" t="s">
        <v>41</v>
      </c>
      <c r="X336" s="123">
        <f>(AE322-U330)/AE322</f>
        <v>0.8048780487804879</v>
      </c>
      <c r="Y336" s="123"/>
      <c r="Z336" s="123"/>
      <c r="AA336" s="8" t="s">
        <v>34</v>
      </c>
      <c r="AB336" s="116">
        <f>L336/S336*X336</f>
        <v>173.09614653445502</v>
      </c>
      <c r="AC336" s="116"/>
      <c r="AD336" s="116"/>
      <c r="AE336" s="116"/>
      <c r="AF336" s="18" t="str">
        <f>IF(AB336&gt;O242,"N/㎟ ＞  σta ,  N.G","N/㎟ ＜  σta ,  O.K")</f>
        <v>N/㎟ ＜  σta ,  O.K</v>
      </c>
      <c r="AG336" s="18"/>
      <c r="AH336" s="18"/>
      <c r="AI336" s="18"/>
      <c r="AJ336" s="18"/>
      <c r="AK336" s="18"/>
      <c r="AL336" s="18"/>
      <c r="AM336" s="18"/>
      <c r="AN336" s="36"/>
    </row>
    <row r="337" spans="3:17" ht="24.75" customHeight="1">
      <c r="C337" s="44"/>
      <c r="D337" s="37"/>
      <c r="E337" s="37"/>
      <c r="F337" s="37"/>
      <c r="G337" s="37"/>
      <c r="H337" s="37"/>
      <c r="I337" s="37"/>
      <c r="J337" s="37"/>
      <c r="L337" s="6"/>
      <c r="M337" s="6"/>
      <c r="N337" s="6"/>
      <c r="O337" s="6"/>
      <c r="P337" s="6"/>
      <c r="Q337" s="17"/>
    </row>
    <row r="338" ht="24.75" customHeight="1">
      <c r="C338" s="5" t="s">
        <v>192</v>
      </c>
    </row>
    <row r="339" ht="24.75" customHeight="1">
      <c r="C339" s="5" t="s">
        <v>193</v>
      </c>
    </row>
    <row r="340" spans="4:37" ht="24.75" customHeight="1">
      <c r="D340" s="4" t="s">
        <v>153</v>
      </c>
      <c r="E340" s="21"/>
      <c r="F340" s="21"/>
      <c r="G340" s="13"/>
      <c r="H340" s="13"/>
      <c r="I340" s="8"/>
      <c r="J340" s="120">
        <f>AN320</f>
        <v>5743318.602270116</v>
      </c>
      <c r="K340" s="120"/>
      <c r="L340" s="120"/>
      <c r="M340" s="120"/>
      <c r="N340" s="120"/>
      <c r="O340" s="120"/>
      <c r="P340" s="46" t="s">
        <v>88</v>
      </c>
      <c r="Q340" s="121">
        <f>AE322</f>
        <v>41</v>
      </c>
      <c r="R340" s="121"/>
      <c r="S340" s="121"/>
      <c r="T340" s="121"/>
      <c r="V340" s="8" t="s">
        <v>34</v>
      </c>
      <c r="W340" s="100">
        <f>J340/Q340</f>
        <v>140080.9415187833</v>
      </c>
      <c r="X340" s="100"/>
      <c r="Y340" s="100"/>
      <c r="Z340" s="100"/>
      <c r="AA340" s="18" t="s">
        <v>202</v>
      </c>
      <c r="AB340" s="8"/>
      <c r="AC340" s="8"/>
      <c r="AD340" s="18" t="str">
        <f>IF(W340&gt;AA243," ＞  ρa    N.G","＜ ρa    O.K")</f>
        <v> ＞  ρa    N.G</v>
      </c>
      <c r="AE340" s="8"/>
      <c r="AF340" s="8"/>
      <c r="AG340" s="8"/>
      <c r="AH340" s="8"/>
      <c r="AI340" s="8"/>
      <c r="AJ340" s="8"/>
      <c r="AK340" s="8"/>
    </row>
    <row r="341" spans="4:37" ht="24.75" customHeight="1">
      <c r="D341" s="4"/>
      <c r="E341" s="21"/>
      <c r="F341" s="21"/>
      <c r="G341" s="13"/>
      <c r="H341" s="13"/>
      <c r="I341" s="8"/>
      <c r="J341" s="45"/>
      <c r="K341" s="45"/>
      <c r="L341" s="45"/>
      <c r="M341" s="45"/>
      <c r="N341" s="45"/>
      <c r="O341" s="46"/>
      <c r="P341" s="35"/>
      <c r="Q341" s="35"/>
      <c r="R341" s="35"/>
      <c r="S341" s="35"/>
      <c r="U341" s="8"/>
      <c r="V341" s="22"/>
      <c r="W341" s="22"/>
      <c r="X341" s="22"/>
      <c r="Y341" s="22"/>
      <c r="Z341" s="18"/>
      <c r="AA341" s="8"/>
      <c r="AB341" s="8"/>
      <c r="AC341" s="18"/>
      <c r="AD341" s="8"/>
      <c r="AE341" s="8"/>
      <c r="AF341" s="8"/>
      <c r="AG341" s="8"/>
      <c r="AH341" s="8"/>
      <c r="AI341" s="8"/>
      <c r="AJ341" s="8"/>
      <c r="AK341" s="8"/>
    </row>
    <row r="342" spans="3:38" ht="24.75" customHeight="1">
      <c r="C342" s="5" t="s">
        <v>206</v>
      </c>
      <c r="D342" s="21"/>
      <c r="E342" s="21"/>
      <c r="F342" s="21"/>
      <c r="G342" s="8"/>
      <c r="H342" s="8"/>
      <c r="I342" s="8"/>
      <c r="U342" s="8"/>
      <c r="V342" s="22"/>
      <c r="W342" s="22"/>
      <c r="X342" s="22"/>
      <c r="Y342" s="22"/>
      <c r="Z342" s="22"/>
      <c r="AA342" s="8"/>
      <c r="AB342" s="8"/>
      <c r="AC342" s="8"/>
      <c r="AD342" s="8"/>
      <c r="AE342" s="8"/>
      <c r="AF342" s="8"/>
      <c r="AG342" s="8"/>
      <c r="AH342" s="8"/>
      <c r="AI342" s="8"/>
      <c r="AJ342" s="8"/>
      <c r="AK342" s="8"/>
      <c r="AL342" s="8"/>
    </row>
    <row r="343" spans="4:47" ht="24.75" customHeight="1">
      <c r="D343" s="5" t="s">
        <v>205</v>
      </c>
      <c r="AU343" s="23"/>
    </row>
    <row r="344" spans="5:47" ht="24.75" customHeight="1">
      <c r="E344" s="5" t="s">
        <v>211</v>
      </c>
      <c r="AU344" s="23"/>
    </row>
    <row r="345" ht="24.75" customHeight="1">
      <c r="D345" s="5" t="s">
        <v>7</v>
      </c>
    </row>
    <row r="346" spans="3:36" ht="24.75" customHeight="1">
      <c r="C346" s="106" t="s">
        <v>49</v>
      </c>
      <c r="D346" s="106"/>
      <c r="E346" s="106"/>
      <c r="G346" s="105">
        <f>O239</f>
        <v>564.09475276</v>
      </c>
      <c r="H346" s="105"/>
      <c r="I346" s="105"/>
      <c r="J346" s="19" t="s">
        <v>41</v>
      </c>
      <c r="K346" s="97">
        <v>1000000</v>
      </c>
      <c r="L346" s="97"/>
      <c r="M346" s="97"/>
      <c r="N346" s="97"/>
      <c r="P346" s="106" t="s">
        <v>47</v>
      </c>
      <c r="Q346" s="106"/>
      <c r="R346" s="122">
        <f>Q340</f>
        <v>41</v>
      </c>
      <c r="S346" s="122"/>
      <c r="T346" s="122"/>
      <c r="U346" s="92" t="s">
        <v>34</v>
      </c>
      <c r="V346" s="92"/>
      <c r="W346" s="102">
        <f>ROUND((G346*K346/(I347*K347))/R346,1)</f>
        <v>3126.9</v>
      </c>
      <c r="X346" s="102"/>
      <c r="Y346" s="102"/>
      <c r="Z346" s="102"/>
      <c r="AA346" s="92" t="str">
        <f>IF(W346&gt;AA243,"N/本   ＞ ρa   N.G.","N/本  ＜  ρa   O.K.")</f>
        <v>N/本  ＜  ρa   O.K.</v>
      </c>
      <c r="AB346" s="92"/>
      <c r="AC346" s="92"/>
      <c r="AD346" s="92"/>
      <c r="AE346" s="92"/>
      <c r="AF346" s="92"/>
      <c r="AG346" s="92"/>
      <c r="AH346" s="92"/>
      <c r="AI346" s="92"/>
      <c r="AJ346" s="92"/>
    </row>
    <row r="347" spans="3:36" ht="24.75" customHeight="1">
      <c r="C347" s="106"/>
      <c r="D347" s="106"/>
      <c r="E347" s="106"/>
      <c r="I347" s="8">
        <v>2</v>
      </c>
      <c r="J347" s="14" t="s">
        <v>41</v>
      </c>
      <c r="K347" s="24">
        <f>AM380</f>
        <v>2200</v>
      </c>
      <c r="L347" s="25"/>
      <c r="M347" s="25"/>
      <c r="P347" s="106"/>
      <c r="Q347" s="106"/>
      <c r="R347" s="122"/>
      <c r="S347" s="122"/>
      <c r="T347" s="122"/>
      <c r="U347" s="92"/>
      <c r="V347" s="92"/>
      <c r="W347" s="102"/>
      <c r="X347" s="102"/>
      <c r="Y347" s="102"/>
      <c r="Z347" s="102"/>
      <c r="AA347" s="92"/>
      <c r="AB347" s="92"/>
      <c r="AC347" s="92"/>
      <c r="AD347" s="92"/>
      <c r="AE347" s="92"/>
      <c r="AF347" s="92"/>
      <c r="AG347" s="92"/>
      <c r="AH347" s="92"/>
      <c r="AI347" s="92"/>
      <c r="AJ347" s="92"/>
    </row>
    <row r="349" spans="3:9" ht="24.75" customHeight="1">
      <c r="C349" s="5" t="s">
        <v>212</v>
      </c>
      <c r="I349" s="23"/>
    </row>
    <row r="350" spans="4:31" ht="24.75" customHeight="1">
      <c r="D350" s="5" t="s">
        <v>50</v>
      </c>
      <c r="P350" s="119">
        <f>W340</f>
        <v>140080.9415187833</v>
      </c>
      <c r="Q350" s="119"/>
      <c r="R350" s="119"/>
      <c r="S350" s="119"/>
      <c r="T350" s="5" t="s">
        <v>48</v>
      </c>
      <c r="U350" s="104">
        <f>+W346</f>
        <v>3126.9</v>
      </c>
      <c r="V350" s="104"/>
      <c r="W350" s="104"/>
      <c r="X350" s="104"/>
      <c r="Y350" s="5" t="s">
        <v>33</v>
      </c>
      <c r="AA350" s="100">
        <f>ROUND(SQRT(P350^2+U350^2),1)</f>
        <v>140115.8</v>
      </c>
      <c r="AB350" s="100"/>
      <c r="AC350" s="100"/>
      <c r="AD350" s="100"/>
      <c r="AE350" s="5" t="str">
        <f>IF(AA350&gt;$AA$10,"N/本  ＞  ρa ,  N.G","N/本  ＜  ρa ,  O.K")</f>
        <v>N/本  ＞  ρa ,  N.G</v>
      </c>
    </row>
    <row r="352" spans="3:29" ht="24.75" customHeight="1">
      <c r="C352" s="5" t="s">
        <v>195</v>
      </c>
      <c r="Z352" s="6"/>
      <c r="AA352" s="6"/>
      <c r="AB352" s="6"/>
      <c r="AC352" s="6"/>
    </row>
    <row r="353" spans="4:40" ht="24.75" customHeight="1">
      <c r="D353" s="5" t="s">
        <v>196</v>
      </c>
      <c r="L353" s="5" t="s">
        <v>158</v>
      </c>
      <c r="O353" s="5" t="s">
        <v>87</v>
      </c>
      <c r="P353" s="92">
        <f>AM308</f>
        <v>2340</v>
      </c>
      <c r="Q353" s="92"/>
      <c r="R353" s="92"/>
      <c r="S353" s="8" t="s">
        <v>140</v>
      </c>
      <c r="T353" s="89">
        <f>H243+3</f>
        <v>25</v>
      </c>
      <c r="U353" s="89"/>
      <c r="V353" s="89"/>
      <c r="W353" s="5" t="s">
        <v>137</v>
      </c>
      <c r="X353" s="90">
        <f>U330</f>
        <v>8</v>
      </c>
      <c r="Y353" s="90"/>
      <c r="Z353" s="5" t="s">
        <v>144</v>
      </c>
      <c r="AA353" s="5" t="s">
        <v>41</v>
      </c>
      <c r="AB353" s="90">
        <f>AM307</f>
        <v>15</v>
      </c>
      <c r="AC353" s="90"/>
      <c r="AD353" s="5" t="s">
        <v>41</v>
      </c>
      <c r="AE353" s="92">
        <v>1.1</v>
      </c>
      <c r="AF353" s="92"/>
      <c r="AG353" s="5" t="s">
        <v>89</v>
      </c>
      <c r="AH353" s="102">
        <f>(P353-T353*X353)*AB353*AE353</f>
        <v>35310</v>
      </c>
      <c r="AI353" s="102"/>
      <c r="AJ353" s="102"/>
      <c r="AK353" s="102"/>
      <c r="AL353" s="5" t="s">
        <v>101</v>
      </c>
      <c r="AN353" s="5" t="str">
        <f>IF(BA330=BJ330,"","( 第1列 )")</f>
        <v>( 第1列 )</v>
      </c>
    </row>
    <row r="354" spans="12:40" ht="24.75" customHeight="1">
      <c r="L354" s="5" t="s">
        <v>159</v>
      </c>
      <c r="O354" s="5" t="s">
        <v>87</v>
      </c>
      <c r="P354" s="92">
        <f>P353</f>
        <v>2340</v>
      </c>
      <c r="Q354" s="92"/>
      <c r="R354" s="92"/>
      <c r="S354" s="8" t="s">
        <v>140</v>
      </c>
      <c r="T354" s="89">
        <f>T353</f>
        <v>25</v>
      </c>
      <c r="U354" s="89"/>
      <c r="V354" s="89"/>
      <c r="W354" s="5" t="s">
        <v>41</v>
      </c>
      <c r="X354" s="90">
        <f>U333</f>
        <v>11</v>
      </c>
      <c r="Y354" s="90"/>
      <c r="Z354" s="5" t="s">
        <v>144</v>
      </c>
      <c r="AA354" s="5" t="s">
        <v>41</v>
      </c>
      <c r="AB354" s="90">
        <f>AB353</f>
        <v>15</v>
      </c>
      <c r="AC354" s="90"/>
      <c r="AD354" s="5" t="s">
        <v>41</v>
      </c>
      <c r="AE354" s="92">
        <v>1.1</v>
      </c>
      <c r="AF354" s="92"/>
      <c r="AG354" s="5" t="s">
        <v>89</v>
      </c>
      <c r="AH354" s="102">
        <f>(P354-T354*X354)*AB354*AE354</f>
        <v>34072.5</v>
      </c>
      <c r="AI354" s="102"/>
      <c r="AJ354" s="102"/>
      <c r="AK354" s="102"/>
      <c r="AL354" s="5" t="s">
        <v>101</v>
      </c>
      <c r="AN354" s="5" t="str">
        <f>IF(BA330=BJ330,"","( 第2列 )")</f>
        <v>( 第2列 )</v>
      </c>
    </row>
    <row r="355" spans="4:38" ht="24.75" customHeight="1">
      <c r="D355" s="5" t="s">
        <v>198</v>
      </c>
      <c r="L355" s="5" t="s">
        <v>160</v>
      </c>
      <c r="O355" s="5" t="s">
        <v>87</v>
      </c>
      <c r="P355" s="92">
        <f>AB365</f>
        <v>150</v>
      </c>
      <c r="Q355" s="92"/>
      <c r="R355" s="92"/>
      <c r="S355" s="5" t="s">
        <v>41</v>
      </c>
      <c r="T355" s="90">
        <f>AB366</f>
        <v>14</v>
      </c>
      <c r="U355" s="90"/>
      <c r="V355" s="5" t="s">
        <v>140</v>
      </c>
      <c r="W355" s="112">
        <f>R319</f>
        <v>371</v>
      </c>
      <c r="X355" s="112"/>
      <c r="Y355" s="112"/>
      <c r="Z355" s="5" t="s">
        <v>144</v>
      </c>
      <c r="AA355" s="5" t="s">
        <v>41</v>
      </c>
      <c r="AB355" s="90">
        <f>AK318</f>
        <v>2</v>
      </c>
      <c r="AC355" s="90"/>
      <c r="AD355" s="5" t="s">
        <v>41</v>
      </c>
      <c r="AE355" s="92">
        <v>1.1</v>
      </c>
      <c r="AF355" s="92"/>
      <c r="AG355" s="5" t="s">
        <v>89</v>
      </c>
      <c r="AH355" s="102">
        <f>(P355*T355-W355)*AB355*AE355</f>
        <v>3803.8</v>
      </c>
      <c r="AI355" s="102"/>
      <c r="AJ355" s="102"/>
      <c r="AK355" s="102"/>
      <c r="AL355" s="5" t="s">
        <v>101</v>
      </c>
    </row>
    <row r="356" spans="4:43" ht="24.75" customHeight="1">
      <c r="D356" s="19" t="s">
        <v>21</v>
      </c>
      <c r="E356" s="19"/>
      <c r="F356" s="19"/>
      <c r="G356" s="19"/>
      <c r="H356" s="19"/>
      <c r="I356" s="19"/>
      <c r="J356" s="19"/>
      <c r="K356" s="19"/>
      <c r="L356" s="19" t="s">
        <v>161</v>
      </c>
      <c r="M356" s="19"/>
      <c r="N356" s="19"/>
      <c r="O356" s="19" t="s">
        <v>87</v>
      </c>
      <c r="P356" s="97">
        <f>L396/2</f>
        <v>13.13846339</v>
      </c>
      <c r="Q356" s="97"/>
      <c r="R356" s="97"/>
      <c r="S356" s="19" t="s">
        <v>41</v>
      </c>
      <c r="T356" s="117">
        <f>AM381</f>
        <v>12</v>
      </c>
      <c r="U356" s="117"/>
      <c r="V356" s="19" t="s">
        <v>144</v>
      </c>
      <c r="W356" s="19" t="s">
        <v>41</v>
      </c>
      <c r="X356" s="19">
        <v>2</v>
      </c>
      <c r="Y356" s="19"/>
      <c r="Z356" s="48"/>
      <c r="AA356" s="48"/>
      <c r="AB356" s="48"/>
      <c r="AC356" s="48"/>
      <c r="AD356" s="19"/>
      <c r="AE356" s="19"/>
      <c r="AF356" s="19"/>
      <c r="AG356" s="19" t="s">
        <v>89</v>
      </c>
      <c r="AH356" s="118">
        <f>P356*T356*X356</f>
        <v>315.32312136</v>
      </c>
      <c r="AI356" s="118"/>
      <c r="AJ356" s="118"/>
      <c r="AK356" s="118"/>
      <c r="AL356" s="19" t="s">
        <v>101</v>
      </c>
      <c r="AM356" s="19"/>
      <c r="AN356" s="19"/>
      <c r="AO356" s="19"/>
      <c r="AP356" s="19"/>
      <c r="AQ356" s="19"/>
    </row>
    <row r="357" spans="20:40" ht="24.75" customHeight="1">
      <c r="T357" s="28"/>
      <c r="U357" s="28"/>
      <c r="AE357" s="5" t="s">
        <v>162</v>
      </c>
      <c r="AH357" s="102">
        <f>AH353+AH355+AH356</f>
        <v>39429.123121360004</v>
      </c>
      <c r="AI357" s="102"/>
      <c r="AJ357" s="102"/>
      <c r="AK357" s="102"/>
      <c r="AL357" s="5" t="s">
        <v>101</v>
      </c>
      <c r="AN357" s="5" t="str">
        <f>IF(BA330=BJ330,"","( 第1列 )")</f>
        <v>( 第1列 )</v>
      </c>
    </row>
    <row r="358" spans="14:40" ht="24.75" customHeight="1">
      <c r="N358" s="6"/>
      <c r="O358" s="6"/>
      <c r="P358" s="6"/>
      <c r="Q358" s="6"/>
      <c r="T358" s="28"/>
      <c r="U358" s="28"/>
      <c r="Z358" s="6"/>
      <c r="AA358" s="6"/>
      <c r="AB358" s="6"/>
      <c r="AC358" s="6"/>
      <c r="AE358" s="5" t="s">
        <v>163</v>
      </c>
      <c r="AH358" s="102">
        <f>AH354+AH355+AH356</f>
        <v>38191.623121360004</v>
      </c>
      <c r="AI358" s="102"/>
      <c r="AJ358" s="102"/>
      <c r="AK358" s="102"/>
      <c r="AL358" s="5" t="s">
        <v>101</v>
      </c>
      <c r="AN358" s="5" t="str">
        <f>IF(BA330=BJ330,"","( 第2列 )")</f>
        <v>( 第2列 )</v>
      </c>
    </row>
    <row r="359" spans="4:39" ht="24.75" customHeight="1">
      <c r="D359" s="5" t="s">
        <v>199</v>
      </c>
      <c r="J359" s="5" t="s">
        <v>164</v>
      </c>
      <c r="M359" s="49" t="s">
        <v>165</v>
      </c>
      <c r="N359" s="6"/>
      <c r="O359" s="6"/>
      <c r="P359" s="6"/>
      <c r="S359" s="102">
        <f>AN320</f>
        <v>5743318.602270116</v>
      </c>
      <c r="T359" s="102"/>
      <c r="U359" s="102"/>
      <c r="V359" s="102"/>
      <c r="W359" s="102"/>
      <c r="X359" s="102"/>
      <c r="Y359" s="17" t="s">
        <v>88</v>
      </c>
      <c r="Z359" s="102">
        <f>AH357</f>
        <v>39429.123121360004</v>
      </c>
      <c r="AA359" s="102"/>
      <c r="AB359" s="102"/>
      <c r="AC359" s="102"/>
      <c r="AD359" s="6" t="s">
        <v>89</v>
      </c>
      <c r="AE359" s="116">
        <f>S359/Z359</f>
        <v>145.66183946299273</v>
      </c>
      <c r="AF359" s="116"/>
      <c r="AG359" s="116"/>
      <c r="AH359" s="116"/>
      <c r="AI359" s="5" t="s">
        <v>145</v>
      </c>
      <c r="AM359" s="5" t="str">
        <f>IF(AE359&gt;O242,"＞  σta ,  N.G","＜  σta ,  O.K")</f>
        <v>＜  σta ,  O.K</v>
      </c>
    </row>
    <row r="360" spans="10:26" ht="24.75" customHeight="1">
      <c r="J360" s="5" t="s">
        <v>166</v>
      </c>
      <c r="M360" s="39" t="s">
        <v>167</v>
      </c>
      <c r="N360" s="25"/>
      <c r="O360" s="25"/>
      <c r="P360" s="50"/>
      <c r="Q360" s="25"/>
      <c r="R360" s="14" t="s">
        <v>41</v>
      </c>
      <c r="S360" s="49" t="str">
        <f>"("&amp;AE322&amp;" - "&amp;U330&amp;") / "&amp;AE322</f>
        <v>(41 - 8) / 41</v>
      </c>
      <c r="Y360" s="28"/>
      <c r="Z360" s="6"/>
    </row>
    <row r="361" spans="11:36" ht="24.75" customHeight="1">
      <c r="K361" s="38" t="s">
        <v>89</v>
      </c>
      <c r="L361" s="102">
        <f>S359</f>
        <v>5743318.602270116</v>
      </c>
      <c r="M361" s="102"/>
      <c r="N361" s="102"/>
      <c r="O361" s="102"/>
      <c r="P361" s="102"/>
      <c r="Q361" s="102"/>
      <c r="R361" s="17" t="s">
        <v>88</v>
      </c>
      <c r="S361" s="102">
        <f>AH358</f>
        <v>38191.623121360004</v>
      </c>
      <c r="T361" s="102"/>
      <c r="U361" s="102"/>
      <c r="V361" s="102"/>
      <c r="W361" s="5" t="s">
        <v>41</v>
      </c>
      <c r="X361" s="51">
        <f>(AE322-U330)/AE322</f>
        <v>0.8048780487804879</v>
      </c>
      <c r="Y361" s="51"/>
      <c r="Z361" s="51"/>
      <c r="AA361" s="6" t="s">
        <v>89</v>
      </c>
      <c r="AB361" s="116">
        <f>X361*L361/S361</f>
        <v>121.03887429530216</v>
      </c>
      <c r="AC361" s="116"/>
      <c r="AD361" s="116"/>
      <c r="AE361" s="116"/>
      <c r="AF361" s="5" t="s">
        <v>145</v>
      </c>
      <c r="AJ361" s="5" t="str">
        <f>IF(AB361&gt;O242,"＞  σta ,  N.G","＜  σta ,  O.K")</f>
        <v>＜  σta ,  O.K</v>
      </c>
    </row>
    <row r="362" spans="2:11" ht="24.75" customHeight="1">
      <c r="B362" s="5" t="s">
        <v>197</v>
      </c>
      <c r="H362" s="27"/>
      <c r="K362" s="9"/>
    </row>
    <row r="363" spans="7:9" ht="24.75" customHeight="1">
      <c r="G363" s="27"/>
      <c r="I363" s="27"/>
    </row>
    <row r="364" spans="5:17" ht="24.75" customHeight="1">
      <c r="E364" s="166"/>
      <c r="F364" s="166"/>
      <c r="G364" s="166"/>
      <c r="K364" s="29"/>
      <c r="L364" s="29"/>
      <c r="M364" s="29"/>
      <c r="N364" s="166"/>
      <c r="Q364" s="30"/>
    </row>
    <row r="365" spans="17:31" ht="24.75" customHeight="1">
      <c r="Q365" s="30"/>
      <c r="U365" s="31"/>
      <c r="V365" s="31"/>
      <c r="X365" s="5" t="s">
        <v>185</v>
      </c>
      <c r="AB365" s="163">
        <v>150</v>
      </c>
      <c r="AC365" s="163"/>
      <c r="AD365" s="163"/>
      <c r="AE365" s="5" t="s">
        <v>84</v>
      </c>
    </row>
    <row r="366" spans="17:31" ht="24.75" customHeight="1">
      <c r="Q366" s="30"/>
      <c r="R366" s="30"/>
      <c r="S366" s="32"/>
      <c r="T366" s="32"/>
      <c r="U366" s="167"/>
      <c r="V366" s="33"/>
      <c r="X366" s="5" t="s">
        <v>186</v>
      </c>
      <c r="AB366" s="163">
        <v>14</v>
      </c>
      <c r="AC366" s="163"/>
      <c r="AD366" s="163"/>
      <c r="AE366" s="5" t="s">
        <v>84</v>
      </c>
    </row>
    <row r="367" spans="1:3" ht="24.75" customHeight="1">
      <c r="A367" s="53"/>
      <c r="B367" s="53"/>
      <c r="C367" s="53"/>
    </row>
    <row r="369" ht="24.75" customHeight="1">
      <c r="C369" s="5" t="s">
        <v>181</v>
      </c>
    </row>
    <row r="370" spans="4:42" ht="24.75" customHeight="1">
      <c r="D370" s="52" t="s">
        <v>16</v>
      </c>
      <c r="E370" s="53"/>
      <c r="F370" s="53"/>
      <c r="G370" s="53"/>
      <c r="H370" s="53"/>
      <c r="I370" s="53"/>
      <c r="J370" s="53"/>
      <c r="K370" s="53"/>
      <c r="M370" s="52" t="s">
        <v>146</v>
      </c>
      <c r="N370" s="53"/>
      <c r="O370" s="95">
        <f>+AB366</f>
        <v>14</v>
      </c>
      <c r="P370" s="95"/>
      <c r="Q370" s="14" t="s">
        <v>41</v>
      </c>
      <c r="R370" s="114">
        <f>+AB365</f>
        <v>150</v>
      </c>
      <c r="S370" s="114"/>
      <c r="T370" s="114"/>
      <c r="U370" s="14" t="s">
        <v>140</v>
      </c>
      <c r="V370" s="115">
        <f>R319</f>
        <v>371</v>
      </c>
      <c r="W370" s="115"/>
      <c r="X370" s="115"/>
      <c r="Y370" s="115"/>
      <c r="Z370" s="5" t="s">
        <v>89</v>
      </c>
      <c r="AA370" s="39">
        <f>O370*R370-V370</f>
        <v>1729</v>
      </c>
      <c r="AB370" s="39"/>
      <c r="AC370" s="39"/>
      <c r="AD370" s="39"/>
      <c r="AE370" s="18" t="s">
        <v>101</v>
      </c>
      <c r="AO370" s="8"/>
      <c r="AP370" s="8"/>
    </row>
    <row r="371" spans="4:51" ht="24.75" customHeight="1">
      <c r="D371" s="5" t="str">
        <f>IF(O237&gt;0,"n = An σl / ρa","n = An σu / ρa")</f>
        <v>n = An σl / ρa</v>
      </c>
      <c r="G371" s="27"/>
      <c r="I371" s="27"/>
      <c r="K371" s="9" t="s">
        <v>89</v>
      </c>
      <c r="L371" s="39">
        <f>AA370</f>
        <v>1729</v>
      </c>
      <c r="M371" s="39"/>
      <c r="N371" s="39"/>
      <c r="O371" s="39"/>
      <c r="P371" s="14" t="s">
        <v>41</v>
      </c>
      <c r="Q371" s="108">
        <f>AE359</f>
        <v>145.66183946299273</v>
      </c>
      <c r="R371" s="108"/>
      <c r="S371" s="108"/>
      <c r="T371" s="108"/>
      <c r="U371" s="17" t="s">
        <v>88</v>
      </c>
      <c r="V371" s="89">
        <f>R322</f>
        <v>96000</v>
      </c>
      <c r="W371" s="89"/>
      <c r="X371" s="89"/>
      <c r="Y371" s="89"/>
      <c r="AA371" s="8" t="s">
        <v>89</v>
      </c>
      <c r="AB371" s="113">
        <f>ROUND(L371*Q371/V371,1)</f>
        <v>2.6</v>
      </c>
      <c r="AC371" s="113"/>
      <c r="AD371" s="113"/>
      <c r="AE371" s="113"/>
      <c r="AF371" s="92" t="s">
        <v>43</v>
      </c>
      <c r="AG371" s="92"/>
      <c r="AH371" s="92"/>
      <c r="AI371" s="164">
        <v>5</v>
      </c>
      <c r="AJ371" s="164"/>
      <c r="AK371" s="164"/>
      <c r="AL371" s="170"/>
      <c r="AM371" s="8" t="s">
        <v>4</v>
      </c>
      <c r="AN371" s="8"/>
      <c r="AO371" s="8"/>
      <c r="AP371" s="5" t="str">
        <f>IF(AB371&lt;=AI371,"O.K.","N.G.")</f>
        <v>O.K.</v>
      </c>
      <c r="AW371" s="8"/>
      <c r="AY371" s="18"/>
    </row>
    <row r="372" ht="24.75" customHeight="1">
      <c r="C372" s="5" t="s">
        <v>239</v>
      </c>
    </row>
    <row r="373" spans="4:37" ht="24.75" customHeight="1">
      <c r="D373" s="92" t="s">
        <v>188</v>
      </c>
      <c r="E373" s="92"/>
      <c r="F373" s="92"/>
      <c r="G373" s="92"/>
      <c r="H373" s="92"/>
      <c r="I373" s="92"/>
      <c r="J373" s="92"/>
      <c r="K373" s="5" t="str">
        <f>IF(O237&gt;0,"An σl / σta","n = An σu / σta")</f>
        <v>An σl / σta</v>
      </c>
      <c r="Q373" s="5" t="s">
        <v>89</v>
      </c>
      <c r="R373" s="39">
        <f>AA370</f>
        <v>1729</v>
      </c>
      <c r="S373" s="39"/>
      <c r="T373" s="39"/>
      <c r="U373" s="39"/>
      <c r="V373" s="14" t="s">
        <v>41</v>
      </c>
      <c r="W373" s="108">
        <f>Q371</f>
        <v>145.66183946299273</v>
      </c>
      <c r="X373" s="108"/>
      <c r="Y373" s="108"/>
      <c r="Z373" s="108"/>
      <c r="AA373" s="17" t="s">
        <v>88</v>
      </c>
      <c r="AB373" s="89">
        <f>O242</f>
        <v>210</v>
      </c>
      <c r="AC373" s="89"/>
      <c r="AD373" s="89"/>
      <c r="AE373" s="89"/>
      <c r="AF373" s="5" t="s">
        <v>89</v>
      </c>
      <c r="AG373" s="89">
        <f>R373*W373/AB373</f>
        <v>1199.282478245307</v>
      </c>
      <c r="AH373" s="89"/>
      <c r="AI373" s="89"/>
      <c r="AJ373" s="89"/>
      <c r="AK373" s="5" t="s">
        <v>101</v>
      </c>
    </row>
    <row r="374" spans="4:54" ht="24.75" customHeight="1">
      <c r="D374" s="5" t="s">
        <v>240</v>
      </c>
      <c r="I374" s="165">
        <v>2</v>
      </c>
      <c r="J374" s="165"/>
      <c r="K374" s="165"/>
      <c r="L374" s="126">
        <v>80</v>
      </c>
      <c r="M374" s="126"/>
      <c r="N374" s="126"/>
      <c r="O374" s="92">
        <v>9</v>
      </c>
      <c r="P374" s="92"/>
      <c r="Q374" s="127">
        <v>780</v>
      </c>
      <c r="R374" s="127"/>
      <c r="S374" s="127"/>
      <c r="T374" s="127"/>
      <c r="U374" s="5" t="s">
        <v>31</v>
      </c>
      <c r="W374" s="89">
        <f>+L374*O374*I374</f>
        <v>1440</v>
      </c>
      <c r="X374" s="89"/>
      <c r="Y374" s="89"/>
      <c r="Z374" s="89"/>
      <c r="AA374" s="5" t="s">
        <v>101</v>
      </c>
      <c r="AD374" s="5" t="str">
        <f>IF(W374&gt;=AG373,"O.K.","N.G.")</f>
        <v>O.K.</v>
      </c>
      <c r="AX374" s="23"/>
      <c r="AZ374" s="23"/>
      <c r="BB374" s="23"/>
    </row>
    <row r="375" spans="46:54" ht="24.75" customHeight="1">
      <c r="AT375" s="4"/>
      <c r="BB375" s="8"/>
    </row>
    <row r="376" spans="2:14" ht="24.75" customHeight="1">
      <c r="B376" s="5" t="s">
        <v>17</v>
      </c>
      <c r="K376" s="7"/>
      <c r="M376" s="9"/>
      <c r="N376" s="4"/>
    </row>
    <row r="377" spans="3:9" ht="24.75" customHeight="1">
      <c r="C377" s="4" t="s">
        <v>6</v>
      </c>
      <c r="I377" s="23"/>
    </row>
    <row r="378" spans="3:9" ht="24.75" customHeight="1">
      <c r="C378" s="18" t="s">
        <v>8</v>
      </c>
      <c r="I378" s="23"/>
    </row>
    <row r="380" spans="8:42" ht="24.75" customHeight="1">
      <c r="H380" s="25"/>
      <c r="P380" s="33"/>
      <c r="V380" s="54"/>
      <c r="W380" s="54"/>
      <c r="X380" s="54"/>
      <c r="Y380" s="54"/>
      <c r="Z380" s="54"/>
      <c r="AA380" s="54"/>
      <c r="AB380" s="54"/>
      <c r="AC380" s="54"/>
      <c r="AD380" s="54"/>
      <c r="AE380" s="54"/>
      <c r="AF380" s="5" t="s">
        <v>22</v>
      </c>
      <c r="AM380" s="171">
        <v>2200</v>
      </c>
      <c r="AN380" s="171"/>
      <c r="AO380" s="171"/>
      <c r="AP380" s="171"/>
    </row>
    <row r="381" spans="8:42" ht="24.75" customHeight="1">
      <c r="H381" s="25"/>
      <c r="L381" s="25"/>
      <c r="P381" s="172"/>
      <c r="Q381" s="173"/>
      <c r="V381" s="54"/>
      <c r="W381" s="54"/>
      <c r="X381" s="54"/>
      <c r="Y381" s="54"/>
      <c r="Z381" s="54"/>
      <c r="AA381" s="54"/>
      <c r="AB381" s="54"/>
      <c r="AC381" s="54"/>
      <c r="AD381" s="54"/>
      <c r="AE381" s="54"/>
      <c r="AF381" s="5" t="s">
        <v>23</v>
      </c>
      <c r="AM381" s="171">
        <v>12</v>
      </c>
      <c r="AN381" s="171"/>
      <c r="AO381" s="171"/>
      <c r="AP381" s="171"/>
    </row>
    <row r="382" spans="16:32" ht="24.75" customHeight="1">
      <c r="P382" s="33"/>
      <c r="V382" s="54"/>
      <c r="W382" s="54"/>
      <c r="X382" s="54"/>
      <c r="Y382" s="54"/>
      <c r="Z382" s="54"/>
      <c r="AA382" s="54"/>
      <c r="AB382" s="54"/>
      <c r="AC382" s="54"/>
      <c r="AD382" s="54"/>
      <c r="AE382" s="54"/>
      <c r="AF382" s="54"/>
    </row>
    <row r="383" spans="22:32" ht="24.75" customHeight="1">
      <c r="V383" s="54"/>
      <c r="W383" s="54"/>
      <c r="X383" s="54"/>
      <c r="Y383" s="54"/>
      <c r="Z383" s="54"/>
      <c r="AA383" s="54"/>
      <c r="AB383" s="54"/>
      <c r="AC383" s="54"/>
      <c r="AD383" s="54"/>
      <c r="AE383" s="54"/>
      <c r="AF383" s="54"/>
    </row>
    <row r="384" spans="16:25" ht="24.75" customHeight="1">
      <c r="P384" s="54"/>
      <c r="R384" s="25"/>
      <c r="Y384" s="25"/>
    </row>
    <row r="385" spans="9:46" ht="24.75" customHeight="1">
      <c r="I385" s="44"/>
      <c r="P385" s="54"/>
      <c r="R385" s="54"/>
      <c r="AT385" s="184"/>
    </row>
    <row r="386" spans="9:18" ht="24.75" customHeight="1">
      <c r="I386" s="44"/>
      <c r="P386" s="54"/>
      <c r="R386" s="54"/>
    </row>
    <row r="387" spans="9:32" ht="24.75" customHeight="1">
      <c r="I387" s="44"/>
      <c r="P387" s="54"/>
      <c r="W387" s="23"/>
      <c r="AF387" s="54"/>
    </row>
    <row r="388" spans="9:32" ht="24.75" customHeight="1">
      <c r="I388" s="44"/>
      <c r="W388" s="23"/>
      <c r="X388" s="31"/>
      <c r="Y388" s="31"/>
      <c r="Z388" s="31"/>
      <c r="AA388" s="31"/>
      <c r="AB388" s="31"/>
      <c r="AC388" s="31"/>
      <c r="AF388" s="54"/>
    </row>
    <row r="389" spans="16:29" ht="24.75" customHeight="1">
      <c r="P389" s="33"/>
      <c r="W389" s="23"/>
      <c r="X389" s="31"/>
      <c r="Y389" s="31"/>
      <c r="AC389" s="23"/>
    </row>
    <row r="390" spans="16:29" ht="24.75" customHeight="1">
      <c r="P390" s="172"/>
      <c r="Q390" s="173"/>
      <c r="W390" s="23"/>
      <c r="X390" s="31"/>
      <c r="Y390" s="31"/>
      <c r="AC390" s="23"/>
    </row>
    <row r="391" spans="16:29" ht="24.75" customHeight="1">
      <c r="P391" s="33"/>
      <c r="T391" s="31"/>
      <c r="U391" s="31"/>
      <c r="Y391" s="23"/>
      <c r="Z391" s="31"/>
      <c r="AA391" s="31"/>
      <c r="AB391" s="31"/>
      <c r="AC391" s="31"/>
    </row>
    <row r="392" spans="8:23" ht="24.75" customHeight="1">
      <c r="H392" s="25"/>
      <c r="L392" s="25"/>
      <c r="W392" s="23"/>
    </row>
    <row r="393" spans="4:23" ht="24.75" customHeight="1">
      <c r="D393" s="17" t="s">
        <v>227</v>
      </c>
      <c r="W393" s="23"/>
    </row>
    <row r="394" spans="4:24" ht="24.75" customHeight="1">
      <c r="D394" s="5" t="s">
        <v>24</v>
      </c>
      <c r="I394" s="53"/>
      <c r="J394" s="53"/>
      <c r="K394" s="53"/>
      <c r="L394" s="53"/>
      <c r="S394" s="112">
        <f>(P248/(P248+P304)*AM380)/COS(RADIANS(AG239))</f>
        <v>1043.1657068801499</v>
      </c>
      <c r="T394" s="112"/>
      <c r="U394" s="112"/>
      <c r="V394" s="5" t="s">
        <v>84</v>
      </c>
      <c r="X394" s="5" t="str">
        <f>IF(AG239=0,"","( 傾斜長さ )")</f>
        <v>( 傾斜長さ )</v>
      </c>
    </row>
    <row r="395" spans="4:20" ht="24.75" customHeight="1">
      <c r="D395" s="111" t="s">
        <v>168</v>
      </c>
      <c r="E395" s="111"/>
      <c r="F395" s="111"/>
      <c r="G395" s="55">
        <f>IF(O237&gt;0,P248,P304)</f>
        <v>141.39999999975</v>
      </c>
      <c r="H395" s="56"/>
      <c r="I395" s="56"/>
      <c r="J395" s="56"/>
      <c r="K395" s="10" t="s">
        <v>218</v>
      </c>
      <c r="L395" s="10"/>
      <c r="P395" s="10"/>
      <c r="Q395" s="55"/>
      <c r="R395" s="56"/>
      <c r="S395" s="56"/>
      <c r="T395" s="56"/>
    </row>
    <row r="396" spans="4:24" ht="24.75" customHeight="1">
      <c r="D396" s="111" t="s">
        <v>117</v>
      </c>
      <c r="E396" s="111"/>
      <c r="F396" s="111"/>
      <c r="G396" s="111" t="s">
        <v>219</v>
      </c>
      <c r="H396" s="111"/>
      <c r="I396" s="111"/>
      <c r="J396" s="111"/>
      <c r="K396" s="111"/>
      <c r="L396" s="175">
        <v>26.27692678</v>
      </c>
      <c r="M396" s="175"/>
      <c r="N396" s="91"/>
      <c r="O396" s="58" t="s">
        <v>35</v>
      </c>
      <c r="P396" s="58"/>
      <c r="Q396" s="10" t="s">
        <v>34</v>
      </c>
      <c r="R396" s="55">
        <f>ROUND(G395*(S394-L396)/S394,3)</f>
        <v>137.838</v>
      </c>
      <c r="S396" s="56"/>
      <c r="T396" s="56"/>
      <c r="U396" s="56"/>
      <c r="V396" s="57"/>
      <c r="W396" s="10" t="s">
        <v>218</v>
      </c>
      <c r="X396" s="10"/>
    </row>
    <row r="397" spans="4:31" ht="24.75" customHeight="1">
      <c r="D397" s="111" t="s">
        <v>118</v>
      </c>
      <c r="E397" s="111"/>
      <c r="F397" s="111"/>
      <c r="G397" s="111" t="s">
        <v>219</v>
      </c>
      <c r="H397" s="111"/>
      <c r="I397" s="111"/>
      <c r="J397" s="111"/>
      <c r="K397" s="111"/>
      <c r="L397" s="175">
        <v>126.27692678</v>
      </c>
      <c r="M397" s="175"/>
      <c r="N397" s="91"/>
      <c r="O397" s="58" t="s">
        <v>35</v>
      </c>
      <c r="P397" s="58"/>
      <c r="Q397" s="10" t="s">
        <v>34</v>
      </c>
      <c r="R397" s="55">
        <f>ROUND(G395*(S394-L397)/S394,3)</f>
        <v>124.283</v>
      </c>
      <c r="S397" s="56"/>
      <c r="T397" s="56"/>
      <c r="U397" s="56"/>
      <c r="V397" s="57"/>
      <c r="W397" s="10" t="s">
        <v>218</v>
      </c>
      <c r="X397" s="10"/>
      <c r="Y397" s="10"/>
      <c r="Z397" s="55"/>
      <c r="AA397" s="56"/>
      <c r="AB397" s="56"/>
      <c r="AC397" s="56"/>
      <c r="AD397" s="57"/>
      <c r="AE397" s="10"/>
    </row>
    <row r="398" spans="4:31" ht="24.75" customHeight="1">
      <c r="D398" s="111" t="s">
        <v>119</v>
      </c>
      <c r="E398" s="111"/>
      <c r="F398" s="111"/>
      <c r="G398" s="111" t="s">
        <v>219</v>
      </c>
      <c r="H398" s="111"/>
      <c r="I398" s="111"/>
      <c r="J398" s="111"/>
      <c r="K398" s="111"/>
      <c r="L398" s="175">
        <v>226.27692678</v>
      </c>
      <c r="M398" s="175"/>
      <c r="N398" s="91"/>
      <c r="O398" s="58" t="s">
        <v>35</v>
      </c>
      <c r="P398" s="58"/>
      <c r="Q398" s="10" t="s">
        <v>34</v>
      </c>
      <c r="R398" s="55">
        <f>ROUND(G395*(S394-L398)/S394,3)</f>
        <v>110.728</v>
      </c>
      <c r="S398" s="56"/>
      <c r="T398" s="56"/>
      <c r="U398" s="56"/>
      <c r="V398" s="57"/>
      <c r="W398" s="10" t="s">
        <v>218</v>
      </c>
      <c r="X398" s="10"/>
      <c r="Y398" s="10"/>
      <c r="Z398" s="55"/>
      <c r="AA398" s="56"/>
      <c r="AB398" s="56"/>
      <c r="AC398" s="56"/>
      <c r="AD398" s="57"/>
      <c r="AE398" s="10"/>
    </row>
    <row r="399" spans="4:31" ht="24.75" customHeight="1">
      <c r="D399" s="111" t="s">
        <v>120</v>
      </c>
      <c r="E399" s="111"/>
      <c r="F399" s="111"/>
      <c r="G399" s="111" t="s">
        <v>219</v>
      </c>
      <c r="H399" s="111"/>
      <c r="I399" s="111"/>
      <c r="J399" s="111"/>
      <c r="K399" s="111"/>
      <c r="L399" s="175">
        <v>326.27692678</v>
      </c>
      <c r="M399" s="175"/>
      <c r="N399" s="91"/>
      <c r="O399" s="58" t="s">
        <v>35</v>
      </c>
      <c r="P399" s="58"/>
      <c r="Q399" s="10" t="s">
        <v>34</v>
      </c>
      <c r="R399" s="55">
        <f>ROUND(G395*(S394-L399)/S394,3)</f>
        <v>97.174</v>
      </c>
      <c r="S399" s="56"/>
      <c r="T399" s="56"/>
      <c r="U399" s="56"/>
      <c r="V399" s="57"/>
      <c r="W399" s="10" t="s">
        <v>218</v>
      </c>
      <c r="X399" s="10"/>
      <c r="Y399" s="10"/>
      <c r="Z399" s="55"/>
      <c r="AA399" s="56"/>
      <c r="AB399" s="56"/>
      <c r="AC399" s="56"/>
      <c r="AD399" s="57"/>
      <c r="AE399" s="10"/>
    </row>
    <row r="400" spans="4:31" ht="24.75" customHeight="1">
      <c r="D400" s="111" t="s">
        <v>121</v>
      </c>
      <c r="E400" s="111"/>
      <c r="F400" s="111"/>
      <c r="G400" s="111" t="s">
        <v>219</v>
      </c>
      <c r="H400" s="111"/>
      <c r="I400" s="111"/>
      <c r="J400" s="111"/>
      <c r="K400" s="111"/>
      <c r="L400" s="175">
        <v>426.27692678</v>
      </c>
      <c r="M400" s="175"/>
      <c r="N400" s="91"/>
      <c r="O400" s="58" t="s">
        <v>35</v>
      </c>
      <c r="P400" s="58"/>
      <c r="Q400" s="10" t="s">
        <v>34</v>
      </c>
      <c r="R400" s="55">
        <f>ROUND(G395*(S394-L400)/S394,3)</f>
        <v>83.619</v>
      </c>
      <c r="S400" s="56"/>
      <c r="T400" s="56"/>
      <c r="U400" s="56"/>
      <c r="V400" s="57"/>
      <c r="W400" s="10" t="s">
        <v>218</v>
      </c>
      <c r="X400" s="10"/>
      <c r="Y400" s="10"/>
      <c r="Z400" s="55"/>
      <c r="AA400" s="56"/>
      <c r="AB400" s="56"/>
      <c r="AC400" s="56"/>
      <c r="AD400" s="57"/>
      <c r="AE400" s="10"/>
    </row>
    <row r="401" spans="4:31" ht="24.75" customHeight="1">
      <c r="D401" s="111" t="s">
        <v>122</v>
      </c>
      <c r="E401" s="111"/>
      <c r="F401" s="111"/>
      <c r="G401" s="111" t="s">
        <v>219</v>
      </c>
      <c r="H401" s="111"/>
      <c r="I401" s="111"/>
      <c r="J401" s="111"/>
      <c r="K401" s="111"/>
      <c r="L401" s="175">
        <v>526.27692678</v>
      </c>
      <c r="M401" s="175"/>
      <c r="N401" s="91"/>
      <c r="O401" s="58" t="s">
        <v>35</v>
      </c>
      <c r="P401" s="58"/>
      <c r="Q401" s="10" t="s">
        <v>34</v>
      </c>
      <c r="R401" s="55">
        <f>ROUND(G395*(S394-L401)/S394,3)</f>
        <v>70.064</v>
      </c>
      <c r="S401" s="56"/>
      <c r="T401" s="56"/>
      <c r="U401" s="56"/>
      <c r="V401" s="57"/>
      <c r="W401" s="10" t="s">
        <v>218</v>
      </c>
      <c r="X401" s="10"/>
      <c r="Y401" s="10"/>
      <c r="Z401" s="55"/>
      <c r="AA401" s="56"/>
      <c r="AB401" s="56"/>
      <c r="AC401" s="56"/>
      <c r="AD401" s="57"/>
      <c r="AE401" s="10"/>
    </row>
    <row r="402" spans="4:25" ht="24.75" customHeight="1">
      <c r="D402" s="47"/>
      <c r="E402" s="47"/>
      <c r="F402" s="47"/>
      <c r="G402" s="47"/>
      <c r="H402" s="47"/>
      <c r="I402" s="47"/>
      <c r="J402" s="47"/>
      <c r="K402" s="47"/>
      <c r="L402" s="56"/>
      <c r="M402" s="56"/>
      <c r="N402" s="47"/>
      <c r="O402" s="47"/>
      <c r="P402" s="47"/>
      <c r="Q402" s="10"/>
      <c r="R402" s="55"/>
      <c r="S402" s="56"/>
      <c r="T402" s="56"/>
      <c r="U402" s="56"/>
      <c r="V402" s="57"/>
      <c r="W402" s="10"/>
      <c r="X402" s="10"/>
      <c r="Y402" s="10"/>
    </row>
    <row r="403" spans="4:36" ht="24.75" customHeight="1">
      <c r="D403" s="110" t="s">
        <v>169</v>
      </c>
      <c r="E403" s="110"/>
      <c r="F403" s="110"/>
      <c r="G403" s="110"/>
      <c r="H403" s="59" t="s">
        <v>87</v>
      </c>
      <c r="I403" s="107">
        <f>G395</f>
        <v>141.39999999975</v>
      </c>
      <c r="J403" s="107"/>
      <c r="K403" s="107"/>
      <c r="L403" s="107"/>
      <c r="M403" s="14" t="s">
        <v>48</v>
      </c>
      <c r="N403" s="107">
        <f aca="true" t="shared" si="3" ref="N403:N408">R396</f>
        <v>137.838</v>
      </c>
      <c r="O403" s="107"/>
      <c r="P403" s="107"/>
      <c r="Q403" s="107"/>
      <c r="R403" s="60" t="s">
        <v>170</v>
      </c>
      <c r="S403" s="56"/>
      <c r="T403" s="56"/>
      <c r="U403" s="56"/>
      <c r="V403" s="108">
        <f>L396</f>
        <v>26.27692678</v>
      </c>
      <c r="W403" s="108"/>
      <c r="X403" s="108"/>
      <c r="Y403" s="14" t="s">
        <v>137</v>
      </c>
      <c r="Z403" s="108">
        <f>AM381</f>
        <v>12</v>
      </c>
      <c r="AA403" s="108"/>
      <c r="AB403" s="108"/>
      <c r="AC403" s="5" t="s">
        <v>89</v>
      </c>
      <c r="AD403" s="109">
        <f>(I403+N403)/2*V403*Z403</f>
        <v>44025.09888112242</v>
      </c>
      <c r="AE403" s="109"/>
      <c r="AF403" s="109"/>
      <c r="AG403" s="109"/>
      <c r="AH403" s="109"/>
      <c r="AI403" s="5" t="s">
        <v>113</v>
      </c>
      <c r="AJ403" s="5" t="s">
        <v>18</v>
      </c>
    </row>
    <row r="404" spans="4:46" ht="24.75" customHeight="1">
      <c r="D404" s="92" t="s">
        <v>228</v>
      </c>
      <c r="E404" s="92"/>
      <c r="F404" s="92"/>
      <c r="G404" s="92"/>
      <c r="H404" s="14" t="s">
        <v>87</v>
      </c>
      <c r="I404" s="107">
        <f>R396</f>
        <v>137.838</v>
      </c>
      <c r="J404" s="107"/>
      <c r="K404" s="107"/>
      <c r="L404" s="107"/>
      <c r="M404" s="14" t="s">
        <v>48</v>
      </c>
      <c r="N404" s="107">
        <f t="shared" si="3"/>
        <v>124.283</v>
      </c>
      <c r="O404" s="107"/>
      <c r="P404" s="107"/>
      <c r="Q404" s="107"/>
      <c r="R404" s="61" t="s">
        <v>171</v>
      </c>
      <c r="S404" s="36"/>
      <c r="T404" s="8">
        <v>2</v>
      </c>
      <c r="U404" s="62" t="s">
        <v>137</v>
      </c>
      <c r="V404" s="63">
        <f>L397-L396</f>
        <v>100</v>
      </c>
      <c r="W404" s="63"/>
      <c r="X404" s="63"/>
      <c r="Y404" s="64" t="s">
        <v>137</v>
      </c>
      <c r="Z404" s="24">
        <f>Z403</f>
        <v>12</v>
      </c>
      <c r="AA404" s="25"/>
      <c r="AB404" s="24"/>
      <c r="AC404" s="65" t="s">
        <v>47</v>
      </c>
      <c r="AD404" s="66">
        <v>2</v>
      </c>
      <c r="AE404" s="66"/>
      <c r="AF404" s="66"/>
      <c r="AG404" s="8" t="s">
        <v>34</v>
      </c>
      <c r="AH404" s="63">
        <f>ROUND(+(I404+N404)/T404*V404*Z404/AD404,1)</f>
        <v>78636.3</v>
      </c>
      <c r="AI404" s="63"/>
      <c r="AJ404" s="63"/>
      <c r="AK404" s="63"/>
      <c r="AL404" s="92" t="str">
        <f>IF(AH404&gt;+V371,"N/本  ＞  ρa   N.G.","N/本  ＜  ρa   O.K.")</f>
        <v>N/本  ＜  ρa   O.K.</v>
      </c>
      <c r="AM404" s="92"/>
      <c r="AN404" s="92"/>
      <c r="AO404" s="92"/>
      <c r="AP404" s="92"/>
      <c r="AQ404" s="92"/>
      <c r="AR404" s="92"/>
      <c r="AS404" s="92"/>
      <c r="AT404" s="92"/>
    </row>
    <row r="405" spans="4:46" ht="24.75" customHeight="1">
      <c r="D405" s="92" t="s">
        <v>250</v>
      </c>
      <c r="E405" s="92"/>
      <c r="F405" s="92"/>
      <c r="G405" s="92"/>
      <c r="H405" s="14" t="s">
        <v>87</v>
      </c>
      <c r="I405" s="107">
        <f>N404</f>
        <v>124.283</v>
      </c>
      <c r="J405" s="107"/>
      <c r="K405" s="107"/>
      <c r="L405" s="107"/>
      <c r="M405" s="14" t="s">
        <v>48</v>
      </c>
      <c r="N405" s="107">
        <f t="shared" si="3"/>
        <v>110.728</v>
      </c>
      <c r="O405" s="107"/>
      <c r="P405" s="107"/>
      <c r="Q405" s="107"/>
      <c r="R405" s="61" t="s">
        <v>171</v>
      </c>
      <c r="S405" s="36"/>
      <c r="T405" s="8">
        <v>2</v>
      </c>
      <c r="U405" s="62" t="s">
        <v>137</v>
      </c>
      <c r="V405" s="63">
        <f>(L398-L397)</f>
        <v>100</v>
      </c>
      <c r="W405" s="67"/>
      <c r="X405" s="24"/>
      <c r="Y405" s="64" t="s">
        <v>137</v>
      </c>
      <c r="Z405" s="24">
        <f>Z403</f>
        <v>12</v>
      </c>
      <c r="AA405" s="24"/>
      <c r="AB405" s="24"/>
      <c r="AC405" s="65" t="s">
        <v>47</v>
      </c>
      <c r="AD405" s="66">
        <v>2</v>
      </c>
      <c r="AE405" s="66"/>
      <c r="AF405" s="66"/>
      <c r="AG405" s="8" t="s">
        <v>34</v>
      </c>
      <c r="AH405" s="63">
        <f>ROUND(+(I405+N405)/T405*V405*Z405/AD405,1)</f>
        <v>70503.3</v>
      </c>
      <c r="AI405" s="63"/>
      <c r="AJ405" s="63"/>
      <c r="AK405" s="63"/>
      <c r="AL405" s="92" t="str">
        <f>IF(AH405&gt;+V371,"N/本  ＞  ρa   N.G.","N/本  ＜  ρa   O.K.")</f>
        <v>N/本  ＜  ρa   O.K.</v>
      </c>
      <c r="AM405" s="92"/>
      <c r="AN405" s="92"/>
      <c r="AO405" s="92"/>
      <c r="AP405" s="92"/>
      <c r="AQ405" s="92"/>
      <c r="AR405" s="92"/>
      <c r="AS405" s="92"/>
      <c r="AT405" s="92"/>
    </row>
    <row r="406" spans="4:46" ht="24.75" customHeight="1">
      <c r="D406" s="92" t="s">
        <v>251</v>
      </c>
      <c r="E406" s="92"/>
      <c r="F406" s="92"/>
      <c r="G406" s="92"/>
      <c r="H406" s="14" t="s">
        <v>87</v>
      </c>
      <c r="I406" s="107">
        <f>N405</f>
        <v>110.728</v>
      </c>
      <c r="J406" s="107"/>
      <c r="K406" s="107"/>
      <c r="L406" s="107"/>
      <c r="M406" s="14" t="s">
        <v>48</v>
      </c>
      <c r="N406" s="107">
        <f t="shared" si="3"/>
        <v>97.174</v>
      </c>
      <c r="O406" s="107"/>
      <c r="P406" s="107"/>
      <c r="Q406" s="107"/>
      <c r="R406" s="61" t="s">
        <v>171</v>
      </c>
      <c r="S406" s="36"/>
      <c r="T406" s="8">
        <v>2</v>
      </c>
      <c r="U406" s="62" t="s">
        <v>137</v>
      </c>
      <c r="V406" s="63">
        <f>(L399-L398)</f>
        <v>100</v>
      </c>
      <c r="W406" s="67"/>
      <c r="X406" s="24"/>
      <c r="Y406" s="64" t="s">
        <v>137</v>
      </c>
      <c r="Z406" s="24">
        <f>Z403</f>
        <v>12</v>
      </c>
      <c r="AA406" s="24"/>
      <c r="AB406" s="24"/>
      <c r="AC406" s="65" t="s">
        <v>47</v>
      </c>
      <c r="AD406" s="66">
        <v>2</v>
      </c>
      <c r="AE406" s="66"/>
      <c r="AF406" s="66"/>
      <c r="AG406" s="8" t="s">
        <v>34</v>
      </c>
      <c r="AH406" s="63">
        <f>ROUND(+(I406+N406)/T406*V406*Z406/AD406,1)</f>
        <v>62370.6</v>
      </c>
      <c r="AI406" s="63"/>
      <c r="AJ406" s="63"/>
      <c r="AK406" s="63"/>
      <c r="AL406" s="92" t="str">
        <f>IF(AH406&gt;+V371,"N/本  ＞  ρa   N.G.","N/本  ＜  ρa   O.K.")</f>
        <v>N/本  ＜  ρa   O.K.</v>
      </c>
      <c r="AM406" s="92"/>
      <c r="AN406" s="92"/>
      <c r="AO406" s="92"/>
      <c r="AP406" s="92"/>
      <c r="AQ406" s="92"/>
      <c r="AR406" s="92"/>
      <c r="AS406" s="92"/>
      <c r="AT406" s="92"/>
    </row>
    <row r="407" spans="4:46" ht="24.75" customHeight="1">
      <c r="D407" s="92" t="s">
        <v>252</v>
      </c>
      <c r="E407" s="92"/>
      <c r="F407" s="92"/>
      <c r="G407" s="92"/>
      <c r="H407" s="14" t="s">
        <v>87</v>
      </c>
      <c r="I407" s="107">
        <f>N406</f>
        <v>97.174</v>
      </c>
      <c r="J407" s="107"/>
      <c r="K407" s="107"/>
      <c r="L407" s="107"/>
      <c r="M407" s="14" t="s">
        <v>48</v>
      </c>
      <c r="N407" s="107">
        <f t="shared" si="3"/>
        <v>83.619</v>
      </c>
      <c r="O407" s="107"/>
      <c r="P407" s="107"/>
      <c r="Q407" s="107"/>
      <c r="R407" s="61" t="s">
        <v>171</v>
      </c>
      <c r="S407" s="36"/>
      <c r="T407" s="8">
        <v>2</v>
      </c>
      <c r="U407" s="62" t="s">
        <v>137</v>
      </c>
      <c r="V407" s="63">
        <f>(L400-L399)</f>
        <v>100</v>
      </c>
      <c r="W407" s="67"/>
      <c r="X407" s="24"/>
      <c r="Y407" s="64" t="s">
        <v>137</v>
      </c>
      <c r="Z407" s="24">
        <f>Z403</f>
        <v>12</v>
      </c>
      <c r="AA407" s="24"/>
      <c r="AB407" s="24"/>
      <c r="AC407" s="65" t="s">
        <v>47</v>
      </c>
      <c r="AD407" s="66">
        <v>2</v>
      </c>
      <c r="AE407" s="66"/>
      <c r="AF407" s="66"/>
      <c r="AG407" s="8" t="s">
        <v>34</v>
      </c>
      <c r="AH407" s="63">
        <f>ROUND(+(I407+N407)/T407*V407*Z407/AD407,1)</f>
        <v>54237.9</v>
      </c>
      <c r="AI407" s="63"/>
      <c r="AJ407" s="63"/>
      <c r="AK407" s="63"/>
      <c r="AL407" s="92" t="str">
        <f>IF(AH407&gt;+V371,"N/本  ＞  ρa   N.G.","N/本  ＜  ρa   O.K.")</f>
        <v>N/本  ＜  ρa   O.K.</v>
      </c>
      <c r="AM407" s="92"/>
      <c r="AN407" s="92"/>
      <c r="AO407" s="92"/>
      <c r="AP407" s="92"/>
      <c r="AQ407" s="92"/>
      <c r="AR407" s="92"/>
      <c r="AS407" s="92"/>
      <c r="AT407" s="92"/>
    </row>
    <row r="408" spans="4:46" ht="24.75" customHeight="1">
      <c r="D408" s="92" t="s">
        <v>253</v>
      </c>
      <c r="E408" s="92"/>
      <c r="F408" s="92"/>
      <c r="G408" s="92"/>
      <c r="H408" s="14" t="s">
        <v>87</v>
      </c>
      <c r="I408" s="107">
        <f>N407</f>
        <v>83.619</v>
      </c>
      <c r="J408" s="107"/>
      <c r="K408" s="107"/>
      <c r="L408" s="107"/>
      <c r="M408" s="14" t="s">
        <v>48</v>
      </c>
      <c r="N408" s="107">
        <f t="shared" si="3"/>
        <v>70.064</v>
      </c>
      <c r="O408" s="107"/>
      <c r="P408" s="107"/>
      <c r="Q408" s="107"/>
      <c r="R408" s="61" t="s">
        <v>171</v>
      </c>
      <c r="S408" s="36"/>
      <c r="T408" s="8">
        <v>2</v>
      </c>
      <c r="U408" s="62" t="s">
        <v>137</v>
      </c>
      <c r="V408" s="63">
        <f>(L401-L400)</f>
        <v>100.00000000000006</v>
      </c>
      <c r="W408" s="67"/>
      <c r="X408" s="24"/>
      <c r="Y408" s="64" t="s">
        <v>137</v>
      </c>
      <c r="Z408" s="24">
        <f>Z403</f>
        <v>12</v>
      </c>
      <c r="AA408" s="24"/>
      <c r="AB408" s="24"/>
      <c r="AC408" s="65" t="s">
        <v>47</v>
      </c>
      <c r="AD408" s="66">
        <v>2</v>
      </c>
      <c r="AE408" s="66"/>
      <c r="AF408" s="66"/>
      <c r="AG408" s="8" t="s">
        <v>34</v>
      </c>
      <c r="AH408" s="63">
        <f>ROUND(+(I408+N408)/T408*V408*Z408/AD408,1)</f>
        <v>46104.9</v>
      </c>
      <c r="AI408" s="63"/>
      <c r="AJ408" s="63"/>
      <c r="AK408" s="63"/>
      <c r="AL408" s="92" t="str">
        <f>IF(AH408&gt;+V371,"N/本  ＞  ρa   N.G.","N/本  ＜  ρa   O.K.")</f>
        <v>N/本  ＜  ρa   O.K.</v>
      </c>
      <c r="AM408" s="92"/>
      <c r="AN408" s="92"/>
      <c r="AO408" s="92"/>
      <c r="AP408" s="92"/>
      <c r="AQ408" s="92"/>
      <c r="AR408" s="92"/>
      <c r="AS408" s="92"/>
      <c r="AT408" s="92"/>
    </row>
    <row r="409" spans="4:25" ht="24.75" customHeight="1">
      <c r="D409" s="47"/>
      <c r="E409" s="47"/>
      <c r="F409" s="47"/>
      <c r="G409" s="47"/>
      <c r="H409" s="47"/>
      <c r="I409" s="47"/>
      <c r="J409" s="47"/>
      <c r="K409" s="47"/>
      <c r="L409" s="56"/>
      <c r="M409" s="56"/>
      <c r="N409" s="47"/>
      <c r="O409" s="47"/>
      <c r="P409" s="47"/>
      <c r="Q409" s="10"/>
      <c r="R409" s="55"/>
      <c r="S409" s="56"/>
      <c r="T409" s="56"/>
      <c r="U409" s="56"/>
      <c r="V409" s="57"/>
      <c r="W409" s="10"/>
      <c r="X409" s="10"/>
      <c r="Y409" s="10"/>
    </row>
    <row r="410" spans="4:23" ht="24.75" customHeight="1">
      <c r="D410" s="17" t="s">
        <v>229</v>
      </c>
      <c r="W410" s="23"/>
    </row>
    <row r="411" spans="4:24" ht="24.75" customHeight="1">
      <c r="D411" s="5" t="s">
        <v>19</v>
      </c>
      <c r="I411" s="53"/>
      <c r="J411" s="53"/>
      <c r="K411" s="53"/>
      <c r="L411" s="53"/>
      <c r="S411" s="112">
        <f>(P304/(P248+P304)*AM380)/COS(RADIANS(AG239))</f>
        <v>1161.942000239845</v>
      </c>
      <c r="T411" s="112"/>
      <c r="U411" s="112"/>
      <c r="V411" s="5" t="s">
        <v>84</v>
      </c>
      <c r="X411" s="5" t="str">
        <f>IF(AG239=0,"","( 傾斜長さ )")</f>
        <v>( 傾斜長さ )</v>
      </c>
    </row>
    <row r="412" spans="4:22" ht="24.75" customHeight="1">
      <c r="D412" s="111" t="s">
        <v>172</v>
      </c>
      <c r="E412" s="111"/>
      <c r="F412" s="111"/>
      <c r="G412" s="55">
        <f>IF(O237&gt;0,P304,P248)</f>
        <v>157.5</v>
      </c>
      <c r="H412" s="56"/>
      <c r="I412" s="56"/>
      <c r="J412" s="56"/>
      <c r="K412" s="10" t="s">
        <v>218</v>
      </c>
      <c r="L412" s="10"/>
      <c r="P412" s="10"/>
      <c r="Q412" s="55"/>
      <c r="R412" s="56"/>
      <c r="S412" s="56"/>
      <c r="T412" s="56"/>
      <c r="U412" s="57"/>
      <c r="V412" s="10"/>
    </row>
    <row r="413" spans="4:24" ht="24.75" customHeight="1">
      <c r="D413" s="111" t="s">
        <v>117</v>
      </c>
      <c r="E413" s="111"/>
      <c r="F413" s="111"/>
      <c r="G413" s="111" t="s">
        <v>219</v>
      </c>
      <c r="H413" s="111"/>
      <c r="I413" s="111"/>
      <c r="J413" s="111"/>
      <c r="K413" s="111"/>
      <c r="L413" s="91">
        <f aca="true" t="shared" si="4" ref="L413:L418">L396</f>
        <v>26.27692678</v>
      </c>
      <c r="M413" s="91"/>
      <c r="N413" s="91"/>
      <c r="O413" s="58" t="s">
        <v>35</v>
      </c>
      <c r="P413" s="58"/>
      <c r="Q413" s="10" t="s">
        <v>34</v>
      </c>
      <c r="R413" s="55">
        <f>ROUND(G412*(S411-L413)/S411,3)</f>
        <v>153.938</v>
      </c>
      <c r="S413" s="56"/>
      <c r="T413" s="56"/>
      <c r="U413" s="56"/>
      <c r="V413" s="57"/>
      <c r="W413" s="10" t="s">
        <v>218</v>
      </c>
      <c r="X413" s="10"/>
    </row>
    <row r="414" spans="4:31" ht="24.75" customHeight="1">
      <c r="D414" s="111" t="s">
        <v>118</v>
      </c>
      <c r="E414" s="111"/>
      <c r="F414" s="111"/>
      <c r="G414" s="111" t="s">
        <v>219</v>
      </c>
      <c r="H414" s="111"/>
      <c r="I414" s="111"/>
      <c r="J414" s="111"/>
      <c r="K414" s="111"/>
      <c r="L414" s="91">
        <f t="shared" si="4"/>
        <v>126.27692678</v>
      </c>
      <c r="M414" s="91"/>
      <c r="N414" s="91"/>
      <c r="O414" s="58" t="s">
        <v>35</v>
      </c>
      <c r="P414" s="58"/>
      <c r="Q414" s="10" t="s">
        <v>34</v>
      </c>
      <c r="R414" s="55">
        <f>ROUND(G412*(S411-L414)/S411,3)</f>
        <v>140.383</v>
      </c>
      <c r="S414" s="56"/>
      <c r="T414" s="56"/>
      <c r="U414" s="56"/>
      <c r="V414" s="57"/>
      <c r="W414" s="10" t="s">
        <v>218</v>
      </c>
      <c r="X414" s="10"/>
      <c r="Y414" s="10"/>
      <c r="Z414" s="55"/>
      <c r="AA414" s="56"/>
      <c r="AB414" s="56"/>
      <c r="AC414" s="56"/>
      <c r="AD414" s="57"/>
      <c r="AE414" s="10"/>
    </row>
    <row r="415" spans="4:31" ht="24.75" customHeight="1">
      <c r="D415" s="111" t="s">
        <v>119</v>
      </c>
      <c r="E415" s="111"/>
      <c r="F415" s="111"/>
      <c r="G415" s="111" t="s">
        <v>219</v>
      </c>
      <c r="H415" s="111"/>
      <c r="I415" s="111"/>
      <c r="J415" s="111"/>
      <c r="K415" s="111"/>
      <c r="L415" s="91">
        <f t="shared" si="4"/>
        <v>226.27692678</v>
      </c>
      <c r="M415" s="91"/>
      <c r="N415" s="91"/>
      <c r="O415" s="58" t="s">
        <v>35</v>
      </c>
      <c r="P415" s="58"/>
      <c r="Q415" s="10" t="s">
        <v>34</v>
      </c>
      <c r="R415" s="55">
        <f>ROUND(G412*(S411-L415)/S411,3)</f>
        <v>126.828</v>
      </c>
      <c r="S415" s="56"/>
      <c r="T415" s="56"/>
      <c r="U415" s="56"/>
      <c r="V415" s="57"/>
      <c r="W415" s="10" t="s">
        <v>218</v>
      </c>
      <c r="X415" s="10"/>
      <c r="Y415" s="10"/>
      <c r="Z415" s="55"/>
      <c r="AA415" s="56"/>
      <c r="AB415" s="56"/>
      <c r="AC415" s="56"/>
      <c r="AD415" s="57"/>
      <c r="AE415" s="10"/>
    </row>
    <row r="416" spans="4:31" ht="24.75" customHeight="1">
      <c r="D416" s="111" t="s">
        <v>120</v>
      </c>
      <c r="E416" s="111"/>
      <c r="F416" s="111"/>
      <c r="G416" s="111" t="s">
        <v>219</v>
      </c>
      <c r="H416" s="111"/>
      <c r="I416" s="111"/>
      <c r="J416" s="111"/>
      <c r="K416" s="111"/>
      <c r="L416" s="91">
        <f t="shared" si="4"/>
        <v>326.27692678</v>
      </c>
      <c r="M416" s="91"/>
      <c r="N416" s="91"/>
      <c r="O416" s="58" t="s">
        <v>35</v>
      </c>
      <c r="P416" s="58"/>
      <c r="Q416" s="10" t="s">
        <v>34</v>
      </c>
      <c r="R416" s="55">
        <f>ROUND(G412*(S411-L416)/S411,3)</f>
        <v>113.274</v>
      </c>
      <c r="S416" s="56"/>
      <c r="T416" s="56"/>
      <c r="U416" s="56"/>
      <c r="V416" s="57"/>
      <c r="W416" s="10" t="s">
        <v>218</v>
      </c>
      <c r="X416" s="10"/>
      <c r="Y416" s="10"/>
      <c r="Z416" s="55"/>
      <c r="AA416" s="56"/>
      <c r="AB416" s="56"/>
      <c r="AC416" s="56"/>
      <c r="AD416" s="57"/>
      <c r="AE416" s="10"/>
    </row>
    <row r="417" spans="4:31" ht="24.75" customHeight="1">
      <c r="D417" s="111" t="s">
        <v>121</v>
      </c>
      <c r="E417" s="111"/>
      <c r="F417" s="111"/>
      <c r="G417" s="111" t="s">
        <v>219</v>
      </c>
      <c r="H417" s="111"/>
      <c r="I417" s="111"/>
      <c r="J417" s="111"/>
      <c r="K417" s="111"/>
      <c r="L417" s="91">
        <f t="shared" si="4"/>
        <v>426.27692678</v>
      </c>
      <c r="M417" s="91"/>
      <c r="N417" s="91"/>
      <c r="O417" s="58" t="s">
        <v>35</v>
      </c>
      <c r="P417" s="58"/>
      <c r="Q417" s="10" t="s">
        <v>34</v>
      </c>
      <c r="R417" s="55">
        <f>ROUND(G412*(S411-L417)/S411,3)</f>
        <v>99.719</v>
      </c>
      <c r="S417" s="56"/>
      <c r="T417" s="56"/>
      <c r="U417" s="56"/>
      <c r="V417" s="57"/>
      <c r="W417" s="10" t="s">
        <v>218</v>
      </c>
      <c r="X417" s="10"/>
      <c r="Y417" s="10"/>
      <c r="Z417" s="55"/>
      <c r="AA417" s="56"/>
      <c r="AB417" s="56"/>
      <c r="AC417" s="56"/>
      <c r="AD417" s="57"/>
      <c r="AE417" s="10"/>
    </row>
    <row r="418" spans="4:31" ht="24.75" customHeight="1">
      <c r="D418" s="111" t="s">
        <v>122</v>
      </c>
      <c r="E418" s="111"/>
      <c r="F418" s="111"/>
      <c r="G418" s="111" t="s">
        <v>219</v>
      </c>
      <c r="H418" s="111"/>
      <c r="I418" s="111"/>
      <c r="J418" s="111"/>
      <c r="K418" s="111"/>
      <c r="L418" s="91">
        <f t="shared" si="4"/>
        <v>526.27692678</v>
      </c>
      <c r="M418" s="91"/>
      <c r="N418" s="91"/>
      <c r="O418" s="58" t="s">
        <v>35</v>
      </c>
      <c r="P418" s="58"/>
      <c r="Q418" s="10" t="s">
        <v>34</v>
      </c>
      <c r="R418" s="55">
        <f>ROUND(G412*(S411-L418)/S411,3)</f>
        <v>86.164</v>
      </c>
      <c r="S418" s="56"/>
      <c r="T418" s="56"/>
      <c r="U418" s="56"/>
      <c r="V418" s="57"/>
      <c r="W418" s="10" t="s">
        <v>218</v>
      </c>
      <c r="X418" s="10"/>
      <c r="Y418" s="10"/>
      <c r="Z418" s="55"/>
      <c r="AA418" s="56"/>
      <c r="AB418" s="56"/>
      <c r="AC418" s="56"/>
      <c r="AD418" s="57"/>
      <c r="AE418" s="10"/>
    </row>
    <row r="419" spans="4:25" ht="24.75" customHeight="1">
      <c r="D419" s="47"/>
      <c r="E419" s="47"/>
      <c r="F419" s="47"/>
      <c r="G419" s="47"/>
      <c r="H419" s="47"/>
      <c r="I419" s="47"/>
      <c r="J419" s="47"/>
      <c r="K419" s="47"/>
      <c r="L419" s="56"/>
      <c r="M419" s="56"/>
      <c r="N419" s="47"/>
      <c r="O419" s="47"/>
      <c r="P419" s="47"/>
      <c r="Q419" s="10"/>
      <c r="R419" s="55"/>
      <c r="S419" s="56"/>
      <c r="T419" s="56"/>
      <c r="U419" s="56"/>
      <c r="V419" s="57"/>
      <c r="W419" s="10"/>
      <c r="X419" s="10"/>
      <c r="Y419" s="10"/>
    </row>
    <row r="420" spans="4:36" ht="24.75" customHeight="1">
      <c r="D420" s="110" t="s">
        <v>173</v>
      </c>
      <c r="E420" s="110"/>
      <c r="F420" s="110"/>
      <c r="G420" s="110"/>
      <c r="H420" s="59" t="s">
        <v>87</v>
      </c>
      <c r="I420" s="107">
        <f>G412</f>
        <v>157.5</v>
      </c>
      <c r="J420" s="107"/>
      <c r="K420" s="107"/>
      <c r="L420" s="107"/>
      <c r="M420" s="14" t="s">
        <v>48</v>
      </c>
      <c r="N420" s="107">
        <f aca="true" t="shared" si="5" ref="N420:N425">R413</f>
        <v>153.938</v>
      </c>
      <c r="O420" s="107"/>
      <c r="P420" s="107"/>
      <c r="Q420" s="107"/>
      <c r="R420" s="55" t="s">
        <v>136</v>
      </c>
      <c r="S420" s="56"/>
      <c r="T420" s="56"/>
      <c r="U420" s="56"/>
      <c r="V420" s="108">
        <f>L413</f>
        <v>26.27692678</v>
      </c>
      <c r="W420" s="108"/>
      <c r="X420" s="108"/>
      <c r="Y420" s="14" t="s">
        <v>137</v>
      </c>
      <c r="Z420" s="108">
        <f>AM381</f>
        <v>12</v>
      </c>
      <c r="AA420" s="108"/>
      <c r="AB420" s="108"/>
      <c r="AC420" s="5" t="s">
        <v>89</v>
      </c>
      <c r="AD420" s="109">
        <f>(I420+N420)/2*V420*Z420</f>
        <v>49101.80113505784</v>
      </c>
      <c r="AE420" s="109"/>
      <c r="AF420" s="109"/>
      <c r="AG420" s="109"/>
      <c r="AH420" s="109"/>
      <c r="AI420" s="5" t="s">
        <v>113</v>
      </c>
      <c r="AJ420" s="5" t="s">
        <v>20</v>
      </c>
    </row>
    <row r="421" spans="4:46" ht="24.75" customHeight="1">
      <c r="D421" s="92" t="s">
        <v>228</v>
      </c>
      <c r="E421" s="92"/>
      <c r="F421" s="92"/>
      <c r="G421" s="92"/>
      <c r="H421" s="14" t="s">
        <v>87</v>
      </c>
      <c r="I421" s="107">
        <f>R413</f>
        <v>153.938</v>
      </c>
      <c r="J421" s="107"/>
      <c r="K421" s="107"/>
      <c r="L421" s="107"/>
      <c r="M421" s="14" t="s">
        <v>48</v>
      </c>
      <c r="N421" s="107">
        <f t="shared" si="5"/>
        <v>140.383</v>
      </c>
      <c r="O421" s="107"/>
      <c r="P421" s="107"/>
      <c r="Q421" s="107"/>
      <c r="R421" s="68" t="s">
        <v>171</v>
      </c>
      <c r="S421" s="14"/>
      <c r="T421" s="8">
        <v>2</v>
      </c>
      <c r="U421" s="62" t="s">
        <v>137</v>
      </c>
      <c r="V421" s="63">
        <f>L414-L413</f>
        <v>100</v>
      </c>
      <c r="W421" s="63"/>
      <c r="X421" s="63"/>
      <c r="Y421" s="64" t="s">
        <v>137</v>
      </c>
      <c r="Z421" s="24">
        <f>Z420</f>
        <v>12</v>
      </c>
      <c r="AA421" s="25"/>
      <c r="AB421" s="24"/>
      <c r="AC421" s="65" t="s">
        <v>47</v>
      </c>
      <c r="AD421" s="66">
        <v>2</v>
      </c>
      <c r="AE421" s="66"/>
      <c r="AF421" s="66"/>
      <c r="AG421" s="8" t="s">
        <v>34</v>
      </c>
      <c r="AH421" s="63">
        <f>ROUND(+(I421+N421)/T421*V421*Z421/AD421,1)</f>
        <v>88296.3</v>
      </c>
      <c r="AI421" s="63"/>
      <c r="AJ421" s="63"/>
      <c r="AK421" s="63"/>
      <c r="AL421" s="92" t="str">
        <f>IF(AH421&gt;+V371,"N/本  ＞  ρa   N.G.","N/本  ＜  ρa   O.K.")</f>
        <v>N/本  ＜  ρa   O.K.</v>
      </c>
      <c r="AM421" s="92"/>
      <c r="AN421" s="92"/>
      <c r="AO421" s="92"/>
      <c r="AP421" s="92"/>
      <c r="AQ421" s="92"/>
      <c r="AR421" s="92"/>
      <c r="AS421" s="92"/>
      <c r="AT421" s="92"/>
    </row>
    <row r="422" spans="4:46" ht="24.75" customHeight="1">
      <c r="D422" s="92" t="s">
        <v>250</v>
      </c>
      <c r="E422" s="92"/>
      <c r="F422" s="92"/>
      <c r="G422" s="92"/>
      <c r="H422" s="14" t="s">
        <v>87</v>
      </c>
      <c r="I422" s="107">
        <f>N421</f>
        <v>140.383</v>
      </c>
      <c r="J422" s="107"/>
      <c r="K422" s="107"/>
      <c r="L422" s="107"/>
      <c r="M422" s="14" t="s">
        <v>48</v>
      </c>
      <c r="N422" s="107">
        <f t="shared" si="5"/>
        <v>126.828</v>
      </c>
      <c r="O422" s="107"/>
      <c r="P422" s="107"/>
      <c r="Q422" s="107"/>
      <c r="R422" s="68" t="s">
        <v>171</v>
      </c>
      <c r="S422" s="14"/>
      <c r="T422" s="8">
        <v>2</v>
      </c>
      <c r="U422" s="62" t="s">
        <v>137</v>
      </c>
      <c r="V422" s="63">
        <f>(L415-L414)</f>
        <v>100</v>
      </c>
      <c r="W422" s="67"/>
      <c r="X422" s="24"/>
      <c r="Y422" s="64" t="s">
        <v>137</v>
      </c>
      <c r="Z422" s="24">
        <f>Z420</f>
        <v>12</v>
      </c>
      <c r="AA422" s="24"/>
      <c r="AB422" s="24"/>
      <c r="AC422" s="65" t="s">
        <v>47</v>
      </c>
      <c r="AD422" s="66">
        <v>2</v>
      </c>
      <c r="AE422" s="66"/>
      <c r="AF422" s="66"/>
      <c r="AG422" s="8" t="s">
        <v>34</v>
      </c>
      <c r="AH422" s="63">
        <f>ROUND(+(I422+N422)/T422*V422*Z422/AD422,1)</f>
        <v>80163.3</v>
      </c>
      <c r="AI422" s="63"/>
      <c r="AJ422" s="63"/>
      <c r="AK422" s="63"/>
      <c r="AL422" s="92" t="str">
        <f>IF(AH422&gt;+V371,"N/本  ＞  ρa   N.G.","N/本  ＜  ρa   O.K.")</f>
        <v>N/本  ＜  ρa   O.K.</v>
      </c>
      <c r="AM422" s="92"/>
      <c r="AN422" s="92"/>
      <c r="AO422" s="92"/>
      <c r="AP422" s="92"/>
      <c r="AQ422" s="92"/>
      <c r="AR422" s="92"/>
      <c r="AS422" s="92"/>
      <c r="AT422" s="92"/>
    </row>
    <row r="423" spans="4:46" ht="24.75" customHeight="1">
      <c r="D423" s="92" t="s">
        <v>251</v>
      </c>
      <c r="E423" s="92"/>
      <c r="F423" s="92"/>
      <c r="G423" s="92"/>
      <c r="H423" s="14" t="s">
        <v>87</v>
      </c>
      <c r="I423" s="107">
        <f>N422</f>
        <v>126.828</v>
      </c>
      <c r="J423" s="107"/>
      <c r="K423" s="107"/>
      <c r="L423" s="107"/>
      <c r="M423" s="14" t="s">
        <v>48</v>
      </c>
      <c r="N423" s="107">
        <f t="shared" si="5"/>
        <v>113.274</v>
      </c>
      <c r="O423" s="107"/>
      <c r="P423" s="107"/>
      <c r="Q423" s="107"/>
      <c r="R423" s="68" t="s">
        <v>171</v>
      </c>
      <c r="S423" s="14"/>
      <c r="T423" s="8">
        <v>2</v>
      </c>
      <c r="U423" s="62" t="s">
        <v>137</v>
      </c>
      <c r="V423" s="63">
        <f>(L416-L415)</f>
        <v>100</v>
      </c>
      <c r="W423" s="67"/>
      <c r="X423" s="24"/>
      <c r="Y423" s="64" t="s">
        <v>137</v>
      </c>
      <c r="Z423" s="24">
        <f>Z420</f>
        <v>12</v>
      </c>
      <c r="AA423" s="24"/>
      <c r="AB423" s="24"/>
      <c r="AC423" s="65" t="s">
        <v>47</v>
      </c>
      <c r="AD423" s="66">
        <v>2</v>
      </c>
      <c r="AE423" s="66"/>
      <c r="AF423" s="66"/>
      <c r="AG423" s="8" t="s">
        <v>34</v>
      </c>
      <c r="AH423" s="63">
        <f>ROUND(+(I423+N423)/T423*V423*Z423/AD423,1)</f>
        <v>72030.6</v>
      </c>
      <c r="AI423" s="63"/>
      <c r="AJ423" s="63"/>
      <c r="AK423" s="63"/>
      <c r="AL423" s="92" t="str">
        <f>IF(AH423&gt;+V371,"N/本  ＞  ρa   N.G.","N/本  ＜  ρa   O.K.")</f>
        <v>N/本  ＜  ρa   O.K.</v>
      </c>
      <c r="AM423" s="92"/>
      <c r="AN423" s="92"/>
      <c r="AO423" s="92"/>
      <c r="AP423" s="92"/>
      <c r="AQ423" s="92"/>
      <c r="AR423" s="92"/>
      <c r="AS423" s="92"/>
      <c r="AT423" s="92"/>
    </row>
    <row r="424" spans="4:46" ht="24.75" customHeight="1">
      <c r="D424" s="92" t="s">
        <v>252</v>
      </c>
      <c r="E424" s="92"/>
      <c r="F424" s="92"/>
      <c r="G424" s="92"/>
      <c r="H424" s="14" t="s">
        <v>87</v>
      </c>
      <c r="I424" s="107">
        <f>N423</f>
        <v>113.274</v>
      </c>
      <c r="J424" s="107"/>
      <c r="K424" s="107"/>
      <c r="L424" s="107"/>
      <c r="M424" s="14" t="s">
        <v>48</v>
      </c>
      <c r="N424" s="107">
        <f t="shared" si="5"/>
        <v>99.719</v>
      </c>
      <c r="O424" s="107"/>
      <c r="P424" s="107"/>
      <c r="Q424" s="107"/>
      <c r="R424" s="68" t="s">
        <v>171</v>
      </c>
      <c r="S424" s="14"/>
      <c r="T424" s="8">
        <v>2</v>
      </c>
      <c r="U424" s="62" t="s">
        <v>137</v>
      </c>
      <c r="V424" s="63">
        <f>(L417-L416)</f>
        <v>100</v>
      </c>
      <c r="W424" s="67"/>
      <c r="X424" s="24"/>
      <c r="Y424" s="64" t="s">
        <v>137</v>
      </c>
      <c r="Z424" s="24">
        <f>Z420</f>
        <v>12</v>
      </c>
      <c r="AA424" s="24"/>
      <c r="AB424" s="24"/>
      <c r="AC424" s="65" t="s">
        <v>47</v>
      </c>
      <c r="AD424" s="66">
        <v>2</v>
      </c>
      <c r="AE424" s="66"/>
      <c r="AF424" s="66"/>
      <c r="AG424" s="8" t="s">
        <v>34</v>
      </c>
      <c r="AH424" s="63">
        <f>ROUND(+(I424+N424)/T424*V424*Z424/AD424,1)</f>
        <v>63897.9</v>
      </c>
      <c r="AI424" s="63"/>
      <c r="AJ424" s="63"/>
      <c r="AK424" s="63"/>
      <c r="AL424" s="92" t="str">
        <f>IF(AH424&gt;+V371,"N/本  ＞  ρa   N.G.","N/本  ＜  ρa   O.K.")</f>
        <v>N/本  ＜  ρa   O.K.</v>
      </c>
      <c r="AM424" s="92"/>
      <c r="AN424" s="92"/>
      <c r="AO424" s="92"/>
      <c r="AP424" s="92"/>
      <c r="AQ424" s="92"/>
      <c r="AR424" s="92"/>
      <c r="AS424" s="92"/>
      <c r="AT424" s="92"/>
    </row>
    <row r="425" spans="4:46" ht="24.75" customHeight="1">
      <c r="D425" s="92" t="s">
        <v>253</v>
      </c>
      <c r="E425" s="92"/>
      <c r="F425" s="92"/>
      <c r="G425" s="92"/>
      <c r="H425" s="14" t="s">
        <v>87</v>
      </c>
      <c r="I425" s="107">
        <f>N424</f>
        <v>99.719</v>
      </c>
      <c r="J425" s="107"/>
      <c r="K425" s="107"/>
      <c r="L425" s="107"/>
      <c r="M425" s="14" t="s">
        <v>48</v>
      </c>
      <c r="N425" s="107">
        <f t="shared" si="5"/>
        <v>86.164</v>
      </c>
      <c r="O425" s="107"/>
      <c r="P425" s="107"/>
      <c r="Q425" s="107"/>
      <c r="R425" s="68" t="s">
        <v>171</v>
      </c>
      <c r="S425" s="14"/>
      <c r="T425" s="8">
        <v>2</v>
      </c>
      <c r="U425" s="62" t="s">
        <v>137</v>
      </c>
      <c r="V425" s="63">
        <f>(L418-L417)</f>
        <v>100.00000000000006</v>
      </c>
      <c r="W425" s="67"/>
      <c r="X425" s="24"/>
      <c r="Y425" s="64" t="s">
        <v>137</v>
      </c>
      <c r="Z425" s="24">
        <f>Z420</f>
        <v>12</v>
      </c>
      <c r="AA425" s="24"/>
      <c r="AB425" s="24"/>
      <c r="AC425" s="65" t="s">
        <v>47</v>
      </c>
      <c r="AD425" s="66">
        <v>2</v>
      </c>
      <c r="AE425" s="66"/>
      <c r="AF425" s="66"/>
      <c r="AG425" s="8" t="s">
        <v>34</v>
      </c>
      <c r="AH425" s="63">
        <f>ROUND(+(I425+N425)/T425*V425*Z425/AD425,1)</f>
        <v>55764.9</v>
      </c>
      <c r="AI425" s="63"/>
      <c r="AJ425" s="63"/>
      <c r="AK425" s="63"/>
      <c r="AL425" s="92" t="str">
        <f>IF(AH425&gt;+V371,"N/本  ＞  ρa   N.G.","N/本  ＜  ρa   O.K.")</f>
        <v>N/本  ＜  ρa   O.K.</v>
      </c>
      <c r="AM425" s="92"/>
      <c r="AN425" s="92"/>
      <c r="AO425" s="92"/>
      <c r="AP425" s="92"/>
      <c r="AQ425" s="92"/>
      <c r="AR425" s="92"/>
      <c r="AS425" s="92"/>
      <c r="AT425" s="92"/>
    </row>
    <row r="426" spans="4:25" ht="24.75" customHeight="1">
      <c r="D426" s="47"/>
      <c r="E426" s="47"/>
      <c r="F426" s="47"/>
      <c r="G426" s="47"/>
      <c r="H426" s="47"/>
      <c r="I426" s="47"/>
      <c r="J426" s="47"/>
      <c r="K426" s="47"/>
      <c r="L426" s="56"/>
      <c r="M426" s="56"/>
      <c r="N426" s="47"/>
      <c r="O426" s="47"/>
      <c r="P426" s="47"/>
      <c r="Q426" s="10"/>
      <c r="R426" s="55"/>
      <c r="S426" s="56"/>
      <c r="T426" s="56"/>
      <c r="U426" s="56"/>
      <c r="V426" s="57"/>
      <c r="W426" s="10"/>
      <c r="X426" s="10"/>
      <c r="Y426" s="10"/>
    </row>
    <row r="427" spans="3:47" ht="24.75" customHeight="1">
      <c r="C427" s="18" t="s">
        <v>9</v>
      </c>
      <c r="I427" s="23"/>
      <c r="AU427" s="23"/>
    </row>
    <row r="428" spans="4:47" ht="24.75" customHeight="1">
      <c r="D428" s="5" t="s">
        <v>26</v>
      </c>
      <c r="AU428" s="23"/>
    </row>
    <row r="429" spans="4:47" ht="24.75" customHeight="1">
      <c r="D429" s="5" t="s">
        <v>27</v>
      </c>
      <c r="AU429" s="23"/>
    </row>
    <row r="430" spans="5:47" ht="24.75" customHeight="1">
      <c r="E430" s="5" t="s">
        <v>125</v>
      </c>
      <c r="AU430" s="23"/>
    </row>
    <row r="431" ht="24.75" customHeight="1">
      <c r="D431" s="5" t="s">
        <v>7</v>
      </c>
    </row>
    <row r="432" spans="3:42" ht="24.75" customHeight="1">
      <c r="C432" s="106" t="s">
        <v>49</v>
      </c>
      <c r="D432" s="106"/>
      <c r="E432" s="106"/>
      <c r="G432" s="105">
        <f>ABS(O238)</f>
        <v>732.86092548</v>
      </c>
      <c r="H432" s="105"/>
      <c r="I432" s="105"/>
      <c r="J432" s="19" t="s">
        <v>41</v>
      </c>
      <c r="K432" s="132">
        <v>1000</v>
      </c>
      <c r="L432" s="132"/>
      <c r="M432" s="132"/>
      <c r="N432" s="92" t="s">
        <v>48</v>
      </c>
      <c r="O432" s="92"/>
      <c r="P432" s="105">
        <f>ABS(O239)</f>
        <v>564.09475276</v>
      </c>
      <c r="Q432" s="105"/>
      <c r="R432" s="105"/>
      <c r="S432" s="19" t="s">
        <v>41</v>
      </c>
      <c r="T432" s="97">
        <v>100000</v>
      </c>
      <c r="U432" s="97"/>
      <c r="V432" s="97"/>
      <c r="W432" s="97"/>
      <c r="Y432" s="106" t="s">
        <v>47</v>
      </c>
      <c r="Z432" s="106"/>
      <c r="AA432" s="122">
        <v>44</v>
      </c>
      <c r="AB432" s="122"/>
      <c r="AC432" s="122"/>
      <c r="AD432" s="92" t="s">
        <v>34</v>
      </c>
      <c r="AE432" s="92"/>
      <c r="AF432" s="102">
        <f>ROUND((G432*K432/J433+P432*T432/(R433*T433))/AA432,1)</f>
        <v>8612.9</v>
      </c>
      <c r="AG432" s="102"/>
      <c r="AH432" s="102"/>
      <c r="AI432" s="102"/>
      <c r="AJ432" s="103" t="str">
        <f>IF(AF432&gt;+M360,"N/本   ＞ ρa","N/本  ＜  ρa")</f>
        <v>N/本  ＜  ρa</v>
      </c>
      <c r="AK432" s="103"/>
      <c r="AL432" s="103"/>
      <c r="AM432" s="103"/>
      <c r="AN432" s="103"/>
      <c r="AO432" s="103"/>
      <c r="AP432" s="103"/>
    </row>
    <row r="433" spans="3:42" ht="24.75" customHeight="1">
      <c r="C433" s="106"/>
      <c r="D433" s="106"/>
      <c r="E433" s="106"/>
      <c r="J433" s="8">
        <v>2</v>
      </c>
      <c r="N433" s="92"/>
      <c r="O433" s="92"/>
      <c r="R433" s="8">
        <v>2</v>
      </c>
      <c r="S433" s="14" t="s">
        <v>41</v>
      </c>
      <c r="T433" s="24">
        <f>(AG237+AN237)/2*1000</f>
        <v>2250</v>
      </c>
      <c r="U433" s="25"/>
      <c r="V433" s="25"/>
      <c r="Y433" s="106"/>
      <c r="Z433" s="106"/>
      <c r="AA433" s="122"/>
      <c r="AB433" s="122"/>
      <c r="AC433" s="122"/>
      <c r="AD433" s="92"/>
      <c r="AE433" s="92"/>
      <c r="AF433" s="102"/>
      <c r="AG433" s="102"/>
      <c r="AH433" s="102"/>
      <c r="AI433" s="102"/>
      <c r="AJ433" s="103"/>
      <c r="AK433" s="103"/>
      <c r="AL433" s="103"/>
      <c r="AM433" s="103"/>
      <c r="AN433" s="103"/>
      <c r="AO433" s="103"/>
      <c r="AP433" s="103"/>
    </row>
    <row r="435" spans="3:9" ht="24.75" customHeight="1">
      <c r="C435" s="5" t="s">
        <v>10</v>
      </c>
      <c r="I435" s="23"/>
    </row>
    <row r="436" spans="4:31" ht="24.75" customHeight="1">
      <c r="D436" s="5" t="s">
        <v>50</v>
      </c>
      <c r="P436" s="104">
        <f>ROUND(MAX(AH404:AH408,AH421:AH425),1)</f>
        <v>88296.3</v>
      </c>
      <c r="Q436" s="104"/>
      <c r="R436" s="104"/>
      <c r="S436" s="104"/>
      <c r="T436" s="5" t="s">
        <v>48</v>
      </c>
      <c r="U436" s="104">
        <f>+AF432</f>
        <v>8612.9</v>
      </c>
      <c r="V436" s="104"/>
      <c r="W436" s="104"/>
      <c r="X436" s="104"/>
      <c r="Y436" s="5" t="s">
        <v>33</v>
      </c>
      <c r="AA436" s="100">
        <f>ROUND(SQRT(P436^2+U436^2),1)</f>
        <v>88715.4</v>
      </c>
      <c r="AB436" s="100"/>
      <c r="AC436" s="100"/>
      <c r="AD436" s="100"/>
      <c r="AE436" s="5" t="str">
        <f>IF(AA436&gt;$AA$10,"N/本  ＞  ρa ,  N.G","N/本  ＜  ρa ,  O.K")</f>
        <v>N/本  ＜  ρa ,  O.K</v>
      </c>
    </row>
    <row r="437" spans="3:9" ht="24.75" customHeight="1">
      <c r="C437" s="18" t="s">
        <v>245</v>
      </c>
      <c r="I437" s="23"/>
    </row>
    <row r="438" ht="24.75" customHeight="1">
      <c r="D438" s="5" t="s">
        <v>25</v>
      </c>
    </row>
    <row r="439" spans="4:30" ht="24.75" customHeight="1">
      <c r="D439" s="92" t="s">
        <v>214</v>
      </c>
      <c r="E439" s="92"/>
      <c r="F439" s="92"/>
      <c r="G439" s="132">
        <f>+AM381</f>
        <v>12</v>
      </c>
      <c r="H439" s="132"/>
      <c r="I439" s="132"/>
      <c r="J439" s="19" t="s">
        <v>41</v>
      </c>
      <c r="K439" s="176">
        <f>IF(AG239=0,M441&amp;"³",M441)</f>
        <v>2205.1077071199948</v>
      </c>
      <c r="L439" s="176"/>
      <c r="M439" s="176"/>
      <c r="N439" s="103" t="str">
        <f>IF(AG239=0,""," × ( "&amp;ROUND(M441,1)&amp;"²cos²"&amp;ROUND(AG239,2)&amp;" + "&amp;ROUND(I441,1)&amp;"²sin²"&amp;ROUND(AG239,2)&amp;" )")</f>
        <v> × ( 2205.1²cos²3.9 + 12²sin²3.9 )</v>
      </c>
      <c r="O439" s="103"/>
      <c r="P439" s="103"/>
      <c r="Q439" s="103"/>
      <c r="R439" s="103"/>
      <c r="S439" s="103"/>
      <c r="T439" s="103"/>
      <c r="U439" s="103"/>
      <c r="V439" s="103"/>
      <c r="W439" s="103"/>
      <c r="X439" s="103"/>
      <c r="Y439" s="103"/>
      <c r="Z439" s="103"/>
      <c r="AA439" s="103"/>
      <c r="AB439" s="103"/>
      <c r="AC439" s="103"/>
      <c r="AD439" s="103"/>
    </row>
    <row r="440" spans="4:30" ht="24.75" customHeight="1">
      <c r="D440" s="92"/>
      <c r="E440" s="92"/>
      <c r="F440" s="92"/>
      <c r="I440" s="92">
        <v>12</v>
      </c>
      <c r="J440" s="92"/>
      <c r="K440" s="92"/>
      <c r="N440" s="103"/>
      <c r="O440" s="103"/>
      <c r="P440" s="103"/>
      <c r="Q440" s="103"/>
      <c r="R440" s="103"/>
      <c r="S440" s="103"/>
      <c r="T440" s="103"/>
      <c r="U440" s="103"/>
      <c r="V440" s="103"/>
      <c r="W440" s="103"/>
      <c r="X440" s="103"/>
      <c r="Y440" s="103"/>
      <c r="Z440" s="103"/>
      <c r="AA440" s="103"/>
      <c r="AB440" s="103"/>
      <c r="AC440" s="103"/>
      <c r="AD440" s="103"/>
    </row>
    <row r="441" spans="4:42" ht="24.75" customHeight="1">
      <c r="D441" s="8"/>
      <c r="E441" s="8"/>
      <c r="F441" s="8"/>
      <c r="G441" s="92" t="s">
        <v>48</v>
      </c>
      <c r="H441" s="92"/>
      <c r="I441" s="124">
        <f>+G439</f>
        <v>12</v>
      </c>
      <c r="J441" s="124"/>
      <c r="K441" s="92" t="s">
        <v>36</v>
      </c>
      <c r="L441" s="92"/>
      <c r="M441" s="100">
        <f>AM380/COS(RADIANS(AG239))</f>
        <v>2205.1077071199948</v>
      </c>
      <c r="N441" s="100"/>
      <c r="O441" s="100"/>
      <c r="P441" s="100"/>
      <c r="Q441" s="92" t="s">
        <v>37</v>
      </c>
      <c r="R441" s="92"/>
      <c r="S441" s="80">
        <f>AM380/2</f>
        <v>1100</v>
      </c>
      <c r="T441" s="80"/>
      <c r="U441" s="80"/>
      <c r="V441" s="80"/>
      <c r="W441" s="92" t="s">
        <v>46</v>
      </c>
      <c r="X441" s="80">
        <f>ROUND(Q460,2)</f>
        <v>1195.39</v>
      </c>
      <c r="Y441" s="80"/>
      <c r="Z441" s="80"/>
      <c r="AA441" s="80"/>
      <c r="AB441" s="92" t="s">
        <v>38</v>
      </c>
      <c r="AC441" s="92"/>
      <c r="AD441" s="92"/>
      <c r="AE441" s="90">
        <f>I441*M441/12*((M441*COS(RADIANS(AG239)))^2+(I441*SIN(RADIANS(AG239)))^2)+I441*M441*(S441-X441)^2</f>
        <v>10913500742.993612</v>
      </c>
      <c r="AF441" s="90"/>
      <c r="AG441" s="90"/>
      <c r="AH441" s="90"/>
      <c r="AI441" s="90"/>
      <c r="AJ441" s="90"/>
      <c r="AK441" s="92" t="s">
        <v>224</v>
      </c>
      <c r="AL441" s="92"/>
      <c r="AM441" s="28"/>
      <c r="AN441" s="28"/>
      <c r="AO441" s="8"/>
      <c r="AP441" s="8"/>
    </row>
    <row r="442" spans="4:42" ht="24.75" customHeight="1">
      <c r="D442" s="8"/>
      <c r="E442" s="8"/>
      <c r="F442" s="8"/>
      <c r="G442" s="92"/>
      <c r="H442" s="92"/>
      <c r="I442" s="124"/>
      <c r="J442" s="124"/>
      <c r="K442" s="92"/>
      <c r="L442" s="92"/>
      <c r="M442" s="100"/>
      <c r="N442" s="100"/>
      <c r="O442" s="100"/>
      <c r="P442" s="100"/>
      <c r="Q442" s="92"/>
      <c r="R442" s="92"/>
      <c r="S442" s="80"/>
      <c r="T442" s="80"/>
      <c r="U442" s="80"/>
      <c r="V442" s="80"/>
      <c r="W442" s="92"/>
      <c r="X442" s="80"/>
      <c r="Y442" s="80"/>
      <c r="Z442" s="80"/>
      <c r="AA442" s="80"/>
      <c r="AB442" s="92"/>
      <c r="AC442" s="92"/>
      <c r="AD442" s="92"/>
      <c r="AE442" s="90"/>
      <c r="AF442" s="90"/>
      <c r="AG442" s="90"/>
      <c r="AH442" s="90"/>
      <c r="AI442" s="90"/>
      <c r="AJ442" s="90"/>
      <c r="AK442" s="92"/>
      <c r="AL442" s="92"/>
      <c r="AM442" s="28"/>
      <c r="AN442" s="28"/>
      <c r="AO442" s="8"/>
      <c r="AP442" s="8"/>
    </row>
    <row r="443" spans="4:42" ht="24.75" customHeight="1">
      <c r="D443" s="8"/>
      <c r="E443" s="8"/>
      <c r="F443" s="8"/>
      <c r="I443" s="8"/>
      <c r="J443" s="8"/>
      <c r="K443" s="8"/>
      <c r="N443" s="8"/>
      <c r="O443" s="8"/>
      <c r="P443" s="9"/>
      <c r="W443" s="8"/>
      <c r="AK443" s="7"/>
      <c r="AL443" s="7"/>
      <c r="AM443" s="7"/>
      <c r="AN443" s="7"/>
      <c r="AO443" s="8"/>
      <c r="AP443" s="8"/>
    </row>
    <row r="444" spans="4:23" ht="24.75" customHeight="1">
      <c r="D444" s="5" t="s">
        <v>28</v>
      </c>
      <c r="W444" s="8"/>
    </row>
    <row r="445" spans="4:33" ht="24.75" customHeight="1">
      <c r="D445" s="92" t="s">
        <v>215</v>
      </c>
      <c r="E445" s="92"/>
      <c r="F445" s="92"/>
      <c r="G445" s="92"/>
      <c r="H445" s="97" t="s">
        <v>209</v>
      </c>
      <c r="I445" s="97"/>
      <c r="J445" s="97"/>
      <c r="K445" s="92" t="s">
        <v>34</v>
      </c>
      <c r="L445" s="92"/>
      <c r="M445" s="100">
        <f>AA447</f>
        <v>4971.32124776</v>
      </c>
      <c r="N445" s="100"/>
      <c r="O445" s="100"/>
      <c r="P445" s="100"/>
      <c r="Q445" s="92" t="s">
        <v>41</v>
      </c>
      <c r="R445" s="92"/>
      <c r="S445" s="101">
        <f>+AE441</f>
        <v>10913500742.993612</v>
      </c>
      <c r="T445" s="101"/>
      <c r="U445" s="101"/>
      <c r="V445" s="101"/>
      <c r="W445" s="101"/>
      <c r="X445" s="101"/>
      <c r="Y445" s="92" t="s">
        <v>34</v>
      </c>
      <c r="Z445" s="92"/>
      <c r="AA445" s="89">
        <f>+M445*S445/S446</f>
        <v>425.44888475873915</v>
      </c>
      <c r="AB445" s="89"/>
      <c r="AC445" s="89"/>
      <c r="AD445" s="89"/>
      <c r="AE445" s="92" t="s">
        <v>103</v>
      </c>
      <c r="AF445" s="92"/>
      <c r="AG445" s="18"/>
    </row>
    <row r="446" spans="4:33" ht="24.75" customHeight="1">
      <c r="D446" s="92"/>
      <c r="E446" s="92"/>
      <c r="F446" s="92"/>
      <c r="G446" s="92"/>
      <c r="H446" s="92" t="s">
        <v>51</v>
      </c>
      <c r="I446" s="92"/>
      <c r="J446" s="92"/>
      <c r="K446" s="92"/>
      <c r="L446" s="92"/>
      <c r="M446" s="100"/>
      <c r="N446" s="100"/>
      <c r="O446" s="100"/>
      <c r="P446" s="100"/>
      <c r="Q446" s="92"/>
      <c r="R446" s="92"/>
      <c r="S446" s="99">
        <f>+U448</f>
        <v>127523000000</v>
      </c>
      <c r="T446" s="99"/>
      <c r="U446" s="99"/>
      <c r="V446" s="99"/>
      <c r="W446" s="99"/>
      <c r="X446" s="99"/>
      <c r="Y446" s="92"/>
      <c r="Z446" s="92"/>
      <c r="AA446" s="89"/>
      <c r="AB446" s="89"/>
      <c r="AC446" s="89"/>
      <c r="AD446" s="89"/>
      <c r="AE446" s="92"/>
      <c r="AF446" s="92"/>
      <c r="AG446" s="18"/>
    </row>
    <row r="447" spans="4:31" ht="24.75" customHeight="1">
      <c r="D447" s="5" t="s">
        <v>216</v>
      </c>
      <c r="I447" s="23"/>
      <c r="AA447" s="89">
        <f>ABS(O237)</f>
        <v>4971.32124776</v>
      </c>
      <c r="AB447" s="89"/>
      <c r="AC447" s="89"/>
      <c r="AD447" s="89"/>
      <c r="AE447" s="5" t="s">
        <v>111</v>
      </c>
    </row>
    <row r="448" spans="4:31" ht="24.75" customHeight="1">
      <c r="D448" s="5" t="s">
        <v>52</v>
      </c>
      <c r="G448" s="5" t="s">
        <v>29</v>
      </c>
      <c r="I448" s="23"/>
      <c r="S448" s="5" t="s">
        <v>53</v>
      </c>
      <c r="U448" s="99">
        <v>127523000000</v>
      </c>
      <c r="V448" s="99"/>
      <c r="W448" s="99"/>
      <c r="X448" s="99"/>
      <c r="Y448" s="99"/>
      <c r="Z448" s="99"/>
      <c r="AA448" s="5" t="s">
        <v>224</v>
      </c>
      <c r="AB448" s="8"/>
      <c r="AC448" s="8"/>
      <c r="AD448" s="41"/>
      <c r="AE448" s="41"/>
    </row>
    <row r="449" spans="9:35" ht="24.75" customHeight="1">
      <c r="I449" s="23"/>
      <c r="T449" s="22"/>
      <c r="U449" s="22"/>
      <c r="V449" s="22"/>
      <c r="W449" s="22"/>
      <c r="X449" s="22"/>
      <c r="AA449" s="69"/>
      <c r="AB449" s="8"/>
      <c r="AC449" s="8"/>
      <c r="AD449" s="41"/>
      <c r="AE449" s="41"/>
      <c r="AF449" s="41"/>
      <c r="AG449" s="41"/>
      <c r="AH449" s="8"/>
      <c r="AI449" s="8"/>
    </row>
    <row r="450" spans="4:35" ht="24.75" customHeight="1">
      <c r="D450" s="97" t="s">
        <v>246</v>
      </c>
      <c r="E450" s="97"/>
      <c r="F450" s="97"/>
      <c r="G450" s="97"/>
      <c r="H450" s="97"/>
      <c r="I450" s="97"/>
      <c r="J450" s="97"/>
      <c r="K450" s="97"/>
      <c r="L450" s="97"/>
      <c r="M450" s="97"/>
      <c r="N450" s="41"/>
      <c r="O450" s="41"/>
      <c r="P450" s="41"/>
      <c r="Q450" s="8"/>
      <c r="R450" s="8"/>
      <c r="S450" s="22"/>
      <c r="T450" s="22"/>
      <c r="U450" s="22"/>
      <c r="V450" s="22"/>
      <c r="W450" s="22"/>
      <c r="X450" s="8"/>
      <c r="Y450" s="8"/>
      <c r="Z450" s="69"/>
      <c r="AA450" s="69"/>
      <c r="AB450" s="8"/>
      <c r="AC450" s="8"/>
      <c r="AD450" s="41"/>
      <c r="AE450" s="41"/>
      <c r="AF450" s="41"/>
      <c r="AG450" s="41"/>
      <c r="AH450" s="8"/>
      <c r="AI450" s="8"/>
    </row>
    <row r="451" spans="4:42" ht="24.75" customHeight="1" thickBot="1">
      <c r="D451" s="77"/>
      <c r="E451" s="75"/>
      <c r="F451" s="75"/>
      <c r="G451" s="75"/>
      <c r="H451" s="75"/>
      <c r="I451" s="75"/>
      <c r="J451" s="75"/>
      <c r="K451" s="75"/>
      <c r="L451" s="75"/>
      <c r="M451" s="74" t="s">
        <v>230</v>
      </c>
      <c r="N451" s="74"/>
      <c r="O451" s="74"/>
      <c r="P451" s="74"/>
      <c r="Q451" s="74"/>
      <c r="R451" s="74"/>
      <c r="S451" s="73" t="s">
        <v>104</v>
      </c>
      <c r="T451" s="73"/>
      <c r="U451" s="73"/>
      <c r="V451" s="73"/>
      <c r="W451" s="73"/>
      <c r="X451" s="73"/>
      <c r="Y451" s="74" t="s">
        <v>231</v>
      </c>
      <c r="Z451" s="74"/>
      <c r="AA451" s="74"/>
      <c r="AB451" s="74"/>
      <c r="AC451" s="74"/>
      <c r="AD451" s="74"/>
      <c r="AE451" s="74" t="s">
        <v>232</v>
      </c>
      <c r="AF451" s="74"/>
      <c r="AG451" s="74"/>
      <c r="AH451" s="74"/>
      <c r="AI451" s="74"/>
      <c r="AJ451" s="74"/>
      <c r="AK451" s="75" t="s">
        <v>233</v>
      </c>
      <c r="AL451" s="75"/>
      <c r="AM451" s="75"/>
      <c r="AN451" s="75"/>
      <c r="AO451" s="75"/>
      <c r="AP451" s="76"/>
    </row>
    <row r="452" spans="4:42" ht="24.75" customHeight="1" thickBot="1" thickTop="1">
      <c r="D452" s="177">
        <v>2</v>
      </c>
      <c r="E452" s="178"/>
      <c r="F452" s="178"/>
      <c r="G452" s="179">
        <v>2180</v>
      </c>
      <c r="H452" s="179"/>
      <c r="I452" s="179"/>
      <c r="J452" s="179"/>
      <c r="K452" s="180">
        <v>9</v>
      </c>
      <c r="L452" s="181"/>
      <c r="M452" s="73">
        <f>+G452*K452*D452</f>
        <v>39240</v>
      </c>
      <c r="N452" s="73"/>
      <c r="O452" s="73"/>
      <c r="P452" s="73"/>
      <c r="Q452" s="73"/>
      <c r="R452" s="73"/>
      <c r="S452" s="78" t="s">
        <v>55</v>
      </c>
      <c r="T452" s="78"/>
      <c r="U452" s="78"/>
      <c r="V452" s="78"/>
      <c r="W452" s="78"/>
      <c r="X452" s="78"/>
      <c r="Y452" s="79" t="s">
        <v>55</v>
      </c>
      <c r="Z452" s="79"/>
      <c r="AA452" s="79"/>
      <c r="AB452" s="79"/>
      <c r="AC452" s="79"/>
      <c r="AD452" s="79"/>
      <c r="AE452" s="79" t="s">
        <v>55</v>
      </c>
      <c r="AF452" s="79"/>
      <c r="AG452" s="79"/>
      <c r="AH452" s="79"/>
      <c r="AI452" s="79"/>
      <c r="AJ452" s="79"/>
      <c r="AK452" s="182">
        <f>K452*G452/12*((G452*COS(RADIANS(AG239)))^2+(K452*SIN(RADIANS(AG239)))^2)*D452</f>
        <v>15468440160.32391</v>
      </c>
      <c r="AL452" s="182"/>
      <c r="AM452" s="182"/>
      <c r="AN452" s="182"/>
      <c r="AO452" s="182"/>
      <c r="AP452" s="183"/>
    </row>
    <row r="453" spans="4:42" ht="24.75" customHeight="1" thickTop="1">
      <c r="D453" s="86" t="s">
        <v>56</v>
      </c>
      <c r="E453" s="97"/>
      <c r="F453" s="97"/>
      <c r="G453" s="97"/>
      <c r="H453" s="97"/>
      <c r="I453" s="97"/>
      <c r="J453" s="97"/>
      <c r="K453" s="97"/>
      <c r="L453" s="97"/>
      <c r="M453" s="87">
        <f>SUM(M452:R452)</f>
        <v>39240</v>
      </c>
      <c r="N453" s="87"/>
      <c r="O453" s="87"/>
      <c r="P453" s="87"/>
      <c r="Q453" s="87"/>
      <c r="R453" s="87"/>
      <c r="S453" s="88"/>
      <c r="T453" s="88"/>
      <c r="U453" s="88"/>
      <c r="V453" s="88"/>
      <c r="W453" s="88"/>
      <c r="X453" s="88"/>
      <c r="Y453" s="81"/>
      <c r="Z453" s="81"/>
      <c r="AA453" s="81"/>
      <c r="AB453" s="81"/>
      <c r="AC453" s="81"/>
      <c r="AD453" s="81"/>
      <c r="AE453" s="81">
        <f>SUM(AE452:AJ452)</f>
        <v>0</v>
      </c>
      <c r="AF453" s="81"/>
      <c r="AG453" s="81"/>
      <c r="AH453" s="81"/>
      <c r="AI453" s="81"/>
      <c r="AJ453" s="81"/>
      <c r="AK453" s="82">
        <f>SUM(AK452:AP452)</f>
        <v>15468440160.32391</v>
      </c>
      <c r="AL453" s="82"/>
      <c r="AM453" s="82"/>
      <c r="AN453" s="82"/>
      <c r="AO453" s="82"/>
      <c r="AP453" s="83"/>
    </row>
    <row r="454" spans="4:31" ht="24.75" customHeight="1">
      <c r="D454" s="5" t="s">
        <v>39</v>
      </c>
      <c r="K454" s="84">
        <f>+AK453</f>
        <v>15468440160.32391</v>
      </c>
      <c r="L454" s="84"/>
      <c r="M454" s="84"/>
      <c r="N454" s="84"/>
      <c r="O454" s="84"/>
      <c r="P454" s="84"/>
      <c r="Q454" s="5" t="s">
        <v>48</v>
      </c>
      <c r="R454" s="85">
        <f>+AE453</f>
        <v>0</v>
      </c>
      <c r="S454" s="85"/>
      <c r="T454" s="85"/>
      <c r="U454" s="85"/>
      <c r="V454" s="85"/>
      <c r="W454" s="85"/>
      <c r="X454" s="5" t="s">
        <v>89</v>
      </c>
      <c r="Y454" s="84">
        <f>+K454+R454</f>
        <v>15468440160.32391</v>
      </c>
      <c r="Z454" s="84"/>
      <c r="AA454" s="84"/>
      <c r="AB454" s="84"/>
      <c r="AC454" s="84"/>
      <c r="AD454" s="84"/>
      <c r="AE454" s="5" t="s">
        <v>224</v>
      </c>
    </row>
    <row r="455" spans="4:37" ht="24.75" customHeight="1">
      <c r="D455" s="5" t="s">
        <v>57</v>
      </c>
      <c r="G455" s="90">
        <f>+Y454</f>
        <v>15468440160.32391</v>
      </c>
      <c r="H455" s="90"/>
      <c r="I455" s="90"/>
      <c r="J455" s="90"/>
      <c r="K455" s="90"/>
      <c r="L455" s="90"/>
      <c r="M455" s="5" t="s">
        <v>48</v>
      </c>
      <c r="N455" s="80">
        <f>+M453</f>
        <v>39240</v>
      </c>
      <c r="O455" s="80"/>
      <c r="P455" s="80"/>
      <c r="Q455" s="80"/>
      <c r="R455" s="5" t="s">
        <v>37</v>
      </c>
      <c r="T455" s="80">
        <f>AM380/2</f>
        <v>1100</v>
      </c>
      <c r="U455" s="80"/>
      <c r="V455" s="80"/>
      <c r="W455" s="80"/>
      <c r="X455" s="5" t="s">
        <v>46</v>
      </c>
      <c r="Y455" s="80">
        <f>ROUND(Q460,2)</f>
        <v>1195.39</v>
      </c>
      <c r="Z455" s="80"/>
      <c r="AA455" s="80"/>
      <c r="AB455" s="80"/>
      <c r="AC455" s="5" t="s">
        <v>38</v>
      </c>
      <c r="AE455" s="99">
        <f>+G455+N455*(T455-Y455)^2</f>
        <v>15825494812.727911</v>
      </c>
      <c r="AF455" s="99"/>
      <c r="AG455" s="99"/>
      <c r="AH455" s="99"/>
      <c r="AI455" s="99"/>
      <c r="AJ455" s="99"/>
      <c r="AK455" s="5" t="s">
        <v>224</v>
      </c>
    </row>
    <row r="456" spans="4:34" ht="24.75" customHeight="1">
      <c r="D456" s="5" t="s">
        <v>58</v>
      </c>
      <c r="G456" s="5" t="s">
        <v>234</v>
      </c>
      <c r="AD456" s="6"/>
      <c r="AE456" s="6"/>
      <c r="AF456" s="6"/>
      <c r="AG456" s="6"/>
      <c r="AH456" s="6"/>
    </row>
    <row r="457" spans="7:34" ht="24.75" customHeight="1">
      <c r="G457" s="22"/>
      <c r="H457" s="22"/>
      <c r="I457" s="22"/>
      <c r="J457" s="22"/>
      <c r="K457" s="22"/>
      <c r="M457" s="41"/>
      <c r="N457" s="41"/>
      <c r="O457" s="41"/>
      <c r="P457" s="41"/>
      <c r="S457" s="41"/>
      <c r="T457" s="41"/>
      <c r="U457" s="41"/>
      <c r="V457" s="41"/>
      <c r="X457" s="41"/>
      <c r="Y457" s="41"/>
      <c r="Z457" s="41"/>
      <c r="AA457" s="41"/>
      <c r="AD457" s="6"/>
      <c r="AE457" s="6"/>
      <c r="AF457" s="6"/>
      <c r="AG457" s="6"/>
      <c r="AH457" s="6"/>
    </row>
    <row r="458" spans="4:29" ht="24.75" customHeight="1">
      <c r="D458" s="5" t="s">
        <v>235</v>
      </c>
      <c r="I458" s="8"/>
      <c r="J458" s="8"/>
      <c r="K458" s="8"/>
      <c r="L458" s="8"/>
      <c r="M458" s="41"/>
      <c r="N458" s="41"/>
      <c r="O458" s="41"/>
      <c r="P458" s="41"/>
      <c r="Q458" s="8"/>
      <c r="R458" s="8"/>
      <c r="S458" s="22"/>
      <c r="T458" s="22"/>
      <c r="U458" s="22"/>
      <c r="V458" s="22"/>
      <c r="W458" s="22"/>
      <c r="X458" s="8"/>
      <c r="Y458" s="8"/>
      <c r="Z458" s="69"/>
      <c r="AA458" s="69"/>
      <c r="AB458" s="8"/>
      <c r="AC458" s="8"/>
    </row>
    <row r="459" spans="4:9" ht="24.75" customHeight="1">
      <c r="D459" s="5" t="s">
        <v>236</v>
      </c>
      <c r="I459" s="23"/>
    </row>
    <row r="460" spans="5:21" ht="24.75" customHeight="1">
      <c r="E460" s="5" t="s">
        <v>59</v>
      </c>
      <c r="H460" s="150">
        <v>-1034.610439887</v>
      </c>
      <c r="I460" s="150"/>
      <c r="J460" s="150"/>
      <c r="K460" s="150"/>
      <c r="L460" s="70" t="s">
        <v>102</v>
      </c>
      <c r="N460" s="70" t="s">
        <v>60</v>
      </c>
      <c r="Q460" s="89">
        <f>(AM380+AM252+AM307)+H460</f>
        <v>1195.389560113</v>
      </c>
      <c r="R460" s="89"/>
      <c r="S460" s="89"/>
      <c r="T460" s="89"/>
      <c r="U460" s="70" t="s">
        <v>102</v>
      </c>
    </row>
    <row r="461" spans="4:15" ht="24.75" customHeight="1">
      <c r="D461" s="5" t="s">
        <v>237</v>
      </c>
      <c r="G461" s="23"/>
      <c r="O461" s="5" t="s">
        <v>238</v>
      </c>
    </row>
    <row r="462" spans="4:45" ht="24.75" customHeight="1">
      <c r="D462" s="92" t="s">
        <v>123</v>
      </c>
      <c r="E462" s="92"/>
      <c r="F462" s="92"/>
      <c r="G462" s="97" t="s">
        <v>114</v>
      </c>
      <c r="H462" s="97"/>
      <c r="I462" s="97"/>
      <c r="J462" s="92" t="s">
        <v>61</v>
      </c>
      <c r="K462" s="92"/>
      <c r="L462" s="92"/>
      <c r="M462" s="92" t="s">
        <v>34</v>
      </c>
      <c r="N462" s="98">
        <f>+AA445</f>
        <v>425.44888475873915</v>
      </c>
      <c r="O462" s="98"/>
      <c r="P462" s="98"/>
      <c r="Q462" s="98"/>
      <c r="R462" s="98"/>
      <c r="S462" s="19" t="s">
        <v>41</v>
      </c>
      <c r="T462" s="97">
        <f>10^6</f>
        <v>1000000</v>
      </c>
      <c r="U462" s="97"/>
      <c r="V462" s="97"/>
      <c r="W462" s="95" t="s">
        <v>41</v>
      </c>
      <c r="X462" s="95"/>
      <c r="Y462" s="96">
        <f>+H460</f>
        <v>-1034.610439887</v>
      </c>
      <c r="Z462" s="96"/>
      <c r="AA462" s="96"/>
      <c r="AB462" s="96"/>
      <c r="AC462" s="96"/>
      <c r="AD462" s="92" t="s">
        <v>34</v>
      </c>
      <c r="AE462" s="96">
        <f>+N462*T462/O463*Y462</f>
        <v>-27.814224011223697</v>
      </c>
      <c r="AF462" s="96"/>
      <c r="AG462" s="96"/>
      <c r="AH462" s="96"/>
      <c r="AI462" s="96"/>
      <c r="AJ462" s="92" t="str">
        <f>IF(O237&gt;0,IF(ABS(AE462)&gt;Z242,"N/㎟  ＞   σca ,    N.G","N/㎟  ＜   σca ,    O.K"),IF(ABS(AE462)&gt;O242,"N/㎟  ＞   σta ,    N.G","N/㎟  ＜   σta ,    O.K"))</f>
        <v>N/㎟  ＜   σca ,    O.K</v>
      </c>
      <c r="AK462" s="92"/>
      <c r="AL462" s="92"/>
      <c r="AM462" s="92"/>
      <c r="AN462" s="92"/>
      <c r="AO462" s="92"/>
      <c r="AP462" s="92"/>
      <c r="AQ462" s="92"/>
      <c r="AR462" s="92"/>
      <c r="AS462" s="92"/>
    </row>
    <row r="463" spans="4:45" ht="24.75" customHeight="1">
      <c r="D463" s="92"/>
      <c r="E463" s="92"/>
      <c r="F463" s="92"/>
      <c r="G463" s="93" t="s">
        <v>62</v>
      </c>
      <c r="H463" s="93"/>
      <c r="I463" s="93"/>
      <c r="J463" s="92"/>
      <c r="K463" s="92"/>
      <c r="L463" s="92"/>
      <c r="M463" s="92"/>
      <c r="O463" s="94">
        <f>+AE455</f>
        <v>15825494812.727911</v>
      </c>
      <c r="P463" s="94"/>
      <c r="Q463" s="94"/>
      <c r="R463" s="94"/>
      <c r="S463" s="94"/>
      <c r="T463" s="94"/>
      <c r="U463" s="94"/>
      <c r="W463" s="95"/>
      <c r="X463" s="95"/>
      <c r="Y463" s="96"/>
      <c r="Z463" s="96"/>
      <c r="AA463" s="96"/>
      <c r="AB463" s="96"/>
      <c r="AC463" s="96"/>
      <c r="AD463" s="92"/>
      <c r="AE463" s="96"/>
      <c r="AF463" s="96"/>
      <c r="AG463" s="96"/>
      <c r="AH463" s="96"/>
      <c r="AI463" s="96"/>
      <c r="AJ463" s="92"/>
      <c r="AK463" s="92"/>
      <c r="AL463" s="92"/>
      <c r="AM463" s="92"/>
      <c r="AN463" s="92"/>
      <c r="AO463" s="92"/>
      <c r="AP463" s="92"/>
      <c r="AQ463" s="92"/>
      <c r="AR463" s="92"/>
      <c r="AS463" s="92"/>
    </row>
    <row r="464" spans="4:45" ht="24.75" customHeight="1">
      <c r="D464" s="92" t="s">
        <v>124</v>
      </c>
      <c r="E464" s="92"/>
      <c r="F464" s="92"/>
      <c r="G464" s="97" t="s">
        <v>114</v>
      </c>
      <c r="H464" s="97"/>
      <c r="I464" s="97"/>
      <c r="J464" s="92" t="s">
        <v>63</v>
      </c>
      <c r="K464" s="92"/>
      <c r="L464" s="92"/>
      <c r="M464" s="92" t="s">
        <v>34</v>
      </c>
      <c r="N464" s="98">
        <f>+N462</f>
        <v>425.44888475873915</v>
      </c>
      <c r="O464" s="98"/>
      <c r="P464" s="98"/>
      <c r="Q464" s="98"/>
      <c r="R464" s="98"/>
      <c r="S464" s="19" t="s">
        <v>41</v>
      </c>
      <c r="T464" s="97">
        <f>10^6</f>
        <v>1000000</v>
      </c>
      <c r="U464" s="97"/>
      <c r="V464" s="97"/>
      <c r="W464" s="95" t="s">
        <v>41</v>
      </c>
      <c r="X464" s="95"/>
      <c r="Y464" s="96">
        <f>+Q460</f>
        <v>1195.389560113</v>
      </c>
      <c r="Z464" s="96"/>
      <c r="AA464" s="96"/>
      <c r="AB464" s="96"/>
      <c r="AC464" s="96"/>
      <c r="AD464" s="92" t="s">
        <v>34</v>
      </c>
      <c r="AE464" s="96">
        <f>+N464*T464/O465*Y464</f>
        <v>32.1365721085248</v>
      </c>
      <c r="AF464" s="96"/>
      <c r="AG464" s="96"/>
      <c r="AH464" s="96"/>
      <c r="AI464" s="96"/>
      <c r="AJ464" s="92" t="str">
        <f>IF(O237&gt;0,IF(ABS(AE464)&gt;O242,"N/㎟  ＞   σta ,    N.G","N/㎟  ＜   σta ,    O.K"),IF(ABS(AE464)&gt;Z242,"N/㎟  ＞   σca ,    N.G","N/㎟  ＜   σca ,    O.K"))</f>
        <v>N/㎟  ＜   σta ,    O.K</v>
      </c>
      <c r="AK464" s="92"/>
      <c r="AL464" s="92"/>
      <c r="AM464" s="92"/>
      <c r="AN464" s="92"/>
      <c r="AO464" s="92"/>
      <c r="AP464" s="92"/>
      <c r="AQ464" s="92"/>
      <c r="AR464" s="92"/>
      <c r="AS464" s="92"/>
    </row>
    <row r="465" spans="4:45" ht="24.75" customHeight="1">
      <c r="D465" s="92"/>
      <c r="E465" s="92"/>
      <c r="F465" s="92"/>
      <c r="G465" s="93" t="s">
        <v>62</v>
      </c>
      <c r="H465" s="93"/>
      <c r="I465" s="93"/>
      <c r="J465" s="92"/>
      <c r="K465" s="92"/>
      <c r="L465" s="92"/>
      <c r="M465" s="92"/>
      <c r="O465" s="94">
        <f>+O463</f>
        <v>15825494812.727911</v>
      </c>
      <c r="P465" s="94"/>
      <c r="Q465" s="94"/>
      <c r="R465" s="94"/>
      <c r="S465" s="94"/>
      <c r="T465" s="94"/>
      <c r="U465" s="94"/>
      <c r="W465" s="95"/>
      <c r="X465" s="95"/>
      <c r="Y465" s="96"/>
      <c r="Z465" s="96"/>
      <c r="AA465" s="96"/>
      <c r="AB465" s="96"/>
      <c r="AC465" s="96"/>
      <c r="AD465" s="92"/>
      <c r="AE465" s="96"/>
      <c r="AF465" s="96"/>
      <c r="AG465" s="96"/>
      <c r="AH465" s="96"/>
      <c r="AI465" s="96"/>
      <c r="AJ465" s="92"/>
      <c r="AK465" s="92"/>
      <c r="AL465" s="92"/>
      <c r="AM465" s="92"/>
      <c r="AN465" s="92"/>
      <c r="AO465" s="92"/>
      <c r="AP465" s="92"/>
      <c r="AQ465" s="92"/>
      <c r="AR465" s="92"/>
      <c r="AS465" s="92"/>
    </row>
    <row r="466" spans="4:32" ht="24.75" customHeight="1">
      <c r="D466" s="8"/>
      <c r="E466" s="8"/>
      <c r="G466" s="53"/>
      <c r="H466" s="53"/>
      <c r="I466" s="53"/>
      <c r="J466" s="53"/>
      <c r="K466" s="53"/>
      <c r="M466" s="53"/>
      <c r="N466" s="53"/>
      <c r="O466" s="53"/>
      <c r="P466" s="53"/>
      <c r="Q466" s="53"/>
      <c r="S466" s="53"/>
      <c r="T466" s="53"/>
      <c r="U466" s="53"/>
      <c r="V466" s="53"/>
      <c r="W466" s="53"/>
      <c r="X466" s="25"/>
      <c r="Y466" s="25"/>
      <c r="Z466" s="25"/>
      <c r="AA466" s="25"/>
      <c r="AB466" s="25"/>
      <c r="AC466" s="25"/>
      <c r="AD466" s="25"/>
      <c r="AE466" s="25"/>
      <c r="AF466" s="25"/>
    </row>
    <row r="469" spans="1:2" ht="24.75" customHeight="1">
      <c r="A469" s="4"/>
      <c r="B469" s="145" t="s">
        <v>269</v>
      </c>
    </row>
    <row r="470" spans="3:43" ht="24.75" customHeight="1">
      <c r="C470" s="5" t="s">
        <v>207</v>
      </c>
      <c r="O470" s="146">
        <v>-7050.1690429</v>
      </c>
      <c r="P470" s="146"/>
      <c r="Q470" s="146"/>
      <c r="R470" s="146"/>
      <c r="S470" s="146"/>
      <c r="T470" s="5" t="s">
        <v>111</v>
      </c>
      <c r="Z470" s="5" t="s">
        <v>12</v>
      </c>
      <c r="AE470" s="5" t="s">
        <v>105</v>
      </c>
      <c r="AG470" s="146">
        <v>2.4</v>
      </c>
      <c r="AH470" s="146"/>
      <c r="AI470" s="146"/>
      <c r="AJ470" s="5" t="s">
        <v>106</v>
      </c>
      <c r="AL470" s="5" t="s">
        <v>107</v>
      </c>
      <c r="AN470" s="146">
        <v>2.1</v>
      </c>
      <c r="AO470" s="146"/>
      <c r="AP470" s="146"/>
      <c r="AQ470" s="5" t="s">
        <v>106</v>
      </c>
    </row>
    <row r="471" spans="3:36" ht="24.75" customHeight="1">
      <c r="C471" s="5" t="s">
        <v>208</v>
      </c>
      <c r="O471" s="146">
        <v>1482.4968294</v>
      </c>
      <c r="P471" s="146"/>
      <c r="Q471" s="146"/>
      <c r="R471" s="146"/>
      <c r="S471" s="146"/>
      <c r="T471" s="5" t="s">
        <v>112</v>
      </c>
      <c r="Z471" s="5" t="s">
        <v>13</v>
      </c>
      <c r="AE471" s="5" t="s">
        <v>108</v>
      </c>
      <c r="AG471" s="146">
        <v>2.2</v>
      </c>
      <c r="AH471" s="146"/>
      <c r="AI471" s="146"/>
      <c r="AJ471" s="5" t="s">
        <v>106</v>
      </c>
    </row>
    <row r="472" spans="3:36" ht="24.75" customHeight="1">
      <c r="C472" s="5" t="s">
        <v>174</v>
      </c>
      <c r="J472" s="53"/>
      <c r="K472" s="53"/>
      <c r="L472" s="53"/>
      <c r="M472" s="53"/>
      <c r="N472" s="53"/>
      <c r="O472" s="146">
        <v>772.6456437</v>
      </c>
      <c r="P472" s="146"/>
      <c r="Q472" s="146"/>
      <c r="R472" s="146"/>
      <c r="S472" s="146"/>
      <c r="T472" s="5" t="s">
        <v>111</v>
      </c>
      <c r="Z472" s="5" t="s">
        <v>14</v>
      </c>
      <c r="AE472" s="147" t="s">
        <v>109</v>
      </c>
      <c r="AF472" s="147"/>
      <c r="AG472" s="148">
        <f>DEGREES(ATAN((AG470-AN470)/2/AG471))</f>
        <v>3.900493742381888</v>
      </c>
      <c r="AH472" s="148"/>
      <c r="AI472" s="148"/>
      <c r="AJ472" s="149" t="s">
        <v>110</v>
      </c>
    </row>
    <row r="473" spans="3:28" ht="24.75" customHeight="1">
      <c r="C473" s="5" t="s">
        <v>175</v>
      </c>
      <c r="O473" s="150">
        <v>54.949231209</v>
      </c>
      <c r="P473" s="150"/>
      <c r="Q473" s="150"/>
      <c r="R473" s="150"/>
      <c r="S473" s="150"/>
      <c r="T473" s="5" t="s">
        <v>218</v>
      </c>
      <c r="AB473" s="151" t="s">
        <v>11</v>
      </c>
    </row>
    <row r="474" spans="3:47" ht="24.75" customHeight="1">
      <c r="C474" s="5" t="s">
        <v>176</v>
      </c>
      <c r="O474" s="150">
        <v>-53.653369111</v>
      </c>
      <c r="P474" s="150"/>
      <c r="Q474" s="150"/>
      <c r="R474" s="150"/>
      <c r="S474" s="150"/>
      <c r="T474" s="5" t="s">
        <v>218</v>
      </c>
      <c r="AU474" s="152"/>
    </row>
    <row r="475" spans="3:85" ht="24.75" customHeight="1">
      <c r="C475" s="5" t="s">
        <v>177</v>
      </c>
      <c r="F475" s="153" t="s">
        <v>266</v>
      </c>
      <c r="G475" s="153"/>
      <c r="H475" s="153"/>
      <c r="I475" s="153"/>
      <c r="J475" s="145" t="s">
        <v>257</v>
      </c>
      <c r="L475" s="5" t="s">
        <v>148</v>
      </c>
      <c r="O475" s="102">
        <f>HLOOKUP(F475,AX476:CJ479,AU476,FALSE)</f>
        <v>210</v>
      </c>
      <c r="P475" s="102"/>
      <c r="Q475" s="102"/>
      <c r="R475" s="102"/>
      <c r="S475" s="5" t="s">
        <v>218</v>
      </c>
      <c r="W475" s="5" t="s">
        <v>149</v>
      </c>
      <c r="Z475" s="150">
        <v>210</v>
      </c>
      <c r="AA475" s="150"/>
      <c r="AB475" s="150"/>
      <c r="AC475" s="150"/>
      <c r="AD475" s="5" t="s">
        <v>218</v>
      </c>
      <c r="AH475" s="5" t="s">
        <v>150</v>
      </c>
      <c r="AK475" s="102">
        <f>HLOOKUP(F475,AX481:CJ484,AU481,FALSE)</f>
        <v>120</v>
      </c>
      <c r="AL475" s="102"/>
      <c r="AM475" s="102"/>
      <c r="AN475" s="102"/>
      <c r="AO475" s="5" t="s">
        <v>218</v>
      </c>
      <c r="AU475" s="143" t="s">
        <v>220</v>
      </c>
      <c r="AV475" s="143"/>
      <c r="AW475" s="143"/>
      <c r="AX475" s="143"/>
      <c r="AY475" s="143"/>
      <c r="AZ475" s="143"/>
      <c r="BA475" s="143"/>
      <c r="BB475" s="143"/>
      <c r="BC475" s="143"/>
      <c r="BD475" s="143"/>
      <c r="BE475" s="143"/>
      <c r="BF475" s="152"/>
      <c r="BG475" s="152"/>
      <c r="BH475" s="152"/>
      <c r="BI475" s="152"/>
      <c r="BJ475" s="152"/>
      <c r="BK475" s="152"/>
      <c r="BL475" s="152"/>
      <c r="BM475" s="152"/>
      <c r="BN475" s="152"/>
      <c r="BO475" s="152"/>
      <c r="BP475" s="152"/>
      <c r="BQ475" s="152"/>
      <c r="BR475" s="152"/>
      <c r="BS475" s="152"/>
      <c r="BT475" s="152"/>
      <c r="BU475" s="152"/>
      <c r="BV475" s="152"/>
      <c r="BW475" s="152"/>
      <c r="BX475" s="152"/>
      <c r="BY475" s="152"/>
      <c r="BZ475" s="152"/>
      <c r="CA475" s="152"/>
      <c r="CB475" s="152"/>
      <c r="CC475" s="152"/>
      <c r="CD475" s="152"/>
      <c r="CE475" s="152"/>
      <c r="CF475" s="152"/>
      <c r="CG475" s="152"/>
    </row>
    <row r="476" spans="3:88" ht="24.75" customHeight="1">
      <c r="C476" s="5" t="s">
        <v>189</v>
      </c>
      <c r="H476" s="154">
        <v>22</v>
      </c>
      <c r="I476" s="154"/>
      <c r="J476" s="154"/>
      <c r="K476" s="155" t="s">
        <v>267</v>
      </c>
      <c r="L476" s="156">
        <v>10</v>
      </c>
      <c r="M476" s="156"/>
      <c r="N476" s="156"/>
      <c r="O476" s="5" t="s">
        <v>40</v>
      </c>
      <c r="R476" s="124">
        <f>IF(H476=20,IF(L476=10,39000,31000),IF(H476=22,IF(L476=10,48000,39000),IF(H476=24,IF(L476=10,56000,45000),"確認希望")))</f>
        <v>48000</v>
      </c>
      <c r="S476" s="124"/>
      <c r="T476" s="124"/>
      <c r="U476" s="5" t="s">
        <v>41</v>
      </c>
      <c r="V476" s="144">
        <v>2</v>
      </c>
      <c r="W476" s="144"/>
      <c r="X476" s="144"/>
      <c r="Y476" s="144"/>
      <c r="Z476" s="8" t="s">
        <v>34</v>
      </c>
      <c r="AA476" s="92">
        <f>+R476*V476</f>
        <v>96000</v>
      </c>
      <c r="AB476" s="92"/>
      <c r="AC476" s="92"/>
      <c r="AD476" s="5" t="s">
        <v>113</v>
      </c>
      <c r="AU476" s="135">
        <f>IF(AM485&lt;=40,2,IF(AM485&lt;=75,3,4))</f>
        <v>2</v>
      </c>
      <c r="AV476" s="136"/>
      <c r="AW476" s="137"/>
      <c r="AX476" s="138" t="s">
        <v>91</v>
      </c>
      <c r="AY476" s="139"/>
      <c r="AZ476" s="140"/>
      <c r="BA476" s="138" t="s">
        <v>92</v>
      </c>
      <c r="BB476" s="139"/>
      <c r="BC476" s="140"/>
      <c r="BD476" s="138" t="s">
        <v>93</v>
      </c>
      <c r="BE476" s="139"/>
      <c r="BF476" s="140"/>
      <c r="BG476" s="138" t="s">
        <v>132</v>
      </c>
      <c r="BH476" s="139"/>
      <c r="BI476" s="140"/>
      <c r="BJ476" s="138" t="s">
        <v>90</v>
      </c>
      <c r="BK476" s="139"/>
      <c r="BL476" s="140"/>
      <c r="BM476" s="157" t="s">
        <v>133</v>
      </c>
      <c r="BN476" s="158"/>
      <c r="BO476" s="159"/>
      <c r="BP476" s="138" t="s">
        <v>94</v>
      </c>
      <c r="BQ476" s="139"/>
      <c r="BR476" s="140"/>
      <c r="BS476" s="138" t="s">
        <v>95</v>
      </c>
      <c r="BT476" s="139"/>
      <c r="BU476" s="140"/>
      <c r="BV476" s="138" t="s">
        <v>96</v>
      </c>
      <c r="BW476" s="139"/>
      <c r="BX476" s="140"/>
      <c r="BY476" s="157" t="s">
        <v>134</v>
      </c>
      <c r="BZ476" s="158"/>
      <c r="CA476" s="159"/>
      <c r="CB476" s="138" t="s">
        <v>97</v>
      </c>
      <c r="CC476" s="139"/>
      <c r="CD476" s="140"/>
      <c r="CE476" s="138" t="s">
        <v>98</v>
      </c>
      <c r="CF476" s="139"/>
      <c r="CG476" s="140"/>
      <c r="CH476" s="157" t="s">
        <v>135</v>
      </c>
      <c r="CI476" s="158"/>
      <c r="CJ476" s="159"/>
    </row>
    <row r="477" spans="10:88" ht="24.75" customHeight="1">
      <c r="J477" s="160"/>
      <c r="AU477" s="161">
        <v>40</v>
      </c>
      <c r="AV477" s="161"/>
      <c r="AW477" s="161"/>
      <c r="AX477" s="135">
        <v>140</v>
      </c>
      <c r="AY477" s="136"/>
      <c r="AZ477" s="137"/>
      <c r="BA477" s="135">
        <f>AX477</f>
        <v>140</v>
      </c>
      <c r="BB477" s="136"/>
      <c r="BC477" s="137"/>
      <c r="BD477" s="135">
        <f>AX477</f>
        <v>140</v>
      </c>
      <c r="BE477" s="136"/>
      <c r="BF477" s="137"/>
      <c r="BG477" s="135">
        <v>140</v>
      </c>
      <c r="BH477" s="136"/>
      <c r="BI477" s="137"/>
      <c r="BJ477" s="135">
        <v>185</v>
      </c>
      <c r="BK477" s="136"/>
      <c r="BL477" s="137"/>
      <c r="BM477" s="135">
        <f>BJ477</f>
        <v>185</v>
      </c>
      <c r="BN477" s="136"/>
      <c r="BO477" s="137"/>
      <c r="BP477" s="135">
        <v>210</v>
      </c>
      <c r="BQ477" s="136"/>
      <c r="BR477" s="137"/>
      <c r="BS477" s="135">
        <f>BP477</f>
        <v>210</v>
      </c>
      <c r="BT477" s="136"/>
      <c r="BU477" s="137"/>
      <c r="BV477" s="135">
        <f>BP477</f>
        <v>210</v>
      </c>
      <c r="BW477" s="136"/>
      <c r="BX477" s="137"/>
      <c r="BY477" s="135">
        <v>210</v>
      </c>
      <c r="BZ477" s="136"/>
      <c r="CA477" s="137"/>
      <c r="CB477" s="135">
        <v>255</v>
      </c>
      <c r="CC477" s="136"/>
      <c r="CD477" s="137"/>
      <c r="CE477" s="135">
        <f>CB477</f>
        <v>255</v>
      </c>
      <c r="CF477" s="136"/>
      <c r="CG477" s="137"/>
      <c r="CH477" s="135">
        <f>CE477</f>
        <v>255</v>
      </c>
      <c r="CI477" s="136"/>
      <c r="CJ477" s="137"/>
    </row>
    <row r="478" spans="2:88" ht="24.75" customHeight="1">
      <c r="B478" s="5" t="s">
        <v>0</v>
      </c>
      <c r="I478" s="92" t="str">
        <f>IF(O470&gt;0,"(上フランジ)","(下フランジ)")</f>
        <v>(下フランジ)</v>
      </c>
      <c r="J478" s="92"/>
      <c r="K478" s="92"/>
      <c r="L478" s="92"/>
      <c r="M478" s="92"/>
      <c r="N478" s="92"/>
      <c r="O478" s="5" t="s">
        <v>249</v>
      </c>
      <c r="AU478" s="162" t="s">
        <v>99</v>
      </c>
      <c r="AV478" s="162"/>
      <c r="AW478" s="162"/>
      <c r="AX478" s="135">
        <v>125</v>
      </c>
      <c r="AY478" s="136"/>
      <c r="AZ478" s="137"/>
      <c r="BA478" s="135">
        <f>AX478</f>
        <v>125</v>
      </c>
      <c r="BB478" s="136"/>
      <c r="BC478" s="137"/>
      <c r="BD478" s="135">
        <f>AX478</f>
        <v>125</v>
      </c>
      <c r="BE478" s="136"/>
      <c r="BF478" s="137"/>
      <c r="BG478" s="135">
        <v>140</v>
      </c>
      <c r="BH478" s="136"/>
      <c r="BI478" s="137"/>
      <c r="BJ478" s="135">
        <v>175</v>
      </c>
      <c r="BK478" s="136"/>
      <c r="BL478" s="137"/>
      <c r="BM478" s="135">
        <f>BM477</f>
        <v>185</v>
      </c>
      <c r="BN478" s="136"/>
      <c r="BO478" s="137"/>
      <c r="BP478" s="135">
        <v>200</v>
      </c>
      <c r="BQ478" s="136"/>
      <c r="BR478" s="137"/>
      <c r="BS478" s="135">
        <f>BP478</f>
        <v>200</v>
      </c>
      <c r="BT478" s="136"/>
      <c r="BU478" s="137"/>
      <c r="BV478" s="135">
        <f>BP478</f>
        <v>200</v>
      </c>
      <c r="BW478" s="136"/>
      <c r="BX478" s="137"/>
      <c r="BY478" s="135">
        <v>210</v>
      </c>
      <c r="BZ478" s="136"/>
      <c r="CA478" s="137"/>
      <c r="CB478" s="135">
        <v>245</v>
      </c>
      <c r="CC478" s="136"/>
      <c r="CD478" s="137"/>
      <c r="CE478" s="135">
        <f>CB478</f>
        <v>245</v>
      </c>
      <c r="CF478" s="136"/>
      <c r="CG478" s="137"/>
      <c r="CH478" s="135">
        <f>CH477</f>
        <v>255</v>
      </c>
      <c r="CI478" s="136"/>
      <c r="CJ478" s="137"/>
    </row>
    <row r="479" spans="3:88" ht="24.75" customHeight="1">
      <c r="C479" s="5" t="s">
        <v>115</v>
      </c>
      <c r="E479" s="142">
        <f>IF(O470&gt;0,ABS(O473),ABS(O474))</f>
        <v>53.653369111</v>
      </c>
      <c r="F479" s="142"/>
      <c r="G479" s="142"/>
      <c r="H479" s="142"/>
      <c r="I479" s="142"/>
      <c r="J479" s="142"/>
      <c r="K479" s="5" t="str">
        <f>+T473</f>
        <v>N/㎟</v>
      </c>
      <c r="AU479" s="162" t="s">
        <v>100</v>
      </c>
      <c r="AV479" s="162"/>
      <c r="AW479" s="162"/>
      <c r="AX479" s="135">
        <v>125</v>
      </c>
      <c r="AY479" s="136"/>
      <c r="AZ479" s="137"/>
      <c r="BA479" s="135">
        <f>AX479</f>
        <v>125</v>
      </c>
      <c r="BB479" s="136"/>
      <c r="BC479" s="137"/>
      <c r="BD479" s="135">
        <f>AX479</f>
        <v>125</v>
      </c>
      <c r="BE479" s="136"/>
      <c r="BF479" s="137"/>
      <c r="BG479" s="135">
        <v>140</v>
      </c>
      <c r="BH479" s="136"/>
      <c r="BI479" s="137"/>
      <c r="BJ479" s="135">
        <v>175</v>
      </c>
      <c r="BK479" s="136"/>
      <c r="BL479" s="137"/>
      <c r="BM479" s="135">
        <f>BM477</f>
        <v>185</v>
      </c>
      <c r="BN479" s="136"/>
      <c r="BO479" s="137"/>
      <c r="BP479" s="135">
        <v>195</v>
      </c>
      <c r="BQ479" s="136"/>
      <c r="BR479" s="137"/>
      <c r="BS479" s="135">
        <f>BP479</f>
        <v>195</v>
      </c>
      <c r="BT479" s="136"/>
      <c r="BU479" s="137"/>
      <c r="BV479" s="135">
        <f>BP479</f>
        <v>195</v>
      </c>
      <c r="BW479" s="136"/>
      <c r="BX479" s="137"/>
      <c r="BY479" s="135">
        <v>210</v>
      </c>
      <c r="BZ479" s="136"/>
      <c r="CA479" s="137"/>
      <c r="CB479" s="135">
        <v>240</v>
      </c>
      <c r="CC479" s="136"/>
      <c r="CD479" s="137"/>
      <c r="CE479" s="135">
        <f>CB479</f>
        <v>240</v>
      </c>
      <c r="CF479" s="136"/>
      <c r="CG479" s="137"/>
      <c r="CH479" s="135">
        <f>CH477</f>
        <v>255</v>
      </c>
      <c r="CI479" s="136"/>
      <c r="CJ479" s="137"/>
    </row>
    <row r="480" spans="3:54" ht="24.75" customHeight="1">
      <c r="C480" s="5" t="s">
        <v>116</v>
      </c>
      <c r="E480" s="130">
        <v>0.75</v>
      </c>
      <c r="F480" s="130"/>
      <c r="G480" s="130"/>
      <c r="H480" s="130"/>
      <c r="I480" s="5" t="s">
        <v>41</v>
      </c>
      <c r="J480" s="102">
        <f>Z475</f>
        <v>210</v>
      </c>
      <c r="K480" s="102"/>
      <c r="L480" s="102"/>
      <c r="M480" s="5" t="s">
        <v>34</v>
      </c>
      <c r="N480" s="89">
        <f>+E480*J480</f>
        <v>157.5</v>
      </c>
      <c r="O480" s="89"/>
      <c r="P480" s="89"/>
      <c r="Q480" s="89"/>
      <c r="R480" s="5" t="str">
        <f>+K479</f>
        <v>N/㎟</v>
      </c>
      <c r="T480" s="10"/>
      <c r="U480" s="11"/>
      <c r="V480" s="12" t="s">
        <v>178</v>
      </c>
      <c r="AU480" s="141" t="s">
        <v>221</v>
      </c>
      <c r="AV480" s="141"/>
      <c r="AW480" s="141"/>
      <c r="AX480" s="141"/>
      <c r="AY480" s="141"/>
      <c r="AZ480" s="141"/>
      <c r="BA480" s="141"/>
      <c r="BB480" s="141"/>
    </row>
    <row r="481" spans="3:88" ht="24.75" customHeight="1">
      <c r="C481" s="5" t="s">
        <v>247</v>
      </c>
      <c r="L481" s="5" t="str">
        <f>IF(O470&gt;0,"σu","σl")</f>
        <v>σl</v>
      </c>
      <c r="N481" s="5" t="s">
        <v>179</v>
      </c>
      <c r="P481" s="89">
        <f>+MAX(E479,N480)</f>
        <v>157.5</v>
      </c>
      <c r="Q481" s="89"/>
      <c r="R481" s="89"/>
      <c r="S481" s="89"/>
      <c r="T481" s="5" t="s">
        <v>222</v>
      </c>
      <c r="AU481" s="135">
        <f>AU476</f>
        <v>2</v>
      </c>
      <c r="AV481" s="136"/>
      <c r="AW481" s="137"/>
      <c r="AX481" s="138" t="s">
        <v>91</v>
      </c>
      <c r="AY481" s="139"/>
      <c r="AZ481" s="140"/>
      <c r="BA481" s="138" t="s">
        <v>92</v>
      </c>
      <c r="BB481" s="139"/>
      <c r="BC481" s="140"/>
      <c r="BD481" s="138" t="s">
        <v>93</v>
      </c>
      <c r="BE481" s="139"/>
      <c r="BF481" s="140"/>
      <c r="BG481" s="138" t="s">
        <v>132</v>
      </c>
      <c r="BH481" s="139"/>
      <c r="BI481" s="140"/>
      <c r="BJ481" s="138" t="s">
        <v>90</v>
      </c>
      <c r="BK481" s="139"/>
      <c r="BL481" s="140"/>
      <c r="BM481" s="157" t="s">
        <v>133</v>
      </c>
      <c r="BN481" s="158"/>
      <c r="BO481" s="159"/>
      <c r="BP481" s="138" t="s">
        <v>94</v>
      </c>
      <c r="BQ481" s="139"/>
      <c r="BR481" s="140"/>
      <c r="BS481" s="138" t="s">
        <v>95</v>
      </c>
      <c r="BT481" s="139"/>
      <c r="BU481" s="140"/>
      <c r="BV481" s="138" t="s">
        <v>96</v>
      </c>
      <c r="BW481" s="139"/>
      <c r="BX481" s="140"/>
      <c r="BY481" s="157" t="s">
        <v>134</v>
      </c>
      <c r="BZ481" s="158"/>
      <c r="CA481" s="159"/>
      <c r="CB481" s="138" t="s">
        <v>97</v>
      </c>
      <c r="CC481" s="139"/>
      <c r="CD481" s="140"/>
      <c r="CE481" s="138" t="s">
        <v>98</v>
      </c>
      <c r="CF481" s="139"/>
      <c r="CG481" s="140"/>
      <c r="CH481" s="157" t="s">
        <v>135</v>
      </c>
      <c r="CI481" s="158"/>
      <c r="CJ481" s="159"/>
    </row>
    <row r="482" spans="7:88" ht="24.75" customHeight="1">
      <c r="G482" s="9"/>
      <c r="AU482" s="161">
        <v>40</v>
      </c>
      <c r="AV482" s="161"/>
      <c r="AW482" s="161"/>
      <c r="AX482" s="135">
        <v>80</v>
      </c>
      <c r="AY482" s="136"/>
      <c r="AZ482" s="137"/>
      <c r="BA482" s="135">
        <f>AX482</f>
        <v>80</v>
      </c>
      <c r="BB482" s="136"/>
      <c r="BC482" s="137"/>
      <c r="BD482" s="135">
        <f>AX482</f>
        <v>80</v>
      </c>
      <c r="BE482" s="136"/>
      <c r="BF482" s="137"/>
      <c r="BG482" s="135">
        <v>80</v>
      </c>
      <c r="BH482" s="136"/>
      <c r="BI482" s="137"/>
      <c r="BJ482" s="135">
        <v>105</v>
      </c>
      <c r="BK482" s="136"/>
      <c r="BL482" s="137"/>
      <c r="BM482" s="135">
        <v>105</v>
      </c>
      <c r="BN482" s="136"/>
      <c r="BO482" s="137"/>
      <c r="BP482" s="135">
        <v>120</v>
      </c>
      <c r="BQ482" s="136"/>
      <c r="BR482" s="137"/>
      <c r="BS482" s="135">
        <f>BP482</f>
        <v>120</v>
      </c>
      <c r="BT482" s="136"/>
      <c r="BU482" s="137"/>
      <c r="BV482" s="135">
        <f>BP482</f>
        <v>120</v>
      </c>
      <c r="BW482" s="136"/>
      <c r="BX482" s="137"/>
      <c r="BY482" s="135">
        <v>120</v>
      </c>
      <c r="BZ482" s="136"/>
      <c r="CA482" s="137"/>
      <c r="CB482" s="135">
        <v>145</v>
      </c>
      <c r="CC482" s="136"/>
      <c r="CD482" s="137"/>
      <c r="CE482" s="135">
        <f>CB482</f>
        <v>145</v>
      </c>
      <c r="CF482" s="136"/>
      <c r="CG482" s="137"/>
      <c r="CH482" s="135">
        <v>145</v>
      </c>
      <c r="CI482" s="136"/>
      <c r="CJ482" s="137"/>
    </row>
    <row r="483" spans="7:88" ht="24.75" customHeight="1">
      <c r="G483" s="9"/>
      <c r="AU483" s="162" t="s">
        <v>99</v>
      </c>
      <c r="AV483" s="162"/>
      <c r="AW483" s="162"/>
      <c r="AX483" s="135">
        <v>75</v>
      </c>
      <c r="AY483" s="136"/>
      <c r="AZ483" s="137"/>
      <c r="BA483" s="135">
        <f>AX483</f>
        <v>75</v>
      </c>
      <c r="BB483" s="136"/>
      <c r="BC483" s="137"/>
      <c r="BD483" s="135">
        <f>AX483</f>
        <v>75</v>
      </c>
      <c r="BE483" s="136"/>
      <c r="BF483" s="137"/>
      <c r="BG483" s="135">
        <v>80</v>
      </c>
      <c r="BH483" s="136"/>
      <c r="BI483" s="137"/>
      <c r="BJ483" s="135">
        <v>100</v>
      </c>
      <c r="BK483" s="136"/>
      <c r="BL483" s="137"/>
      <c r="BM483" s="135">
        <v>105</v>
      </c>
      <c r="BN483" s="136"/>
      <c r="BO483" s="137"/>
      <c r="BP483" s="135">
        <v>115</v>
      </c>
      <c r="BQ483" s="136"/>
      <c r="BR483" s="137"/>
      <c r="BS483" s="135">
        <f>BP483</f>
        <v>115</v>
      </c>
      <c r="BT483" s="136"/>
      <c r="BU483" s="137"/>
      <c r="BV483" s="135">
        <f>BP483</f>
        <v>115</v>
      </c>
      <c r="BW483" s="136"/>
      <c r="BX483" s="137"/>
      <c r="BY483" s="135">
        <v>120</v>
      </c>
      <c r="BZ483" s="136"/>
      <c r="CA483" s="137"/>
      <c r="CB483" s="135">
        <v>140</v>
      </c>
      <c r="CC483" s="136"/>
      <c r="CD483" s="137"/>
      <c r="CE483" s="135">
        <f>CB483</f>
        <v>140</v>
      </c>
      <c r="CF483" s="136"/>
      <c r="CG483" s="137"/>
      <c r="CH483" s="135">
        <v>145</v>
      </c>
      <c r="CI483" s="136"/>
      <c r="CJ483" s="137"/>
    </row>
    <row r="484" spans="7:88" ht="24.75" customHeight="1">
      <c r="G484" s="9"/>
      <c r="AU484" s="162" t="s">
        <v>100</v>
      </c>
      <c r="AV484" s="162"/>
      <c r="AW484" s="162"/>
      <c r="AX484" s="135">
        <v>75</v>
      </c>
      <c r="AY484" s="136"/>
      <c r="AZ484" s="137"/>
      <c r="BA484" s="135">
        <f>AX484</f>
        <v>75</v>
      </c>
      <c r="BB484" s="136"/>
      <c r="BC484" s="137"/>
      <c r="BD484" s="135">
        <f>AX484</f>
        <v>75</v>
      </c>
      <c r="BE484" s="136"/>
      <c r="BF484" s="137"/>
      <c r="BG484" s="135">
        <v>80</v>
      </c>
      <c r="BH484" s="136"/>
      <c r="BI484" s="137"/>
      <c r="BJ484" s="135">
        <v>100</v>
      </c>
      <c r="BK484" s="136"/>
      <c r="BL484" s="137"/>
      <c r="BM484" s="135">
        <v>105</v>
      </c>
      <c r="BN484" s="136"/>
      <c r="BO484" s="137"/>
      <c r="BP484" s="135">
        <v>110</v>
      </c>
      <c r="BQ484" s="136"/>
      <c r="BR484" s="137"/>
      <c r="BS484" s="135">
        <f>BP484</f>
        <v>110</v>
      </c>
      <c r="BT484" s="136"/>
      <c r="BU484" s="137"/>
      <c r="BV484" s="135">
        <f>BP484</f>
        <v>110</v>
      </c>
      <c r="BW484" s="136"/>
      <c r="BX484" s="137"/>
      <c r="BY484" s="135">
        <v>120</v>
      </c>
      <c r="BZ484" s="136"/>
      <c r="CA484" s="137"/>
      <c r="CB484" s="135">
        <v>135</v>
      </c>
      <c r="CC484" s="136"/>
      <c r="CD484" s="137"/>
      <c r="CE484" s="135">
        <f>CB484</f>
        <v>135</v>
      </c>
      <c r="CF484" s="136"/>
      <c r="CG484" s="137"/>
      <c r="CH484" s="135">
        <v>145</v>
      </c>
      <c r="CI484" s="136"/>
      <c r="CJ484" s="137"/>
    </row>
    <row r="485" spans="7:41" ht="24.75" customHeight="1">
      <c r="G485" s="9"/>
      <c r="AH485" s="5" t="s">
        <v>180</v>
      </c>
      <c r="AM485" s="163">
        <v>21</v>
      </c>
      <c r="AN485" s="163"/>
      <c r="AO485" s="5" t="s">
        <v>84</v>
      </c>
    </row>
    <row r="486" spans="34:42" ht="24.75" customHeight="1">
      <c r="AH486" s="5" t="s">
        <v>217</v>
      </c>
      <c r="AM486" s="163">
        <v>2640</v>
      </c>
      <c r="AN486" s="163"/>
      <c r="AO486" s="163"/>
      <c r="AP486" s="4" t="s">
        <v>84</v>
      </c>
    </row>
    <row r="487" spans="34:43" ht="24.75" customHeight="1">
      <c r="AH487" s="5" t="s">
        <v>210</v>
      </c>
      <c r="AO487" s="163">
        <v>120</v>
      </c>
      <c r="AP487" s="163"/>
      <c r="AQ487" s="5" t="s">
        <v>84</v>
      </c>
    </row>
    <row r="488" spans="34:38" ht="24.75" customHeight="1">
      <c r="AH488" s="5" t="s">
        <v>201</v>
      </c>
      <c r="AL488" s="5" t="s">
        <v>223</v>
      </c>
    </row>
    <row r="493" ht="24.75" customHeight="1">
      <c r="C493" s="5" t="s">
        <v>181</v>
      </c>
    </row>
    <row r="494" spans="4:40" ht="24.75" customHeight="1">
      <c r="D494" s="5" t="s">
        <v>182</v>
      </c>
      <c r="I494" s="5" t="str">
        <f>IF(O470&gt;0,"Asσs ＋ 2 Pfwu","Asσs ＋ 2 Pfwl")</f>
        <v>Asσs ＋ 2 Pfwl</v>
      </c>
      <c r="P494" s="5" t="s">
        <v>89</v>
      </c>
      <c r="Q494" s="95">
        <f>+AM485</f>
        <v>21</v>
      </c>
      <c r="R494" s="95"/>
      <c r="S494" s="14" t="s">
        <v>41</v>
      </c>
      <c r="T494" s="114">
        <f>+AM486</f>
        <v>2640</v>
      </c>
      <c r="U494" s="114"/>
      <c r="V494" s="114"/>
      <c r="W494" s="14" t="s">
        <v>41</v>
      </c>
      <c r="X494" s="108">
        <f>P481</f>
        <v>157.5</v>
      </c>
      <c r="Y494" s="108"/>
      <c r="Z494" s="108"/>
      <c r="AA494" s="14" t="s">
        <v>143</v>
      </c>
      <c r="AB494" s="95">
        <f>IF(O470&gt;0,AD636,AD653)</f>
        <v>49071.53011540727</v>
      </c>
      <c r="AC494" s="95"/>
      <c r="AD494" s="95"/>
      <c r="AE494" s="95"/>
      <c r="AF494" s="14" t="s">
        <v>138</v>
      </c>
      <c r="AG494" s="14"/>
      <c r="AH494" s="5" t="s">
        <v>89</v>
      </c>
      <c r="AI494" s="102">
        <f>Q494*T494*X494+AB494*2</f>
        <v>8829943.060230814</v>
      </c>
      <c r="AJ494" s="102"/>
      <c r="AK494" s="102"/>
      <c r="AL494" s="102"/>
      <c r="AM494" s="102"/>
      <c r="AN494" s="5" t="s">
        <v>113</v>
      </c>
    </row>
    <row r="495" spans="9:31" ht="24.75" customHeight="1">
      <c r="I495" s="5" t="s">
        <v>200</v>
      </c>
      <c r="V495" s="5" t="str">
        <f>IF(O470&gt;0,"Pfwu","Pfwl")</f>
        <v>Pfwl</v>
      </c>
      <c r="X495" s="14" t="s">
        <v>183</v>
      </c>
      <c r="Y495" s="14"/>
      <c r="AA495" s="6"/>
      <c r="AB495" s="6"/>
      <c r="AC495" s="6"/>
      <c r="AD495" s="6"/>
      <c r="AE495" s="6"/>
    </row>
    <row r="496" spans="4:41" ht="24.75" customHeight="1">
      <c r="D496" s="5" t="s">
        <v>151</v>
      </c>
      <c r="F496" s="14" t="s">
        <v>152</v>
      </c>
      <c r="J496" s="5" t="s">
        <v>89</v>
      </c>
      <c r="K496" s="102">
        <f>AI494</f>
        <v>8829943.060230814</v>
      </c>
      <c r="L496" s="102"/>
      <c r="M496" s="102"/>
      <c r="N496" s="102"/>
      <c r="O496" s="102"/>
      <c r="P496" s="17" t="s">
        <v>88</v>
      </c>
      <c r="Q496" s="89">
        <f>+AA476</f>
        <v>96000</v>
      </c>
      <c r="R496" s="89"/>
      <c r="S496" s="89"/>
      <c r="T496" s="89"/>
      <c r="U496" s="8" t="s">
        <v>30</v>
      </c>
      <c r="V496" s="113">
        <f>ROUNDUP(K496/Q496,1)</f>
        <v>92</v>
      </c>
      <c r="W496" s="113"/>
      <c r="X496" s="113"/>
      <c r="Y496" s="113"/>
      <c r="AA496" s="92" t="s">
        <v>43</v>
      </c>
      <c r="AB496" s="92"/>
      <c r="AC496" s="6"/>
      <c r="AE496" s="164">
        <v>92</v>
      </c>
      <c r="AF496" s="164"/>
      <c r="AG496" s="164"/>
      <c r="AH496" s="164"/>
      <c r="AI496" s="92" t="s">
        <v>5</v>
      </c>
      <c r="AJ496" s="92"/>
      <c r="AK496" s="92"/>
      <c r="AL496" s="92"/>
      <c r="AM496" s="92"/>
      <c r="AO496" s="5" t="str">
        <f>IF(V496&lt;=AE496,"O.K.","N.G.")</f>
        <v>O.K.</v>
      </c>
    </row>
    <row r="497" ht="24.75" customHeight="1">
      <c r="C497" s="5" t="s">
        <v>239</v>
      </c>
    </row>
    <row r="498" spans="4:33" ht="24.75" customHeight="1">
      <c r="D498" s="18" t="s">
        <v>184</v>
      </c>
      <c r="E498" s="18"/>
      <c r="F498" s="18"/>
      <c r="G498" s="18"/>
      <c r="H498" s="18"/>
      <c r="I498" s="18"/>
      <c r="J498" s="18"/>
      <c r="P498" s="15"/>
      <c r="Q498" s="102">
        <f>AI494</f>
        <v>8829943.060230814</v>
      </c>
      <c r="R498" s="102"/>
      <c r="S498" s="102"/>
      <c r="T498" s="102"/>
      <c r="U498" s="102"/>
      <c r="V498" s="17" t="s">
        <v>88</v>
      </c>
      <c r="W498" s="108">
        <f>Z475</f>
        <v>210</v>
      </c>
      <c r="X498" s="108"/>
      <c r="Y498" s="108"/>
      <c r="Z498" s="108"/>
      <c r="AA498" s="8" t="s">
        <v>34</v>
      </c>
      <c r="AB498" s="89">
        <f>Q498/W498</f>
        <v>42047.34790586102</v>
      </c>
      <c r="AC498" s="89"/>
      <c r="AD498" s="89"/>
      <c r="AE498" s="89"/>
      <c r="AF498" s="92" t="s">
        <v>101</v>
      </c>
      <c r="AG498" s="92"/>
    </row>
    <row r="499" spans="4:27" ht="24.75" customHeight="1">
      <c r="D499" s="5" t="s">
        <v>240</v>
      </c>
      <c r="I499" s="165">
        <v>2</v>
      </c>
      <c r="J499" s="165"/>
      <c r="K499" s="165"/>
      <c r="L499" s="126">
        <v>80</v>
      </c>
      <c r="M499" s="126"/>
      <c r="N499" s="126"/>
      <c r="O499" s="163">
        <v>9</v>
      </c>
      <c r="P499" s="163"/>
      <c r="Q499" s="127">
        <v>630</v>
      </c>
      <c r="R499" s="127"/>
      <c r="S499" s="127"/>
      <c r="T499" s="127"/>
      <c r="U499" s="5" t="s">
        <v>31</v>
      </c>
      <c r="W499" s="89">
        <f>+L499*O499*I499</f>
        <v>1440</v>
      </c>
      <c r="X499" s="89"/>
      <c r="Y499" s="89"/>
      <c r="Z499" s="89"/>
      <c r="AA499" s="5" t="s">
        <v>101</v>
      </c>
    </row>
    <row r="500" spans="9:45" ht="24.75" customHeight="1">
      <c r="I500" s="165">
        <v>3</v>
      </c>
      <c r="J500" s="165"/>
      <c r="K500" s="165"/>
      <c r="L500" s="126">
        <v>680</v>
      </c>
      <c r="M500" s="126"/>
      <c r="N500" s="126"/>
      <c r="O500" s="163">
        <v>9</v>
      </c>
      <c r="P500" s="163"/>
      <c r="Q500" s="127">
        <f>Q499</f>
        <v>630</v>
      </c>
      <c r="R500" s="127"/>
      <c r="S500" s="127"/>
      <c r="T500" s="127"/>
      <c r="U500" s="5" t="s">
        <v>31</v>
      </c>
      <c r="W500" s="89">
        <f>+L500*O500*I500</f>
        <v>18360</v>
      </c>
      <c r="X500" s="89"/>
      <c r="Y500" s="89"/>
      <c r="Z500" s="89"/>
      <c r="AA500" s="5" t="s">
        <v>101</v>
      </c>
      <c r="AR500" s="18"/>
      <c r="AS500" s="18"/>
    </row>
    <row r="501" spans="9:28" ht="24.75" customHeight="1">
      <c r="I501" s="165">
        <v>1</v>
      </c>
      <c r="J501" s="165"/>
      <c r="K501" s="165"/>
      <c r="L501" s="126">
        <f>+AM486-10</f>
        <v>2630</v>
      </c>
      <c r="M501" s="126"/>
      <c r="N501" s="126"/>
      <c r="O501" s="163">
        <v>9</v>
      </c>
      <c r="P501" s="163"/>
      <c r="Q501" s="127">
        <f>Q500</f>
        <v>630</v>
      </c>
      <c r="R501" s="127"/>
      <c r="S501" s="127"/>
      <c r="T501" s="127"/>
      <c r="U501" s="19" t="s">
        <v>31</v>
      </c>
      <c r="V501" s="19"/>
      <c r="W501" s="105">
        <f>+L501*O501*I501</f>
        <v>23670</v>
      </c>
      <c r="X501" s="105"/>
      <c r="Y501" s="105"/>
      <c r="Z501" s="105"/>
      <c r="AA501" s="19" t="s">
        <v>101</v>
      </c>
      <c r="AB501" s="19"/>
    </row>
    <row r="502" spans="21:39" ht="24.75" customHeight="1">
      <c r="U502" s="5" t="s">
        <v>32</v>
      </c>
      <c r="W502" s="89">
        <f>+SUM(W499:W501)</f>
        <v>43470</v>
      </c>
      <c r="X502" s="89"/>
      <c r="Y502" s="89"/>
      <c r="Z502" s="89"/>
      <c r="AA502" s="92" t="str">
        <f>IF(W502&gt;AB498,"mm² ＞  Asreq'd =","mm² ＜   Asreq'd =")</f>
        <v>mm² ＞  Asreq'd =</v>
      </c>
      <c r="AB502" s="92"/>
      <c r="AC502" s="92"/>
      <c r="AD502" s="92"/>
      <c r="AE502" s="92"/>
      <c r="AF502" s="92"/>
      <c r="AG502" s="92"/>
      <c r="AH502" s="92"/>
      <c r="AI502" s="89">
        <f>+AB498</f>
        <v>42047.34790586102</v>
      </c>
      <c r="AJ502" s="89"/>
      <c r="AK502" s="89"/>
      <c r="AL502" s="89"/>
      <c r="AM502" s="5" t="str">
        <f>IF(W502&gt;AB498,"mm² O.K","mm² N.G")</f>
        <v>mm² O.K</v>
      </c>
    </row>
    <row r="503" spans="4:38" ht="24.75" customHeight="1">
      <c r="D503" s="4" t="s">
        <v>241</v>
      </c>
      <c r="E503" s="4"/>
      <c r="F503" s="4"/>
      <c r="G503" s="4"/>
      <c r="H503" s="4"/>
      <c r="I503" s="4"/>
      <c r="J503" s="4"/>
      <c r="K503" s="4"/>
      <c r="O503" s="5" t="s">
        <v>89</v>
      </c>
      <c r="P503" s="102">
        <f>AI494</f>
        <v>8829943.060230814</v>
      </c>
      <c r="Q503" s="102"/>
      <c r="R503" s="102"/>
      <c r="S503" s="102"/>
      <c r="T503" s="102"/>
      <c r="U503" s="17" t="s">
        <v>88</v>
      </c>
      <c r="V503" s="89">
        <f>W502</f>
        <v>43470</v>
      </c>
      <c r="W503" s="89"/>
      <c r="X503" s="89"/>
      <c r="Y503" s="89"/>
      <c r="Z503" s="8" t="s">
        <v>34</v>
      </c>
      <c r="AA503" s="134">
        <f>P503/V503</f>
        <v>203.1272845693769</v>
      </c>
      <c r="AB503" s="134"/>
      <c r="AC503" s="134"/>
      <c r="AD503" s="134"/>
      <c r="AE503" s="134"/>
      <c r="AF503" s="18" t="str">
        <f>IF(AA503&gt;Z475,"N/㎟ ＞  σca , N.G","N/㎟＜  σca , O.K")</f>
        <v>N/㎟＜  σca , O.K</v>
      </c>
      <c r="AG503" s="18"/>
      <c r="AH503" s="18"/>
      <c r="AI503" s="18"/>
      <c r="AJ503" s="18"/>
      <c r="AK503" s="18"/>
      <c r="AL503" s="18"/>
    </row>
    <row r="504" spans="4:44" ht="24.75" customHeight="1">
      <c r="D504" s="21"/>
      <c r="E504" s="21"/>
      <c r="F504" s="21"/>
      <c r="G504" s="21"/>
      <c r="H504" s="21"/>
      <c r="I504" s="21"/>
      <c r="J504" s="21"/>
      <c r="K504" s="21"/>
      <c r="W504" s="8"/>
      <c r="X504" s="20"/>
      <c r="Y504" s="20"/>
      <c r="Z504" s="20"/>
      <c r="AA504" s="20"/>
      <c r="AR504" s="18"/>
    </row>
    <row r="505" ht="24.75" customHeight="1">
      <c r="C505" s="5" t="s">
        <v>192</v>
      </c>
    </row>
    <row r="506" spans="3:23" ht="24.75" customHeight="1">
      <c r="C506" s="5" t="s">
        <v>193</v>
      </c>
      <c r="M506" s="13"/>
      <c r="N506" s="13"/>
      <c r="O506" s="14"/>
      <c r="P506" s="15"/>
      <c r="Q506" s="15"/>
      <c r="R506" s="15"/>
      <c r="S506" s="14"/>
      <c r="T506" s="16"/>
      <c r="U506" s="16"/>
      <c r="V506" s="16"/>
      <c r="W506" s="16"/>
    </row>
    <row r="507" spans="4:38" ht="24.75" customHeight="1">
      <c r="D507" s="4" t="s">
        <v>153</v>
      </c>
      <c r="E507" s="21"/>
      <c r="F507" s="21"/>
      <c r="G507" s="13"/>
      <c r="H507" s="13"/>
      <c r="I507" s="8"/>
      <c r="J507" s="102">
        <f>AI494</f>
        <v>8829943.060230814</v>
      </c>
      <c r="K507" s="102"/>
      <c r="L507" s="102"/>
      <c r="M507" s="102"/>
      <c r="N507" s="102"/>
      <c r="O507" s="17" t="s">
        <v>88</v>
      </c>
      <c r="P507" s="133">
        <f>+AE496</f>
        <v>92</v>
      </c>
      <c r="Q507" s="133"/>
      <c r="R507" s="133"/>
      <c r="S507" s="133"/>
      <c r="U507" s="8" t="s">
        <v>34</v>
      </c>
      <c r="V507" s="100">
        <f>J507/P507</f>
        <v>95977.64195903059</v>
      </c>
      <c r="W507" s="100"/>
      <c r="X507" s="100"/>
      <c r="Y507" s="100"/>
      <c r="Z507" s="100"/>
      <c r="AA507" s="18" t="s">
        <v>202</v>
      </c>
      <c r="AB507" s="8"/>
      <c r="AC507" s="8"/>
      <c r="AD507" s="18" t="str">
        <f>IF(V507&gt;AA476," ＞  ρa    N.G","＜ ρa    O.K")</f>
        <v>＜ ρa    O.K</v>
      </c>
      <c r="AE507" s="8"/>
      <c r="AF507" s="8"/>
      <c r="AG507" s="8"/>
      <c r="AH507" s="8"/>
      <c r="AI507" s="8"/>
      <c r="AJ507" s="8"/>
      <c r="AK507" s="8"/>
      <c r="AL507" s="8"/>
    </row>
    <row r="508" spans="3:38" ht="24.75" customHeight="1">
      <c r="C508" s="14"/>
      <c r="D508" s="34"/>
      <c r="E508" s="34"/>
      <c r="F508" s="34"/>
      <c r="G508" s="13"/>
      <c r="H508" s="13"/>
      <c r="I508" s="13"/>
      <c r="J508" s="14"/>
      <c r="K508" s="14"/>
      <c r="L508" s="14"/>
      <c r="M508" s="35"/>
      <c r="N508" s="35"/>
      <c r="O508" s="35"/>
      <c r="P508" s="35"/>
      <c r="Q508" s="14"/>
      <c r="R508" s="14"/>
      <c r="S508" s="14"/>
      <c r="T508" s="14"/>
      <c r="U508" s="13"/>
      <c r="V508" s="71"/>
      <c r="W508" s="71"/>
      <c r="X508" s="71"/>
      <c r="Y508" s="71"/>
      <c r="Z508" s="71"/>
      <c r="AA508" s="13"/>
      <c r="AB508" s="13"/>
      <c r="AC508" s="13"/>
      <c r="AD508" s="13"/>
      <c r="AE508" s="13"/>
      <c r="AF508" s="13"/>
      <c r="AG508" s="13"/>
      <c r="AH508" s="13"/>
      <c r="AI508" s="13"/>
      <c r="AJ508" s="13"/>
      <c r="AK508" s="13"/>
      <c r="AL508" s="8"/>
    </row>
    <row r="509" spans="3:38" ht="24.75" customHeight="1">
      <c r="C509" s="5" t="s">
        <v>206</v>
      </c>
      <c r="D509" s="21"/>
      <c r="E509" s="21"/>
      <c r="F509" s="21"/>
      <c r="G509" s="8"/>
      <c r="H509" s="8"/>
      <c r="I509" s="8"/>
      <c r="U509" s="8"/>
      <c r="V509" s="22"/>
      <c r="W509" s="22"/>
      <c r="X509" s="22"/>
      <c r="Y509" s="22"/>
      <c r="Z509" s="22"/>
      <c r="AA509" s="8"/>
      <c r="AB509" s="8"/>
      <c r="AC509" s="8"/>
      <c r="AD509" s="8"/>
      <c r="AE509" s="8"/>
      <c r="AF509" s="8"/>
      <c r="AG509" s="8"/>
      <c r="AH509" s="8"/>
      <c r="AI509" s="8"/>
      <c r="AJ509" s="8"/>
      <c r="AK509" s="8"/>
      <c r="AL509" s="8"/>
    </row>
    <row r="510" spans="4:47" ht="24.75" customHeight="1">
      <c r="D510" s="5" t="s">
        <v>205</v>
      </c>
      <c r="AU510" s="23"/>
    </row>
    <row r="511" spans="5:47" ht="24.75" customHeight="1">
      <c r="E511" s="5" t="s">
        <v>211</v>
      </c>
      <c r="AU511" s="23"/>
    </row>
    <row r="512" ht="24.75" customHeight="1">
      <c r="D512" s="5" t="s">
        <v>7</v>
      </c>
    </row>
    <row r="513" spans="3:36" ht="24.75" customHeight="1">
      <c r="C513" s="106" t="s">
        <v>49</v>
      </c>
      <c r="D513" s="106"/>
      <c r="E513" s="106"/>
      <c r="G513" s="105">
        <f>O472</f>
        <v>772.6456437</v>
      </c>
      <c r="H513" s="105"/>
      <c r="I513" s="105"/>
      <c r="J513" s="19" t="s">
        <v>41</v>
      </c>
      <c r="K513" s="97">
        <v>1000000</v>
      </c>
      <c r="L513" s="97"/>
      <c r="M513" s="97"/>
      <c r="N513" s="97"/>
      <c r="P513" s="106" t="s">
        <v>47</v>
      </c>
      <c r="Q513" s="106"/>
      <c r="R513" s="122">
        <f>P507</f>
        <v>92</v>
      </c>
      <c r="S513" s="122"/>
      <c r="T513" s="122"/>
      <c r="U513" s="92" t="s">
        <v>34</v>
      </c>
      <c r="V513" s="92"/>
      <c r="W513" s="102">
        <f>ROUND((G513*K513/(I514*K514))/R513,1)</f>
        <v>1908.7</v>
      </c>
      <c r="X513" s="102"/>
      <c r="Y513" s="102"/>
      <c r="Z513" s="102"/>
      <c r="AA513" s="92" t="str">
        <f>IF(W513&gt;AA476,"N/本   ＞ ρa   N.G.","N/本  ＜  ρa   O.K.")</f>
        <v>N/本  ＜  ρa   O.K.</v>
      </c>
      <c r="AB513" s="92"/>
      <c r="AC513" s="92"/>
      <c r="AD513" s="92"/>
      <c r="AE513" s="92"/>
      <c r="AF513" s="92"/>
      <c r="AG513" s="92"/>
      <c r="AH513" s="92"/>
      <c r="AI513" s="92"/>
      <c r="AJ513" s="92"/>
    </row>
    <row r="514" spans="3:36" ht="24.75" customHeight="1">
      <c r="C514" s="106"/>
      <c r="D514" s="106"/>
      <c r="E514" s="106"/>
      <c r="I514" s="8">
        <v>2</v>
      </c>
      <c r="J514" s="14" t="s">
        <v>41</v>
      </c>
      <c r="K514" s="24">
        <f>AM613</f>
        <v>2200</v>
      </c>
      <c r="L514" s="25"/>
      <c r="M514" s="25"/>
      <c r="P514" s="106"/>
      <c r="Q514" s="106"/>
      <c r="R514" s="122"/>
      <c r="S514" s="122"/>
      <c r="T514" s="122"/>
      <c r="U514" s="92"/>
      <c r="V514" s="92"/>
      <c r="W514" s="102"/>
      <c r="X514" s="102"/>
      <c r="Y514" s="102"/>
      <c r="Z514" s="102"/>
      <c r="AA514" s="92"/>
      <c r="AB514" s="92"/>
      <c r="AC514" s="92"/>
      <c r="AD514" s="92"/>
      <c r="AE514" s="92"/>
      <c r="AF514" s="92"/>
      <c r="AG514" s="92"/>
      <c r="AH514" s="92"/>
      <c r="AI514" s="92"/>
      <c r="AJ514" s="92"/>
    </row>
    <row r="516" spans="3:9" ht="24.75" customHeight="1">
      <c r="C516" s="5" t="s">
        <v>212</v>
      </c>
      <c r="I516" s="23"/>
    </row>
    <row r="517" spans="4:31" ht="24.75" customHeight="1">
      <c r="D517" s="5" t="s">
        <v>50</v>
      </c>
      <c r="P517" s="119">
        <f>V507</f>
        <v>95977.64195903059</v>
      </c>
      <c r="Q517" s="119"/>
      <c r="R517" s="119"/>
      <c r="S517" s="119"/>
      <c r="T517" s="5" t="s">
        <v>48</v>
      </c>
      <c r="U517" s="104">
        <f>+W513</f>
        <v>1908.7</v>
      </c>
      <c r="V517" s="104"/>
      <c r="W517" s="104"/>
      <c r="X517" s="104"/>
      <c r="Y517" s="5" t="s">
        <v>33</v>
      </c>
      <c r="AA517" s="100">
        <f>ROUND(SQRT(P517^2+U517^2),1)</f>
        <v>95996.6</v>
      </c>
      <c r="AB517" s="100"/>
      <c r="AC517" s="100"/>
      <c r="AD517" s="100"/>
      <c r="AE517" s="5" t="str">
        <f>IF(AA517&gt;$AA$10,"N/本  ＞  ρa ,  N.G","N/本  ＜  ρa ,  O.K")</f>
        <v>N/本  ＜  ρa ,  O.K</v>
      </c>
    </row>
    <row r="518" spans="16:30" ht="24.75" customHeight="1">
      <c r="P518" s="26"/>
      <c r="Q518" s="26"/>
      <c r="R518" s="26"/>
      <c r="S518" s="26"/>
      <c r="U518" s="26"/>
      <c r="V518" s="26"/>
      <c r="W518" s="26"/>
      <c r="X518" s="26"/>
      <c r="AA518" s="9"/>
      <c r="AB518" s="9"/>
      <c r="AC518" s="9"/>
      <c r="AD518" s="9"/>
    </row>
    <row r="519" spans="2:11" ht="24.75" customHeight="1">
      <c r="B519" s="5" t="s">
        <v>187</v>
      </c>
      <c r="H519" s="27"/>
      <c r="K519" s="9"/>
    </row>
    <row r="520" spans="7:9" ht="24.75" customHeight="1">
      <c r="G520" s="27"/>
      <c r="I520" s="27"/>
    </row>
    <row r="521" spans="5:17" ht="24.75" customHeight="1">
      <c r="E521" s="166"/>
      <c r="F521" s="166"/>
      <c r="G521" s="166"/>
      <c r="K521" s="29"/>
      <c r="L521" s="29"/>
      <c r="M521" s="29"/>
      <c r="N521" s="166"/>
      <c r="Q521" s="30"/>
    </row>
    <row r="522" spans="17:31" ht="24.75" customHeight="1">
      <c r="Q522" s="30"/>
      <c r="U522" s="31"/>
      <c r="V522" s="31"/>
      <c r="X522" s="5" t="s">
        <v>185</v>
      </c>
      <c r="AB522" s="163">
        <v>150</v>
      </c>
      <c r="AC522" s="163"/>
      <c r="AD522" s="163"/>
      <c r="AE522" s="5" t="s">
        <v>84</v>
      </c>
    </row>
    <row r="523" spans="17:31" ht="24.75" customHeight="1">
      <c r="Q523" s="30"/>
      <c r="R523" s="30"/>
      <c r="S523" s="32"/>
      <c r="T523" s="32"/>
      <c r="U523" s="167"/>
      <c r="V523" s="33"/>
      <c r="X523" s="5" t="s">
        <v>186</v>
      </c>
      <c r="AB523" s="163">
        <v>14</v>
      </c>
      <c r="AC523" s="163"/>
      <c r="AD523" s="163"/>
      <c r="AE523" s="5" t="s">
        <v>84</v>
      </c>
    </row>
    <row r="524" spans="1:19" ht="24.75" customHeight="1">
      <c r="A524" s="53"/>
      <c r="B524" s="53"/>
      <c r="C524" s="53"/>
      <c r="D524" s="53"/>
      <c r="E524" s="53"/>
      <c r="F524" s="53"/>
      <c r="G524" s="53"/>
      <c r="H524" s="53"/>
      <c r="I524" s="53"/>
      <c r="J524" s="53"/>
      <c r="K524" s="53"/>
      <c r="L524" s="53"/>
      <c r="M524" s="53"/>
      <c r="N524" s="53"/>
      <c r="O524" s="53"/>
      <c r="P524" s="53"/>
      <c r="Q524" s="53"/>
      <c r="R524" s="53"/>
      <c r="S524" s="53"/>
    </row>
    <row r="525" spans="7:11" ht="24.75" customHeight="1">
      <c r="G525" s="27"/>
      <c r="I525" s="27"/>
      <c r="K525" s="9"/>
    </row>
    <row r="526" ht="24.75" customHeight="1">
      <c r="C526" s="5" t="s">
        <v>181</v>
      </c>
    </row>
    <row r="527" spans="4:41" ht="24.75" customHeight="1">
      <c r="D527" s="106" t="s">
        <v>42</v>
      </c>
      <c r="E527" s="106"/>
      <c r="F527" s="19" t="str">
        <f>IF(O470&gt;0,"As σu","As σl")</f>
        <v>As σl</v>
      </c>
      <c r="G527" s="19"/>
      <c r="H527" s="19"/>
      <c r="I527" s="92" t="s">
        <v>34</v>
      </c>
      <c r="J527" s="97">
        <f>+AB523</f>
        <v>14</v>
      </c>
      <c r="K527" s="97"/>
      <c r="L527" s="19" t="s">
        <v>41</v>
      </c>
      <c r="M527" s="132">
        <f>+AB522</f>
        <v>150</v>
      </c>
      <c r="N527" s="132"/>
      <c r="O527" s="132"/>
      <c r="P527" s="19" t="s">
        <v>41</v>
      </c>
      <c r="Q527" s="105">
        <f>P481</f>
        <v>157.5</v>
      </c>
      <c r="R527" s="105"/>
      <c r="S527" s="105"/>
      <c r="T527" s="105"/>
      <c r="U527" s="92" t="s">
        <v>30</v>
      </c>
      <c r="V527" s="113">
        <f>ROUND(+J527*M527*Q527/M528,1)</f>
        <v>3.4</v>
      </c>
      <c r="W527" s="113"/>
      <c r="X527" s="113"/>
      <c r="Y527" s="113"/>
      <c r="Z527" s="92" t="s">
        <v>43</v>
      </c>
      <c r="AA527" s="92"/>
      <c r="AB527" s="92"/>
      <c r="AC527" s="164">
        <v>5</v>
      </c>
      <c r="AD527" s="164"/>
      <c r="AE527" s="164"/>
      <c r="AF527" s="164"/>
      <c r="AG527" s="92" t="s">
        <v>4</v>
      </c>
      <c r="AH527" s="92"/>
      <c r="AI527" s="92"/>
      <c r="AJ527" s="92"/>
      <c r="AM527" s="92" t="str">
        <f>IF(V527&lt;=AC527,"O.K.","N.G.")</f>
        <v>O.K.</v>
      </c>
      <c r="AN527" s="92"/>
      <c r="AO527" s="92"/>
    </row>
    <row r="528" spans="4:51" ht="24.75" customHeight="1">
      <c r="D528" s="106"/>
      <c r="E528" s="106"/>
      <c r="F528" s="92" t="s">
        <v>44</v>
      </c>
      <c r="G528" s="92"/>
      <c r="H528" s="92"/>
      <c r="I528" s="92"/>
      <c r="M528" s="89">
        <f>AA476</f>
        <v>96000</v>
      </c>
      <c r="N528" s="89"/>
      <c r="O528" s="89"/>
      <c r="P528" s="89"/>
      <c r="U528" s="92"/>
      <c r="V528" s="113"/>
      <c r="W528" s="113"/>
      <c r="X528" s="113"/>
      <c r="Y528" s="113"/>
      <c r="Z528" s="92"/>
      <c r="AA528" s="92"/>
      <c r="AB528" s="92"/>
      <c r="AC528" s="164"/>
      <c r="AD528" s="164"/>
      <c r="AE528" s="164"/>
      <c r="AF528" s="164"/>
      <c r="AG528" s="92"/>
      <c r="AH528" s="92"/>
      <c r="AI528" s="92"/>
      <c r="AJ528" s="92"/>
      <c r="AM528" s="92"/>
      <c r="AN528" s="92"/>
      <c r="AO528" s="92"/>
      <c r="AW528" s="8"/>
      <c r="AY528" s="18"/>
    </row>
    <row r="529" ht="24.75" customHeight="1">
      <c r="C529" s="5" t="s">
        <v>239</v>
      </c>
    </row>
    <row r="530" spans="4:28" ht="24.75" customHeight="1">
      <c r="D530" s="92" t="s">
        <v>188</v>
      </c>
      <c r="E530" s="106"/>
      <c r="F530" s="106"/>
      <c r="G530" s="106"/>
      <c r="H530" s="106"/>
      <c r="I530" s="106"/>
      <c r="J530" s="106"/>
      <c r="K530" s="132">
        <f>+J527</f>
        <v>14</v>
      </c>
      <c r="L530" s="132"/>
      <c r="M530" s="19" t="s">
        <v>41</v>
      </c>
      <c r="N530" s="132">
        <f>+M527</f>
        <v>150</v>
      </c>
      <c r="O530" s="132"/>
      <c r="P530" s="132"/>
      <c r="Q530" s="19" t="s">
        <v>41</v>
      </c>
      <c r="R530" s="105">
        <f>+Q527</f>
        <v>157.5</v>
      </c>
      <c r="S530" s="105"/>
      <c r="T530" s="105"/>
      <c r="U530" s="105"/>
      <c r="V530" s="92" t="s">
        <v>34</v>
      </c>
      <c r="W530" s="89">
        <f>+K530*N530*R530/N531</f>
        <v>1575</v>
      </c>
      <c r="X530" s="89"/>
      <c r="Y530" s="89"/>
      <c r="Z530" s="89"/>
      <c r="AA530" s="103" t="s">
        <v>101</v>
      </c>
      <c r="AB530" s="103"/>
    </row>
    <row r="531" spans="4:54" ht="24.75" customHeight="1">
      <c r="D531" s="106"/>
      <c r="E531" s="106"/>
      <c r="F531" s="106"/>
      <c r="G531" s="106"/>
      <c r="H531" s="106"/>
      <c r="I531" s="106"/>
      <c r="J531" s="106"/>
      <c r="N531" s="89">
        <f>Z475</f>
        <v>210</v>
      </c>
      <c r="O531" s="89"/>
      <c r="P531" s="89"/>
      <c r="Q531" s="89"/>
      <c r="V531" s="92"/>
      <c r="W531" s="89"/>
      <c r="X531" s="89"/>
      <c r="Y531" s="89"/>
      <c r="Z531" s="89"/>
      <c r="AA531" s="103"/>
      <c r="AB531" s="103"/>
      <c r="AX531" s="23"/>
      <c r="AZ531" s="23"/>
      <c r="BB531" s="23"/>
    </row>
    <row r="532" spans="4:54" ht="24.75" customHeight="1">
      <c r="D532" s="5" t="s">
        <v>240</v>
      </c>
      <c r="I532" s="165">
        <v>2</v>
      </c>
      <c r="J532" s="165"/>
      <c r="K532" s="165"/>
      <c r="L532" s="126">
        <v>80</v>
      </c>
      <c r="M532" s="126"/>
      <c r="N532" s="126"/>
      <c r="O532" s="92">
        <v>9</v>
      </c>
      <c r="P532" s="92"/>
      <c r="Q532" s="127">
        <v>780</v>
      </c>
      <c r="R532" s="127"/>
      <c r="S532" s="127"/>
      <c r="T532" s="127"/>
      <c r="U532" s="5" t="s">
        <v>31</v>
      </c>
      <c r="W532" s="89">
        <f>+L532*O532*I532</f>
        <v>1440</v>
      </c>
      <c r="X532" s="89"/>
      <c r="Y532" s="89"/>
      <c r="Z532" s="89"/>
      <c r="AA532" s="5" t="s">
        <v>101</v>
      </c>
      <c r="AD532" s="5" t="str">
        <f>IF(W532&gt;=W530,"O.K.","N.G.")</f>
        <v>N.G.</v>
      </c>
      <c r="AT532" s="4"/>
      <c r="BB532" s="8"/>
    </row>
    <row r="534" spans="2:15" ht="24.75" customHeight="1">
      <c r="B534" s="5" t="s">
        <v>1</v>
      </c>
      <c r="I534" s="92" t="str">
        <f>IF(O470&gt;0,"(下フランジ)","(上フランジ)")</f>
        <v>(上フランジ)</v>
      </c>
      <c r="J534" s="92"/>
      <c r="K534" s="92"/>
      <c r="L534" s="92"/>
      <c r="M534" s="92"/>
      <c r="N534" s="92"/>
      <c r="O534" s="5" t="s">
        <v>249</v>
      </c>
    </row>
    <row r="535" spans="3:10" ht="24.75" customHeight="1">
      <c r="C535" s="5" t="s">
        <v>115</v>
      </c>
      <c r="E535" s="131">
        <f>IF(O470&gt;0,ABS(O474),ABS(O473))</f>
        <v>54.949231209</v>
      </c>
      <c r="F535" s="131"/>
      <c r="G535" s="131"/>
      <c r="H535" s="131"/>
      <c r="I535" s="131"/>
      <c r="J535" s="5" t="s">
        <v>218</v>
      </c>
    </row>
    <row r="536" spans="3:22" ht="24.75" customHeight="1">
      <c r="C536" s="5" t="s">
        <v>116</v>
      </c>
      <c r="E536" s="130">
        <f>+E480</f>
        <v>0.75</v>
      </c>
      <c r="F536" s="130"/>
      <c r="G536" s="130"/>
      <c r="H536" s="130"/>
      <c r="I536" s="5" t="s">
        <v>41</v>
      </c>
      <c r="J536" s="102">
        <f>O475</f>
        <v>210</v>
      </c>
      <c r="K536" s="102"/>
      <c r="L536" s="102"/>
      <c r="M536" s="5" t="s">
        <v>34</v>
      </c>
      <c r="N536" s="89">
        <f>+E536*J536</f>
        <v>157.5</v>
      </c>
      <c r="O536" s="89"/>
      <c r="P536" s="89"/>
      <c r="Q536" s="89"/>
      <c r="R536" s="5" t="str">
        <f>+J535</f>
        <v>N/㎟</v>
      </c>
      <c r="T536" s="10"/>
      <c r="U536" s="11"/>
      <c r="V536" s="12" t="s">
        <v>178</v>
      </c>
    </row>
    <row r="537" spans="3:20" ht="24.75" customHeight="1">
      <c r="C537" s="5" t="s">
        <v>247</v>
      </c>
      <c r="L537" s="5" t="str">
        <f>IF(O470&gt;0,"σl","σu")</f>
        <v>σu</v>
      </c>
      <c r="N537" s="5" t="s">
        <v>179</v>
      </c>
      <c r="P537" s="89">
        <f>+MAX(E535,N536)</f>
        <v>157.5</v>
      </c>
      <c r="Q537" s="89"/>
      <c r="R537" s="89"/>
      <c r="S537" s="89"/>
      <c r="T537" s="5" t="s">
        <v>222</v>
      </c>
    </row>
    <row r="539" ht="24.75" customHeight="1">
      <c r="G539" s="9"/>
    </row>
    <row r="540" spans="7:42" ht="24.75" customHeight="1">
      <c r="G540" s="9"/>
      <c r="AH540" s="5" t="s">
        <v>180</v>
      </c>
      <c r="AM540" s="163">
        <v>21</v>
      </c>
      <c r="AN540" s="163"/>
      <c r="AO540" s="163"/>
      <c r="AP540" s="5" t="s">
        <v>84</v>
      </c>
    </row>
    <row r="541" spans="7:42" ht="24.75" customHeight="1">
      <c r="G541" s="9"/>
      <c r="AH541" s="5" t="s">
        <v>217</v>
      </c>
      <c r="AM541" s="163">
        <v>2340</v>
      </c>
      <c r="AN541" s="163"/>
      <c r="AO541" s="163"/>
      <c r="AP541" s="5" t="s">
        <v>84</v>
      </c>
    </row>
    <row r="542" spans="34:43" ht="24.75" customHeight="1">
      <c r="AH542" s="5" t="s">
        <v>210</v>
      </c>
      <c r="AO542" s="163">
        <v>120</v>
      </c>
      <c r="AP542" s="163"/>
      <c r="AQ542" s="5" t="s">
        <v>84</v>
      </c>
    </row>
    <row r="543" spans="34:38" ht="24.75" customHeight="1">
      <c r="AH543" s="5" t="s">
        <v>201</v>
      </c>
      <c r="AL543" s="5" t="s">
        <v>213</v>
      </c>
    </row>
    <row r="544" spans="5:38" ht="24.75" customHeight="1">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row>
    <row r="545" spans="5:38" ht="24.75" customHeight="1">
      <c r="E545" s="34"/>
      <c r="F545" s="34"/>
      <c r="G545" s="14"/>
      <c r="H545" s="14"/>
      <c r="I545" s="14"/>
      <c r="J545" s="13"/>
      <c r="K545" s="13"/>
      <c r="L545" s="13"/>
      <c r="M545" s="14"/>
      <c r="N545" s="16"/>
      <c r="O545" s="16"/>
      <c r="P545" s="16"/>
      <c r="Q545" s="14"/>
      <c r="R545" s="16"/>
      <c r="S545" s="16"/>
      <c r="T545" s="16"/>
      <c r="U545" s="16"/>
      <c r="V545" s="13"/>
      <c r="W545" s="35"/>
      <c r="X545" s="35"/>
      <c r="Y545" s="35"/>
      <c r="Z545" s="35"/>
      <c r="AA545" s="13"/>
      <c r="AB545" s="13"/>
      <c r="AC545" s="13"/>
      <c r="AD545" s="168"/>
      <c r="AE545" s="168"/>
      <c r="AF545" s="168"/>
      <c r="AG545" s="168"/>
      <c r="AH545" s="13"/>
      <c r="AI545" s="13"/>
      <c r="AJ545" s="13"/>
      <c r="AK545" s="13"/>
      <c r="AL545" s="14"/>
    </row>
    <row r="546" spans="5:38" ht="24.75" customHeight="1">
      <c r="E546" s="34"/>
      <c r="F546" s="34"/>
      <c r="G546" s="13"/>
      <c r="H546" s="13"/>
      <c r="I546" s="13"/>
      <c r="J546" s="13"/>
      <c r="K546" s="14"/>
      <c r="L546" s="14"/>
      <c r="M546" s="14"/>
      <c r="N546" s="16"/>
      <c r="O546" s="16"/>
      <c r="P546" s="16"/>
      <c r="Q546" s="16"/>
      <c r="R546" s="14"/>
      <c r="S546" s="14"/>
      <c r="T546" s="14"/>
      <c r="U546" s="14"/>
      <c r="V546" s="13"/>
      <c r="W546" s="35"/>
      <c r="X546" s="35"/>
      <c r="Y546" s="35"/>
      <c r="Z546" s="35"/>
      <c r="AA546" s="13"/>
      <c r="AB546" s="13"/>
      <c r="AC546" s="13"/>
      <c r="AD546" s="168"/>
      <c r="AE546" s="168"/>
      <c r="AF546" s="168"/>
      <c r="AG546" s="168"/>
      <c r="AH546" s="13"/>
      <c r="AI546" s="13"/>
      <c r="AJ546" s="13"/>
      <c r="AK546" s="13"/>
      <c r="AL546" s="14"/>
    </row>
    <row r="547" spans="5:38" ht="24.75" customHeight="1">
      <c r="E547" s="13"/>
      <c r="F547" s="34"/>
      <c r="G547" s="34"/>
      <c r="H547" s="34"/>
      <c r="I547" s="34"/>
      <c r="J547" s="34"/>
      <c r="K547" s="34"/>
      <c r="L547" s="16"/>
      <c r="M547" s="16"/>
      <c r="N547" s="14"/>
      <c r="O547" s="16"/>
      <c r="P547" s="16"/>
      <c r="Q547" s="16"/>
      <c r="R547" s="14"/>
      <c r="S547" s="16"/>
      <c r="T547" s="16"/>
      <c r="U547" s="16"/>
      <c r="V547" s="16"/>
      <c r="W547" s="13"/>
      <c r="X547" s="16"/>
      <c r="Y547" s="16"/>
      <c r="Z547" s="16"/>
      <c r="AA547" s="16"/>
      <c r="AB547" s="36"/>
      <c r="AC547" s="36"/>
      <c r="AD547" s="14"/>
      <c r="AE547" s="14"/>
      <c r="AF547" s="14"/>
      <c r="AG547" s="14"/>
      <c r="AH547" s="14"/>
      <c r="AI547" s="14"/>
      <c r="AJ547" s="14"/>
      <c r="AK547" s="14"/>
      <c r="AL547" s="14"/>
    </row>
    <row r="548" spans="7:30" ht="24.75" customHeight="1">
      <c r="G548" s="34"/>
      <c r="H548" s="34"/>
      <c r="I548" s="34"/>
      <c r="J548" s="34"/>
      <c r="K548" s="34"/>
      <c r="L548" s="14"/>
      <c r="M548" s="14"/>
      <c r="N548" s="14"/>
      <c r="O548" s="16"/>
      <c r="P548" s="16"/>
      <c r="Q548" s="16"/>
      <c r="R548" s="16"/>
      <c r="S548" s="14"/>
      <c r="T548" s="14"/>
      <c r="U548" s="14"/>
      <c r="V548" s="14"/>
      <c r="W548" s="13"/>
      <c r="X548" s="16"/>
      <c r="Y548" s="16"/>
      <c r="Z548" s="16"/>
      <c r="AA548" s="16"/>
      <c r="AB548" s="36"/>
      <c r="AC548" s="36"/>
      <c r="AD548" s="14"/>
    </row>
    <row r="549" ht="24.75" customHeight="1">
      <c r="C549" s="5" t="s">
        <v>181</v>
      </c>
    </row>
    <row r="550" ht="24.75" customHeight="1">
      <c r="D550" s="5" t="s">
        <v>2</v>
      </c>
    </row>
    <row r="551" spans="4:38" ht="24.75" customHeight="1">
      <c r="D551" s="5" t="s">
        <v>3</v>
      </c>
      <c r="S551" s="5" t="s">
        <v>190</v>
      </c>
      <c r="AB551" s="150">
        <v>26.5</v>
      </c>
      <c r="AC551" s="150"/>
      <c r="AD551" s="150"/>
      <c r="AE551" s="5" t="s">
        <v>191</v>
      </c>
      <c r="AK551" s="169">
        <v>5</v>
      </c>
      <c r="AL551" s="5" t="s">
        <v>203</v>
      </c>
    </row>
    <row r="552" spans="5:71" ht="24.75" customHeight="1">
      <c r="E552" s="37" t="str">
        <f>IF(AW552=1,"Ar = ( "&amp;AB551&amp;" + "&amp;ROUND(AB551-(BA552^2/4/BG552),3)&amp;" ) × "&amp;AB599&amp;" = ","Ar = "&amp;AB551&amp;"× "&amp;BR552&amp;"本 ×"&amp;AB599&amp;" = ")</f>
        <v>Ar = 26.5× 1本 ×14 = </v>
      </c>
      <c r="F552" s="34"/>
      <c r="R552" s="128">
        <f>IF(AW552=1,(AB551+(AB551-(BA552^2/4/BG552)))*AB599,AB551*BR552*AB599)</f>
        <v>371</v>
      </c>
      <c r="S552" s="128"/>
      <c r="T552" s="128"/>
      <c r="U552" s="128"/>
      <c r="V552" s="128"/>
      <c r="W552" s="5">
        <f>IF(AW552=1,"∵ w = d - p2/4g = "&amp;AB551&amp;" - "&amp;BA552&amp;"²/ ( 4 × "&amp;BG552&amp;" ) = "&amp;ROUND(AB551-(BA552^2/4/BG552),3)&amp;" mm","")</f>
      </c>
      <c r="Y552" s="38"/>
      <c r="Z552" s="39"/>
      <c r="AA552" s="39"/>
      <c r="AB552" s="39"/>
      <c r="AD552" s="40"/>
      <c r="AE552" s="40"/>
      <c r="AF552" s="40"/>
      <c r="AG552" s="18"/>
      <c r="AI552" s="28"/>
      <c r="AJ552" s="28"/>
      <c r="AL552" s="41"/>
      <c r="AM552" s="41"/>
      <c r="AN552" s="41"/>
      <c r="AP552" s="13"/>
      <c r="AU552" s="5" t="s">
        <v>154</v>
      </c>
      <c r="AW552" s="169">
        <v>0</v>
      </c>
      <c r="AX552" s="5" t="s">
        <v>155</v>
      </c>
      <c r="AY552" s="5" t="s">
        <v>141</v>
      </c>
      <c r="BA552" s="163">
        <v>75</v>
      </c>
      <c r="BB552" s="163"/>
      <c r="BC552" s="163"/>
      <c r="BD552" s="5" t="s">
        <v>155</v>
      </c>
      <c r="BE552" s="5" t="s">
        <v>142</v>
      </c>
      <c r="BG552" s="163">
        <v>0</v>
      </c>
      <c r="BH552" s="163"/>
      <c r="BI552" s="163"/>
      <c r="BJ552" s="5" t="s">
        <v>155</v>
      </c>
      <c r="BK552" s="5" t="s">
        <v>254</v>
      </c>
      <c r="BR552" s="169">
        <v>1</v>
      </c>
      <c r="BS552" s="5" t="s">
        <v>204</v>
      </c>
    </row>
    <row r="553" spans="4:45" ht="24.75" customHeight="1">
      <c r="D553" s="5" t="s">
        <v>182</v>
      </c>
      <c r="I553" s="5" t="str">
        <f>IF(O470&gt;0,"(As＋Ar×"&amp;AK551&amp;")σs＋2 Pfwl","(As＋Ar×"&amp;AK551&amp;")σs＋2 Pfwu")</f>
        <v>(As＋Ar×5)σs＋2 Pfwu</v>
      </c>
      <c r="R553" s="5" t="s">
        <v>89</v>
      </c>
      <c r="S553" s="5" t="s">
        <v>87</v>
      </c>
      <c r="T553" s="42">
        <f>AM540*AM541</f>
        <v>49140</v>
      </c>
      <c r="U553" s="42"/>
      <c r="V553" s="43"/>
      <c r="W553" s="43" t="s">
        <v>143</v>
      </c>
      <c r="X553" s="39">
        <f>R552*AK551</f>
        <v>1855</v>
      </c>
      <c r="Y553" s="39"/>
      <c r="Z553" s="39"/>
      <c r="AA553" s="5" t="s">
        <v>144</v>
      </c>
      <c r="AB553" s="14" t="s">
        <v>137</v>
      </c>
      <c r="AC553" s="108">
        <f>P537</f>
        <v>157.5</v>
      </c>
      <c r="AD553" s="108"/>
      <c r="AE553" s="108"/>
      <c r="AF553" s="14" t="s">
        <v>143</v>
      </c>
      <c r="AG553" s="95">
        <f>IF(O470&gt;0,AD653,AD636)</f>
        <v>49071.53011540727</v>
      </c>
      <c r="AH553" s="95"/>
      <c r="AI553" s="95"/>
      <c r="AJ553" s="95"/>
      <c r="AK553" s="14" t="s">
        <v>138</v>
      </c>
      <c r="AL553" s="14"/>
      <c r="AM553" s="5" t="s">
        <v>89</v>
      </c>
      <c r="AN553" s="129">
        <f>(T553+X553)*AC553+AG553*2</f>
        <v>8129855.560230815</v>
      </c>
      <c r="AO553" s="129"/>
      <c r="AP553" s="129"/>
      <c r="AQ553" s="129"/>
      <c r="AR553" s="129"/>
      <c r="AS553" s="129"/>
    </row>
    <row r="554" spans="9:31" ht="24.75" customHeight="1">
      <c r="I554" s="5" t="s">
        <v>200</v>
      </c>
      <c r="V554" s="5" t="str">
        <f>IF(O470&gt;0,"Pfwl","Pfwu")</f>
        <v>Pfwu</v>
      </c>
      <c r="X554" s="14" t="s">
        <v>183</v>
      </c>
      <c r="Y554" s="14"/>
      <c r="AA554" s="6"/>
      <c r="AB554" s="6"/>
      <c r="AC554" s="6"/>
      <c r="AD554" s="6"/>
      <c r="AE554" s="6"/>
    </row>
    <row r="555" spans="4:41" ht="24.75" customHeight="1">
      <c r="D555" s="5" t="s">
        <v>151</v>
      </c>
      <c r="F555" s="14" t="s">
        <v>152</v>
      </c>
      <c r="J555" s="5" t="s">
        <v>89</v>
      </c>
      <c r="K555" s="102">
        <f>AN553</f>
        <v>8129855.560230815</v>
      </c>
      <c r="L555" s="102"/>
      <c r="M555" s="102"/>
      <c r="N555" s="102"/>
      <c r="O555" s="102"/>
      <c r="P555" s="102"/>
      <c r="Q555" s="17" t="s">
        <v>88</v>
      </c>
      <c r="R555" s="89">
        <f>AA476</f>
        <v>96000</v>
      </c>
      <c r="S555" s="89"/>
      <c r="T555" s="89"/>
      <c r="U555" s="89"/>
      <c r="V555" s="8" t="s">
        <v>89</v>
      </c>
      <c r="W555" s="113">
        <f>ROUND(K555/R555,1)</f>
        <v>84.7</v>
      </c>
      <c r="X555" s="113"/>
      <c r="Y555" s="113"/>
      <c r="Z555" s="113"/>
      <c r="AA555" s="92" t="s">
        <v>43</v>
      </c>
      <c r="AB555" s="92"/>
      <c r="AC555" s="6"/>
      <c r="AD555" s="6"/>
      <c r="AE555" s="164">
        <v>83</v>
      </c>
      <c r="AF555" s="164"/>
      <c r="AG555" s="164"/>
      <c r="AH555" s="164"/>
      <c r="AI555" s="92" t="s">
        <v>5</v>
      </c>
      <c r="AJ555" s="92"/>
      <c r="AK555" s="92"/>
      <c r="AL555" s="92"/>
      <c r="AM555" s="92"/>
      <c r="AO555" s="5" t="str">
        <f>IF(W555&lt;=AE555,"O.K.","N.G.")</f>
        <v>N.G.</v>
      </c>
    </row>
    <row r="556" ht="24.75" customHeight="1">
      <c r="C556" s="5" t="s">
        <v>239</v>
      </c>
    </row>
    <row r="557" spans="4:34" ht="24.75" customHeight="1">
      <c r="D557" s="18" t="s">
        <v>194</v>
      </c>
      <c r="E557" s="18"/>
      <c r="F557" s="18"/>
      <c r="G557" s="18"/>
      <c r="H557" s="18"/>
      <c r="I557" s="18"/>
      <c r="J557" s="18"/>
      <c r="P557" s="15"/>
      <c r="Q557" s="102">
        <f>AN553</f>
        <v>8129855.560230815</v>
      </c>
      <c r="R557" s="102"/>
      <c r="S557" s="102"/>
      <c r="T557" s="102"/>
      <c r="U557" s="102"/>
      <c r="V557" s="102"/>
      <c r="W557" s="17" t="s">
        <v>88</v>
      </c>
      <c r="X557" s="108">
        <f>O475</f>
        <v>210</v>
      </c>
      <c r="Y557" s="108"/>
      <c r="Z557" s="108"/>
      <c r="AA557" s="108"/>
      <c r="AB557" s="8" t="s">
        <v>34</v>
      </c>
      <c r="AC557" s="89">
        <f>Q557/X557</f>
        <v>38713.597905861025</v>
      </c>
      <c r="AD557" s="89"/>
      <c r="AE557" s="89"/>
      <c r="AF557" s="89"/>
      <c r="AG557" s="92" t="s">
        <v>101</v>
      </c>
      <c r="AH557" s="92"/>
    </row>
    <row r="558" spans="4:27" ht="24.75" customHeight="1">
      <c r="D558" s="5" t="s">
        <v>240</v>
      </c>
      <c r="I558" s="165">
        <v>2</v>
      </c>
      <c r="J558" s="165"/>
      <c r="K558" s="165"/>
      <c r="L558" s="126">
        <v>80</v>
      </c>
      <c r="M558" s="126"/>
      <c r="N558" s="126"/>
      <c r="O558" s="163">
        <v>9</v>
      </c>
      <c r="P558" s="163"/>
      <c r="Q558" s="127">
        <v>630</v>
      </c>
      <c r="R558" s="127"/>
      <c r="S558" s="127"/>
      <c r="T558" s="127"/>
      <c r="U558" s="5" t="s">
        <v>31</v>
      </c>
      <c r="W558" s="89">
        <f>+L558*O558*I558</f>
        <v>1440</v>
      </c>
      <c r="X558" s="89"/>
      <c r="Y558" s="89"/>
      <c r="Z558" s="89"/>
      <c r="AA558" s="5" t="s">
        <v>101</v>
      </c>
    </row>
    <row r="559" spans="9:27" ht="24.75" customHeight="1">
      <c r="I559" s="165">
        <v>6</v>
      </c>
      <c r="J559" s="165"/>
      <c r="K559" s="165"/>
      <c r="L559" s="126">
        <v>680</v>
      </c>
      <c r="M559" s="126"/>
      <c r="N559" s="126"/>
      <c r="O559" s="163">
        <v>9</v>
      </c>
      <c r="P559" s="163"/>
      <c r="Q559" s="127">
        <f>Q558</f>
        <v>630</v>
      </c>
      <c r="R559" s="127"/>
      <c r="S559" s="127"/>
      <c r="T559" s="127"/>
      <c r="U559" s="5" t="s">
        <v>31</v>
      </c>
      <c r="W559" s="89">
        <f>+L559*O559*I559</f>
        <v>36720</v>
      </c>
      <c r="X559" s="89"/>
      <c r="Y559" s="89"/>
      <c r="Z559" s="89"/>
      <c r="AA559" s="5" t="s">
        <v>101</v>
      </c>
    </row>
    <row r="560" spans="9:28" ht="24.75" customHeight="1">
      <c r="I560" s="165">
        <v>1</v>
      </c>
      <c r="J560" s="165"/>
      <c r="K560" s="165"/>
      <c r="L560" s="126">
        <f>+AM541-10</f>
        <v>2330</v>
      </c>
      <c r="M560" s="126"/>
      <c r="N560" s="126"/>
      <c r="O560" s="163">
        <v>9</v>
      </c>
      <c r="P560" s="163"/>
      <c r="Q560" s="127">
        <f>Q559</f>
        <v>630</v>
      </c>
      <c r="R560" s="127"/>
      <c r="S560" s="127"/>
      <c r="T560" s="127"/>
      <c r="U560" s="19" t="s">
        <v>31</v>
      </c>
      <c r="V560" s="19"/>
      <c r="W560" s="105">
        <f>+L560*O560*I560</f>
        <v>20970</v>
      </c>
      <c r="X560" s="105"/>
      <c r="Y560" s="105"/>
      <c r="Z560" s="105"/>
      <c r="AA560" s="19" t="s">
        <v>101</v>
      </c>
      <c r="AB560" s="19"/>
    </row>
    <row r="561" spans="21:27" ht="24.75" customHeight="1">
      <c r="U561" s="5" t="s">
        <v>32</v>
      </c>
      <c r="W561" s="89">
        <f>+SUM(W558:W560)</f>
        <v>59130</v>
      </c>
      <c r="X561" s="89"/>
      <c r="Y561" s="89"/>
      <c r="Z561" s="89"/>
      <c r="AA561" s="5" t="s">
        <v>101</v>
      </c>
    </row>
    <row r="562" ht="24.75" customHeight="1">
      <c r="D562" s="5" t="s">
        <v>242</v>
      </c>
    </row>
    <row r="563" spans="5:65" ht="24.75" customHeight="1">
      <c r="E563" s="5" t="s">
        <v>156</v>
      </c>
      <c r="H563" s="5" t="s">
        <v>87</v>
      </c>
      <c r="I563" s="124">
        <f>+W561</f>
        <v>59130</v>
      </c>
      <c r="J563" s="124"/>
      <c r="K563" s="124"/>
      <c r="L563" s="5" t="s">
        <v>46</v>
      </c>
      <c r="M563" s="89">
        <f>+(+H476+3)</f>
        <v>25</v>
      </c>
      <c r="N563" s="89"/>
      <c r="O563" s="89"/>
      <c r="P563" s="5" t="s">
        <v>41</v>
      </c>
      <c r="Q563" s="89">
        <f>O559</f>
        <v>9</v>
      </c>
      <c r="R563" s="89"/>
      <c r="S563" s="89"/>
      <c r="T563" s="5" t="s">
        <v>41</v>
      </c>
      <c r="U563" s="125">
        <f>BA563</f>
        <v>14</v>
      </c>
      <c r="V563" s="125"/>
      <c r="W563" s="125"/>
      <c r="X563" s="5" t="s">
        <v>41</v>
      </c>
      <c r="Y563" s="122">
        <v>2</v>
      </c>
      <c r="Z563" s="122"/>
      <c r="AA563" s="122"/>
      <c r="AB563" s="5" t="s">
        <v>140</v>
      </c>
      <c r="AC563" s="80">
        <f>IF(AW552=1,ROUND((AB551+(AB551-(BA552^2/4/BG552)))*AB599,2),ROUND(AB551*BR552*AB599,2))</f>
        <v>371</v>
      </c>
      <c r="AD563" s="80"/>
      <c r="AE563" s="80"/>
      <c r="AF563" s="5" t="s">
        <v>41</v>
      </c>
      <c r="AG563" s="122">
        <f>AK551</f>
        <v>5</v>
      </c>
      <c r="AH563" s="122"/>
      <c r="AI563" s="122"/>
      <c r="AJ563" s="5" t="s">
        <v>139</v>
      </c>
      <c r="AO563" s="5" t="str">
        <f>IF(BA563=BJ563,"","( 第1列 )")</f>
        <v>( 第1列 )</v>
      </c>
      <c r="AU563" s="5" t="s">
        <v>255</v>
      </c>
      <c r="BA563" s="163">
        <v>14</v>
      </c>
      <c r="BB563" s="163"/>
      <c r="BD563" s="5" t="s">
        <v>256</v>
      </c>
      <c r="BJ563" s="163">
        <v>23</v>
      </c>
      <c r="BK563" s="163"/>
      <c r="BM563" s="1"/>
    </row>
    <row r="564" spans="3:24" ht="24.75" customHeight="1">
      <c r="C564" s="44"/>
      <c r="E564" s="44"/>
      <c r="G564" s="5" t="s">
        <v>34</v>
      </c>
      <c r="H564" s="89">
        <f>(I563-M563*Q563*U563*Y563-AC563*AG563)*1.1</f>
        <v>56072.50000000001</v>
      </c>
      <c r="I564" s="89"/>
      <c r="J564" s="89"/>
      <c r="K564" s="89"/>
      <c r="L564" s="5" t="str">
        <f>IF(H564&gt;AC557,"mm²  ＞  Asreq'd =","cm² ＜  Asreq'd =")</f>
        <v>mm²  ＞  Asreq'd =</v>
      </c>
      <c r="T564" s="89">
        <f>AC557</f>
        <v>38713.597905861025</v>
      </c>
      <c r="U564" s="89"/>
      <c r="V564" s="89"/>
      <c r="W564" s="89"/>
      <c r="X564" s="5" t="str">
        <f>IF(H564&gt;AC557,"mm²  O.K","mm²  N.G")</f>
        <v>mm²  O.K</v>
      </c>
    </row>
    <row r="565" spans="3:40" ht="24.75" customHeight="1">
      <c r="C565" s="44"/>
      <c r="D565" s="4" t="s">
        <v>243</v>
      </c>
      <c r="E565" s="4"/>
      <c r="F565" s="4"/>
      <c r="G565" s="4"/>
      <c r="H565" s="4"/>
      <c r="I565" s="4"/>
      <c r="J565" s="4"/>
      <c r="K565" s="4"/>
      <c r="P565" s="5" t="s">
        <v>89</v>
      </c>
      <c r="Q565" s="102">
        <f>AN553</f>
        <v>8129855.560230815</v>
      </c>
      <c r="R565" s="102"/>
      <c r="S565" s="102"/>
      <c r="T565" s="102"/>
      <c r="U565" s="102"/>
      <c r="V565" s="102"/>
      <c r="W565" s="17" t="s">
        <v>88</v>
      </c>
      <c r="X565" s="89">
        <f>H564</f>
        <v>56072.50000000001</v>
      </c>
      <c r="Y565" s="89"/>
      <c r="Z565" s="89"/>
      <c r="AA565" s="89"/>
      <c r="AB565" s="8" t="s">
        <v>34</v>
      </c>
      <c r="AC565" s="116">
        <f>Q565/X565</f>
        <v>144.98828410059858</v>
      </c>
      <c r="AD565" s="116"/>
      <c r="AE565" s="116"/>
      <c r="AF565" s="116"/>
      <c r="AG565" s="18" t="str">
        <f>IF(AC565&gt;O475,"N/㎟ ＞  σta ,  N.G","N/㎟ ＜  σta ,  O.K")</f>
        <v>N/㎟ ＜  σta ,  O.K</v>
      </c>
      <c r="AH565" s="18"/>
      <c r="AI565" s="18"/>
      <c r="AJ565" s="18"/>
      <c r="AK565" s="18"/>
      <c r="AL565" s="18"/>
      <c r="AM565" s="18"/>
      <c r="AN565" s="18"/>
    </row>
    <row r="566" spans="5:41" ht="24.75" customHeight="1">
      <c r="E566" s="5" t="s">
        <v>157</v>
      </c>
      <c r="H566" s="5" t="s">
        <v>87</v>
      </c>
      <c r="I566" s="124">
        <f>I563</f>
        <v>59130</v>
      </c>
      <c r="J566" s="124"/>
      <c r="K566" s="124"/>
      <c r="L566" s="5" t="s">
        <v>46</v>
      </c>
      <c r="M566" s="89">
        <f>M563</f>
        <v>25</v>
      </c>
      <c r="N566" s="89"/>
      <c r="O566" s="89"/>
      <c r="P566" s="5" t="s">
        <v>41</v>
      </c>
      <c r="Q566" s="89">
        <f>Q563</f>
        <v>9</v>
      </c>
      <c r="R566" s="89"/>
      <c r="S566" s="89"/>
      <c r="T566" s="5" t="s">
        <v>41</v>
      </c>
      <c r="U566" s="125">
        <f>BJ563</f>
        <v>23</v>
      </c>
      <c r="V566" s="125"/>
      <c r="W566" s="125"/>
      <c r="X566" s="5" t="s">
        <v>41</v>
      </c>
      <c r="Y566" s="122">
        <v>2</v>
      </c>
      <c r="Z566" s="122"/>
      <c r="AA566" s="122"/>
      <c r="AB566" s="5" t="s">
        <v>140</v>
      </c>
      <c r="AC566" s="80">
        <f>AC563</f>
        <v>371</v>
      </c>
      <c r="AD566" s="80"/>
      <c r="AE566" s="80"/>
      <c r="AF566" s="5" t="s">
        <v>41</v>
      </c>
      <c r="AG566" s="122">
        <f>AG563</f>
        <v>5</v>
      </c>
      <c r="AH566" s="122"/>
      <c r="AI566" s="122"/>
      <c r="AJ566" s="5" t="s">
        <v>139</v>
      </c>
      <c r="AO566" s="5" t="str">
        <f>IF(BA563=BJ563,"","( 第2列 )")</f>
        <v>( 第2列 )</v>
      </c>
    </row>
    <row r="567" spans="3:12" ht="24.75" customHeight="1">
      <c r="C567" s="44"/>
      <c r="E567" s="44"/>
      <c r="G567" s="5" t="s">
        <v>34</v>
      </c>
      <c r="H567" s="89">
        <f>(I566-M566*Q566*U566*Y566-AC566*AG566)*1.1</f>
        <v>51617.50000000001</v>
      </c>
      <c r="I567" s="89"/>
      <c r="J567" s="89"/>
      <c r="K567" s="89"/>
      <c r="L567" s="5" t="s">
        <v>101</v>
      </c>
    </row>
    <row r="568" spans="3:17" ht="24.75" customHeight="1">
      <c r="C568" s="44"/>
      <c r="D568" s="4" t="s">
        <v>244</v>
      </c>
      <c r="E568" s="4"/>
      <c r="F568" s="4"/>
      <c r="G568" s="4"/>
      <c r="H568" s="4"/>
      <c r="I568" s="4"/>
      <c r="J568" s="4"/>
      <c r="K568" s="4"/>
      <c r="Q568" s="5" t="str">
        <f>"("&amp;AE555&amp;" - "&amp;U563&amp;") / "&amp;AE555</f>
        <v>(83 - 14) / 83</v>
      </c>
    </row>
    <row r="569" spans="3:40" ht="24.75" customHeight="1">
      <c r="C569" s="44"/>
      <c r="D569" s="37"/>
      <c r="E569" s="37"/>
      <c r="F569" s="37"/>
      <c r="G569" s="37"/>
      <c r="H569" s="37"/>
      <c r="I569" s="37"/>
      <c r="J569" s="37"/>
      <c r="K569" s="5" t="s">
        <v>89</v>
      </c>
      <c r="L569" s="102">
        <f>Q565</f>
        <v>8129855.560230815</v>
      </c>
      <c r="M569" s="102"/>
      <c r="N569" s="102"/>
      <c r="O569" s="102"/>
      <c r="P569" s="102"/>
      <c r="Q569" s="102"/>
      <c r="R569" s="17" t="s">
        <v>88</v>
      </c>
      <c r="S569" s="89">
        <f>H567</f>
        <v>51617.50000000001</v>
      </c>
      <c r="T569" s="89"/>
      <c r="U569" s="89"/>
      <c r="V569" s="89"/>
      <c r="W569" s="5" t="s">
        <v>41</v>
      </c>
      <c r="X569" s="123">
        <f>(AE555-U563)/AE555</f>
        <v>0.8313253012048193</v>
      </c>
      <c r="Y569" s="123"/>
      <c r="Z569" s="123"/>
      <c r="AA569" s="8" t="s">
        <v>34</v>
      </c>
      <c r="AB569" s="116">
        <f>L569/S569*X569</f>
        <v>130.93533438001754</v>
      </c>
      <c r="AC569" s="116"/>
      <c r="AD569" s="116"/>
      <c r="AE569" s="116"/>
      <c r="AF569" s="18" t="str">
        <f>IF(AB569&gt;O475,"N/㎟ ＞  σta ,  N.G","N/㎟ ＜  σta ,  O.K")</f>
        <v>N/㎟ ＜  σta ,  O.K</v>
      </c>
      <c r="AG569" s="18"/>
      <c r="AH569" s="18"/>
      <c r="AI569" s="18"/>
      <c r="AJ569" s="18"/>
      <c r="AK569" s="18"/>
      <c r="AL569" s="18"/>
      <c r="AM569" s="18"/>
      <c r="AN569" s="36"/>
    </row>
    <row r="570" spans="3:17" ht="24.75" customHeight="1">
      <c r="C570" s="44"/>
      <c r="D570" s="37"/>
      <c r="E570" s="37"/>
      <c r="F570" s="37"/>
      <c r="G570" s="37"/>
      <c r="H570" s="37"/>
      <c r="I570" s="37"/>
      <c r="J570" s="37"/>
      <c r="L570" s="6"/>
      <c r="M570" s="6"/>
      <c r="N570" s="6"/>
      <c r="O570" s="6"/>
      <c r="P570" s="6"/>
      <c r="Q570" s="17"/>
    </row>
    <row r="571" ht="24.75" customHeight="1">
      <c r="C571" s="5" t="s">
        <v>192</v>
      </c>
    </row>
    <row r="572" ht="24.75" customHeight="1">
      <c r="C572" s="5" t="s">
        <v>193</v>
      </c>
    </row>
    <row r="573" spans="4:37" ht="24.75" customHeight="1">
      <c r="D573" s="4" t="s">
        <v>153</v>
      </c>
      <c r="E573" s="21"/>
      <c r="F573" s="21"/>
      <c r="G573" s="13"/>
      <c r="H573" s="13"/>
      <c r="I573" s="8"/>
      <c r="J573" s="120">
        <f>AN553</f>
        <v>8129855.560230815</v>
      </c>
      <c r="K573" s="120"/>
      <c r="L573" s="120"/>
      <c r="M573" s="120"/>
      <c r="N573" s="120"/>
      <c r="O573" s="120"/>
      <c r="P573" s="46" t="s">
        <v>88</v>
      </c>
      <c r="Q573" s="121">
        <f>AE555</f>
        <v>83</v>
      </c>
      <c r="R573" s="121"/>
      <c r="S573" s="121"/>
      <c r="T573" s="121"/>
      <c r="V573" s="8" t="s">
        <v>34</v>
      </c>
      <c r="W573" s="100">
        <f>J573/Q573</f>
        <v>97950.06699073271</v>
      </c>
      <c r="X573" s="100"/>
      <c r="Y573" s="100"/>
      <c r="Z573" s="100"/>
      <c r="AA573" s="18" t="s">
        <v>202</v>
      </c>
      <c r="AB573" s="8"/>
      <c r="AC573" s="8"/>
      <c r="AD573" s="18" t="str">
        <f>IF(W573&gt;AA476," ＞  ρa    N.G","＜ ρa    O.K")</f>
        <v> ＞  ρa    N.G</v>
      </c>
      <c r="AE573" s="8"/>
      <c r="AF573" s="8"/>
      <c r="AG573" s="8"/>
      <c r="AH573" s="8"/>
      <c r="AI573" s="8"/>
      <c r="AJ573" s="8"/>
      <c r="AK573" s="8"/>
    </row>
    <row r="574" spans="4:37" ht="24.75" customHeight="1">
      <c r="D574" s="4"/>
      <c r="E574" s="21"/>
      <c r="F574" s="21"/>
      <c r="G574" s="13"/>
      <c r="H574" s="13"/>
      <c r="I574" s="8"/>
      <c r="J574" s="45"/>
      <c r="K574" s="45"/>
      <c r="L574" s="45"/>
      <c r="M574" s="45"/>
      <c r="N574" s="45"/>
      <c r="O574" s="46"/>
      <c r="P574" s="35"/>
      <c r="Q574" s="35"/>
      <c r="R574" s="35"/>
      <c r="S574" s="35"/>
      <c r="U574" s="8"/>
      <c r="V574" s="22"/>
      <c r="W574" s="22"/>
      <c r="X574" s="22"/>
      <c r="Y574" s="22"/>
      <c r="Z574" s="18"/>
      <c r="AA574" s="8"/>
      <c r="AB574" s="8"/>
      <c r="AC574" s="18"/>
      <c r="AD574" s="8"/>
      <c r="AE574" s="8"/>
      <c r="AF574" s="8"/>
      <c r="AG574" s="8"/>
      <c r="AH574" s="8"/>
      <c r="AI574" s="8"/>
      <c r="AJ574" s="8"/>
      <c r="AK574" s="8"/>
    </row>
    <row r="575" spans="3:38" ht="24.75" customHeight="1">
      <c r="C575" s="5" t="s">
        <v>206</v>
      </c>
      <c r="D575" s="21"/>
      <c r="E575" s="21"/>
      <c r="F575" s="21"/>
      <c r="G575" s="8"/>
      <c r="H575" s="8"/>
      <c r="I575" s="8"/>
      <c r="U575" s="8"/>
      <c r="V575" s="22"/>
      <c r="W575" s="22"/>
      <c r="X575" s="22"/>
      <c r="Y575" s="22"/>
      <c r="Z575" s="22"/>
      <c r="AA575" s="8"/>
      <c r="AB575" s="8"/>
      <c r="AC575" s="8"/>
      <c r="AD575" s="8"/>
      <c r="AE575" s="8"/>
      <c r="AF575" s="8"/>
      <c r="AG575" s="8"/>
      <c r="AH575" s="8"/>
      <c r="AI575" s="8"/>
      <c r="AJ575" s="8"/>
      <c r="AK575" s="8"/>
      <c r="AL575" s="8"/>
    </row>
    <row r="576" spans="4:47" ht="24.75" customHeight="1">
      <c r="D576" s="5" t="s">
        <v>205</v>
      </c>
      <c r="AU576" s="23"/>
    </row>
    <row r="577" spans="5:47" ht="24.75" customHeight="1">
      <c r="E577" s="5" t="s">
        <v>211</v>
      </c>
      <c r="AU577" s="23"/>
    </row>
    <row r="578" ht="24.75" customHeight="1">
      <c r="D578" s="5" t="s">
        <v>7</v>
      </c>
    </row>
    <row r="579" spans="3:36" ht="24.75" customHeight="1">
      <c r="C579" s="106" t="s">
        <v>49</v>
      </c>
      <c r="D579" s="106"/>
      <c r="E579" s="106"/>
      <c r="G579" s="105">
        <f>O472</f>
        <v>772.6456437</v>
      </c>
      <c r="H579" s="105"/>
      <c r="I579" s="105"/>
      <c r="J579" s="19" t="s">
        <v>41</v>
      </c>
      <c r="K579" s="97">
        <v>1000000</v>
      </c>
      <c r="L579" s="97"/>
      <c r="M579" s="97"/>
      <c r="N579" s="97"/>
      <c r="P579" s="106" t="s">
        <v>47</v>
      </c>
      <c r="Q579" s="106"/>
      <c r="R579" s="122">
        <f>Q573</f>
        <v>83</v>
      </c>
      <c r="S579" s="122"/>
      <c r="T579" s="122"/>
      <c r="U579" s="92" t="s">
        <v>34</v>
      </c>
      <c r="V579" s="92"/>
      <c r="W579" s="102">
        <f>ROUND((G579*K579/(I580*K580))/R579,1)</f>
        <v>2115.7</v>
      </c>
      <c r="X579" s="102"/>
      <c r="Y579" s="102"/>
      <c r="Z579" s="102"/>
      <c r="AA579" s="92" t="str">
        <f>IF(W579&gt;AA476,"N/本   ＞ ρa   N.G.","N/本  ＜  ρa   O.K.")</f>
        <v>N/本  ＜  ρa   O.K.</v>
      </c>
      <c r="AB579" s="92"/>
      <c r="AC579" s="92"/>
      <c r="AD579" s="92"/>
      <c r="AE579" s="92"/>
      <c r="AF579" s="92"/>
      <c r="AG579" s="92"/>
      <c r="AH579" s="92"/>
      <c r="AI579" s="92"/>
      <c r="AJ579" s="92"/>
    </row>
    <row r="580" spans="3:36" ht="24.75" customHeight="1">
      <c r="C580" s="106"/>
      <c r="D580" s="106"/>
      <c r="E580" s="106"/>
      <c r="I580" s="8">
        <v>2</v>
      </c>
      <c r="J580" s="14" t="s">
        <v>41</v>
      </c>
      <c r="K580" s="24">
        <f>AM613</f>
        <v>2200</v>
      </c>
      <c r="L580" s="25"/>
      <c r="M580" s="25"/>
      <c r="P580" s="106"/>
      <c r="Q580" s="106"/>
      <c r="R580" s="122"/>
      <c r="S580" s="122"/>
      <c r="T580" s="122"/>
      <c r="U580" s="92"/>
      <c r="V580" s="92"/>
      <c r="W580" s="102"/>
      <c r="X580" s="102"/>
      <c r="Y580" s="102"/>
      <c r="Z580" s="102"/>
      <c r="AA580" s="92"/>
      <c r="AB580" s="92"/>
      <c r="AC580" s="92"/>
      <c r="AD580" s="92"/>
      <c r="AE580" s="92"/>
      <c r="AF580" s="92"/>
      <c r="AG580" s="92"/>
      <c r="AH580" s="92"/>
      <c r="AI580" s="92"/>
      <c r="AJ580" s="92"/>
    </row>
    <row r="582" spans="3:9" ht="24.75" customHeight="1">
      <c r="C582" s="5" t="s">
        <v>212</v>
      </c>
      <c r="I582" s="23"/>
    </row>
    <row r="583" spans="4:31" ht="24.75" customHeight="1">
      <c r="D583" s="5" t="s">
        <v>50</v>
      </c>
      <c r="P583" s="119">
        <f>W573</f>
        <v>97950.06699073271</v>
      </c>
      <c r="Q583" s="119"/>
      <c r="R583" s="119"/>
      <c r="S583" s="119"/>
      <c r="T583" s="5" t="s">
        <v>48</v>
      </c>
      <c r="U583" s="104">
        <f>+W579</f>
        <v>2115.7</v>
      </c>
      <c r="V583" s="104"/>
      <c r="W583" s="104"/>
      <c r="X583" s="104"/>
      <c r="Y583" s="5" t="s">
        <v>33</v>
      </c>
      <c r="AA583" s="100">
        <f>ROUND(SQRT(P583^2+U583^2),1)</f>
        <v>97972.9</v>
      </c>
      <c r="AB583" s="100"/>
      <c r="AC583" s="100"/>
      <c r="AD583" s="100"/>
      <c r="AE583" s="5" t="str">
        <f>IF(AA583&gt;$AA$10,"N/本  ＞  ρa ,  N.G","N/本  ＜  ρa ,  O.K")</f>
        <v>N/本  ＞  ρa ,  N.G</v>
      </c>
    </row>
    <row r="585" spans="3:29" ht="24.75" customHeight="1">
      <c r="C585" s="5" t="s">
        <v>195</v>
      </c>
      <c r="Z585" s="6"/>
      <c r="AA585" s="6"/>
      <c r="AB585" s="6"/>
      <c r="AC585" s="6"/>
    </row>
    <row r="586" spans="4:40" ht="24.75" customHeight="1">
      <c r="D586" s="5" t="s">
        <v>196</v>
      </c>
      <c r="L586" s="5" t="s">
        <v>158</v>
      </c>
      <c r="O586" s="5" t="s">
        <v>87</v>
      </c>
      <c r="P586" s="92">
        <f>AM541</f>
        <v>2340</v>
      </c>
      <c r="Q586" s="92"/>
      <c r="R586" s="92"/>
      <c r="S586" s="8" t="s">
        <v>140</v>
      </c>
      <c r="T586" s="89">
        <f>H476+3</f>
        <v>25</v>
      </c>
      <c r="U586" s="89"/>
      <c r="V586" s="89"/>
      <c r="W586" s="5" t="s">
        <v>137</v>
      </c>
      <c r="X586" s="90">
        <f>U563</f>
        <v>14</v>
      </c>
      <c r="Y586" s="90"/>
      <c r="Z586" s="5" t="s">
        <v>144</v>
      </c>
      <c r="AA586" s="5" t="s">
        <v>41</v>
      </c>
      <c r="AB586" s="90">
        <f>AM540</f>
        <v>21</v>
      </c>
      <c r="AC586" s="90"/>
      <c r="AD586" s="5" t="s">
        <v>41</v>
      </c>
      <c r="AE586" s="92">
        <v>1.1</v>
      </c>
      <c r="AF586" s="92"/>
      <c r="AG586" s="5" t="s">
        <v>89</v>
      </c>
      <c r="AH586" s="102">
        <f>(P586-T586*X586)*AB586*AE586</f>
        <v>45969.00000000001</v>
      </c>
      <c r="AI586" s="102"/>
      <c r="AJ586" s="102"/>
      <c r="AK586" s="102"/>
      <c r="AL586" s="5" t="s">
        <v>101</v>
      </c>
      <c r="AN586" s="5" t="str">
        <f>IF(BA563=BJ563,"","( 第1列 )")</f>
        <v>( 第1列 )</v>
      </c>
    </row>
    <row r="587" spans="12:40" ht="24.75" customHeight="1">
      <c r="L587" s="5" t="s">
        <v>159</v>
      </c>
      <c r="O587" s="5" t="s">
        <v>87</v>
      </c>
      <c r="P587" s="92">
        <f>P586</f>
        <v>2340</v>
      </c>
      <c r="Q587" s="92"/>
      <c r="R587" s="92"/>
      <c r="S587" s="8" t="s">
        <v>140</v>
      </c>
      <c r="T587" s="89">
        <f>T586</f>
        <v>25</v>
      </c>
      <c r="U587" s="89"/>
      <c r="V587" s="89"/>
      <c r="W587" s="5" t="s">
        <v>41</v>
      </c>
      <c r="X587" s="90">
        <f>U566</f>
        <v>23</v>
      </c>
      <c r="Y587" s="90"/>
      <c r="Z587" s="5" t="s">
        <v>144</v>
      </c>
      <c r="AA587" s="5" t="s">
        <v>41</v>
      </c>
      <c r="AB587" s="90">
        <f>AB586</f>
        <v>21</v>
      </c>
      <c r="AC587" s="90"/>
      <c r="AD587" s="5" t="s">
        <v>41</v>
      </c>
      <c r="AE587" s="92">
        <v>1.1</v>
      </c>
      <c r="AF587" s="92"/>
      <c r="AG587" s="5" t="s">
        <v>89</v>
      </c>
      <c r="AH587" s="102">
        <f>(P587-T587*X587)*AB587*AE587</f>
        <v>40771.5</v>
      </c>
      <c r="AI587" s="102"/>
      <c r="AJ587" s="102"/>
      <c r="AK587" s="102"/>
      <c r="AL587" s="5" t="s">
        <v>101</v>
      </c>
      <c r="AN587" s="5" t="str">
        <f>IF(BA563=BJ563,"","( 第2列 )")</f>
        <v>( 第2列 )</v>
      </c>
    </row>
    <row r="588" spans="4:38" ht="24.75" customHeight="1">
      <c r="D588" s="5" t="s">
        <v>198</v>
      </c>
      <c r="L588" s="5" t="s">
        <v>160</v>
      </c>
      <c r="O588" s="5" t="s">
        <v>87</v>
      </c>
      <c r="P588" s="92">
        <f>AB598</f>
        <v>150</v>
      </c>
      <c r="Q588" s="92"/>
      <c r="R588" s="92"/>
      <c r="S588" s="5" t="s">
        <v>41</v>
      </c>
      <c r="T588" s="90">
        <f>AB599</f>
        <v>14</v>
      </c>
      <c r="U588" s="90"/>
      <c r="V588" s="5" t="s">
        <v>140</v>
      </c>
      <c r="W588" s="112">
        <f>R552</f>
        <v>371</v>
      </c>
      <c r="X588" s="112"/>
      <c r="Y588" s="112"/>
      <c r="Z588" s="5" t="s">
        <v>144</v>
      </c>
      <c r="AA588" s="5" t="s">
        <v>41</v>
      </c>
      <c r="AB588" s="90">
        <f>AK551</f>
        <v>5</v>
      </c>
      <c r="AC588" s="90"/>
      <c r="AD588" s="5" t="s">
        <v>41</v>
      </c>
      <c r="AE588" s="92">
        <v>1.1</v>
      </c>
      <c r="AF588" s="92"/>
      <c r="AG588" s="5" t="s">
        <v>89</v>
      </c>
      <c r="AH588" s="102">
        <f>(P588*T588-W588)*AB588*AE588</f>
        <v>9509.5</v>
      </c>
      <c r="AI588" s="102"/>
      <c r="AJ588" s="102"/>
      <c r="AK588" s="102"/>
      <c r="AL588" s="5" t="s">
        <v>101</v>
      </c>
    </row>
    <row r="589" spans="4:43" ht="24.75" customHeight="1">
      <c r="D589" s="19" t="s">
        <v>21</v>
      </c>
      <c r="E589" s="19"/>
      <c r="F589" s="19"/>
      <c r="G589" s="19"/>
      <c r="H589" s="19"/>
      <c r="I589" s="19"/>
      <c r="J589" s="19"/>
      <c r="K589" s="19"/>
      <c r="L589" s="19" t="s">
        <v>161</v>
      </c>
      <c r="M589" s="19"/>
      <c r="N589" s="19"/>
      <c r="O589" s="19" t="s">
        <v>87</v>
      </c>
      <c r="P589" s="97">
        <f>L629/2</f>
        <v>13.13846339</v>
      </c>
      <c r="Q589" s="97"/>
      <c r="R589" s="97"/>
      <c r="S589" s="19" t="s">
        <v>41</v>
      </c>
      <c r="T589" s="117">
        <f>AM614</f>
        <v>12</v>
      </c>
      <c r="U589" s="117"/>
      <c r="V589" s="19" t="s">
        <v>144</v>
      </c>
      <c r="W589" s="19" t="s">
        <v>41</v>
      </c>
      <c r="X589" s="19">
        <v>2</v>
      </c>
      <c r="Y589" s="19"/>
      <c r="Z589" s="48"/>
      <c r="AA589" s="48"/>
      <c r="AB589" s="48"/>
      <c r="AC589" s="48"/>
      <c r="AD589" s="19"/>
      <c r="AE589" s="19"/>
      <c r="AF589" s="19"/>
      <c r="AG589" s="19" t="s">
        <v>89</v>
      </c>
      <c r="AH589" s="118">
        <f>P589*T589*X589</f>
        <v>315.32312136</v>
      </c>
      <c r="AI589" s="118"/>
      <c r="AJ589" s="118"/>
      <c r="AK589" s="118"/>
      <c r="AL589" s="19" t="s">
        <v>101</v>
      </c>
      <c r="AM589" s="19"/>
      <c r="AN589" s="19"/>
      <c r="AO589" s="19"/>
      <c r="AP589" s="19"/>
      <c r="AQ589" s="19"/>
    </row>
    <row r="590" spans="20:40" ht="24.75" customHeight="1">
      <c r="T590" s="28"/>
      <c r="U590" s="28"/>
      <c r="AE590" s="5" t="s">
        <v>162</v>
      </c>
      <c r="AH590" s="102">
        <f>AH586+AH588+AH589</f>
        <v>55793.82312136001</v>
      </c>
      <c r="AI590" s="102"/>
      <c r="AJ590" s="102"/>
      <c r="AK590" s="102"/>
      <c r="AL590" s="5" t="s">
        <v>101</v>
      </c>
      <c r="AN590" s="5" t="str">
        <f>IF(BA563=BJ563,"","( 第1列 )")</f>
        <v>( 第1列 )</v>
      </c>
    </row>
    <row r="591" spans="14:40" ht="24.75" customHeight="1">
      <c r="N591" s="6"/>
      <c r="O591" s="6"/>
      <c r="P591" s="6"/>
      <c r="Q591" s="6"/>
      <c r="T591" s="28"/>
      <c r="U591" s="28"/>
      <c r="Z591" s="6"/>
      <c r="AA591" s="6"/>
      <c r="AB591" s="6"/>
      <c r="AC591" s="6"/>
      <c r="AE591" s="5" t="s">
        <v>163</v>
      </c>
      <c r="AH591" s="102">
        <f>AH587+AH588+AH589</f>
        <v>50596.32312136</v>
      </c>
      <c r="AI591" s="102"/>
      <c r="AJ591" s="102"/>
      <c r="AK591" s="102"/>
      <c r="AL591" s="5" t="s">
        <v>101</v>
      </c>
      <c r="AN591" s="5" t="str">
        <f>IF(BA563=BJ563,"","( 第2列 )")</f>
        <v>( 第2列 )</v>
      </c>
    </row>
    <row r="592" spans="4:39" ht="24.75" customHeight="1">
      <c r="D592" s="5" t="s">
        <v>199</v>
      </c>
      <c r="J592" s="5" t="s">
        <v>164</v>
      </c>
      <c r="M592" s="49" t="s">
        <v>165</v>
      </c>
      <c r="N592" s="6"/>
      <c r="O592" s="6"/>
      <c r="P592" s="6"/>
      <c r="S592" s="102">
        <f>AN553</f>
        <v>8129855.560230815</v>
      </c>
      <c r="T592" s="102"/>
      <c r="U592" s="102"/>
      <c r="V592" s="102"/>
      <c r="W592" s="102"/>
      <c r="X592" s="102"/>
      <c r="Y592" s="17" t="s">
        <v>88</v>
      </c>
      <c r="Z592" s="102">
        <f>AH590</f>
        <v>55793.82312136001</v>
      </c>
      <c r="AA592" s="102"/>
      <c r="AB592" s="102"/>
      <c r="AC592" s="102"/>
      <c r="AD592" s="6" t="s">
        <v>89</v>
      </c>
      <c r="AE592" s="116">
        <f>S592/Z592</f>
        <v>145.71246610125908</v>
      </c>
      <c r="AF592" s="116"/>
      <c r="AG592" s="116"/>
      <c r="AH592" s="116"/>
      <c r="AI592" s="5" t="s">
        <v>145</v>
      </c>
      <c r="AM592" s="5" t="str">
        <f>IF(AE592&gt;O475,"＞  σta ,  N.G","＜  σta ,  O.K")</f>
        <v>＜  σta ,  O.K</v>
      </c>
    </row>
    <row r="593" spans="10:26" ht="24.75" customHeight="1">
      <c r="J593" s="5" t="s">
        <v>166</v>
      </c>
      <c r="M593" s="39" t="s">
        <v>167</v>
      </c>
      <c r="N593" s="25"/>
      <c r="O593" s="25"/>
      <c r="P593" s="50"/>
      <c r="Q593" s="25"/>
      <c r="R593" s="14" t="s">
        <v>41</v>
      </c>
      <c r="S593" s="49" t="str">
        <f>"("&amp;AE555&amp;" - "&amp;U563&amp;") / "&amp;AE555</f>
        <v>(83 - 14) / 83</v>
      </c>
      <c r="Y593" s="28"/>
      <c r="Z593" s="6"/>
    </row>
    <row r="594" spans="11:36" ht="24.75" customHeight="1">
      <c r="K594" s="38" t="s">
        <v>89</v>
      </c>
      <c r="L594" s="102">
        <f>S592</f>
        <v>8129855.560230815</v>
      </c>
      <c r="M594" s="102"/>
      <c r="N594" s="102"/>
      <c r="O594" s="102"/>
      <c r="P594" s="102"/>
      <c r="Q594" s="102"/>
      <c r="R594" s="17" t="s">
        <v>88</v>
      </c>
      <c r="S594" s="102">
        <f>AH591</f>
        <v>50596.32312136</v>
      </c>
      <c r="T594" s="102"/>
      <c r="U594" s="102"/>
      <c r="V594" s="102"/>
      <c r="W594" s="5" t="s">
        <v>41</v>
      </c>
      <c r="X594" s="51">
        <f>(AE555-U563)/AE555</f>
        <v>0.8313253012048193</v>
      </c>
      <c r="Y594" s="51"/>
      <c r="Z594" s="51"/>
      <c r="AA594" s="6" t="s">
        <v>89</v>
      </c>
      <c r="AB594" s="116">
        <f>X594*L594/S594</f>
        <v>133.5779796913213</v>
      </c>
      <c r="AC594" s="116"/>
      <c r="AD594" s="116"/>
      <c r="AE594" s="116"/>
      <c r="AF594" s="5" t="s">
        <v>145</v>
      </c>
      <c r="AJ594" s="5" t="str">
        <f>IF(AB594&gt;O475,"＞  σta ,  N.G","＜  σta ,  O.K")</f>
        <v>＜  σta ,  O.K</v>
      </c>
    </row>
    <row r="595" spans="2:11" ht="24.75" customHeight="1">
      <c r="B595" s="5" t="s">
        <v>197</v>
      </c>
      <c r="H595" s="27"/>
      <c r="K595" s="9"/>
    </row>
    <row r="596" spans="7:9" ht="24.75" customHeight="1">
      <c r="G596" s="27"/>
      <c r="I596" s="27"/>
    </row>
    <row r="597" spans="5:17" ht="24.75" customHeight="1">
      <c r="E597" s="166"/>
      <c r="F597" s="166"/>
      <c r="G597" s="166"/>
      <c r="K597" s="29"/>
      <c r="L597" s="29"/>
      <c r="M597" s="29"/>
      <c r="N597" s="166"/>
      <c r="Q597" s="30"/>
    </row>
    <row r="598" spans="17:31" ht="24.75" customHeight="1">
      <c r="Q598" s="30"/>
      <c r="U598" s="31"/>
      <c r="V598" s="31"/>
      <c r="X598" s="5" t="s">
        <v>185</v>
      </c>
      <c r="AB598" s="163">
        <v>150</v>
      </c>
      <c r="AC598" s="163"/>
      <c r="AD598" s="163"/>
      <c r="AE598" s="5" t="s">
        <v>84</v>
      </c>
    </row>
    <row r="599" spans="17:31" ht="24.75" customHeight="1">
      <c r="Q599" s="30"/>
      <c r="R599" s="30"/>
      <c r="S599" s="32"/>
      <c r="T599" s="32"/>
      <c r="U599" s="167"/>
      <c r="V599" s="33"/>
      <c r="X599" s="5" t="s">
        <v>186</v>
      </c>
      <c r="AB599" s="163">
        <v>14</v>
      </c>
      <c r="AC599" s="163"/>
      <c r="AD599" s="163"/>
      <c r="AE599" s="5" t="s">
        <v>84</v>
      </c>
    </row>
    <row r="600" spans="1:3" ht="24.75" customHeight="1">
      <c r="A600" s="53"/>
      <c r="B600" s="53"/>
      <c r="C600" s="53"/>
    </row>
    <row r="602" ht="24.75" customHeight="1">
      <c r="C602" s="5" t="s">
        <v>181</v>
      </c>
    </row>
    <row r="603" spans="4:42" ht="24.75" customHeight="1">
      <c r="D603" s="52" t="s">
        <v>16</v>
      </c>
      <c r="E603" s="53"/>
      <c r="F603" s="53"/>
      <c r="G603" s="53"/>
      <c r="H603" s="53"/>
      <c r="I603" s="53"/>
      <c r="J603" s="53"/>
      <c r="K603" s="53"/>
      <c r="M603" s="52" t="s">
        <v>146</v>
      </c>
      <c r="N603" s="53"/>
      <c r="O603" s="95">
        <f>+AB599</f>
        <v>14</v>
      </c>
      <c r="P603" s="95"/>
      <c r="Q603" s="14" t="s">
        <v>41</v>
      </c>
      <c r="R603" s="114">
        <f>+AB598</f>
        <v>150</v>
      </c>
      <c r="S603" s="114"/>
      <c r="T603" s="114"/>
      <c r="U603" s="14" t="s">
        <v>140</v>
      </c>
      <c r="V603" s="115">
        <f>R552</f>
        <v>371</v>
      </c>
      <c r="W603" s="115"/>
      <c r="X603" s="115"/>
      <c r="Y603" s="115"/>
      <c r="Z603" s="5" t="s">
        <v>89</v>
      </c>
      <c r="AA603" s="39">
        <f>O603*R603-V603</f>
        <v>1729</v>
      </c>
      <c r="AB603" s="39"/>
      <c r="AC603" s="39"/>
      <c r="AD603" s="39"/>
      <c r="AE603" s="18" t="s">
        <v>101</v>
      </c>
      <c r="AO603" s="8"/>
      <c r="AP603" s="8"/>
    </row>
    <row r="604" spans="4:51" ht="24.75" customHeight="1">
      <c r="D604" s="5" t="str">
        <f>IF(O470&gt;0,"n = An σl / ρa","n = An σu / ρa")</f>
        <v>n = An σu / ρa</v>
      </c>
      <c r="G604" s="27"/>
      <c r="I604" s="27"/>
      <c r="K604" s="9" t="s">
        <v>89</v>
      </c>
      <c r="L604" s="39">
        <f>AA603</f>
        <v>1729</v>
      </c>
      <c r="M604" s="39"/>
      <c r="N604" s="39"/>
      <c r="O604" s="39"/>
      <c r="P604" s="14" t="s">
        <v>41</v>
      </c>
      <c r="Q604" s="108">
        <f>AE592</f>
        <v>145.71246610125908</v>
      </c>
      <c r="R604" s="108"/>
      <c r="S604" s="108"/>
      <c r="T604" s="108"/>
      <c r="U604" s="17" t="s">
        <v>88</v>
      </c>
      <c r="V604" s="89">
        <f>R555</f>
        <v>96000</v>
      </c>
      <c r="W604" s="89"/>
      <c r="X604" s="89"/>
      <c r="Y604" s="89"/>
      <c r="AA604" s="8" t="s">
        <v>89</v>
      </c>
      <c r="AB604" s="113">
        <f>ROUND(L604*Q604/V604,1)</f>
        <v>2.6</v>
      </c>
      <c r="AC604" s="113"/>
      <c r="AD604" s="113"/>
      <c r="AE604" s="113"/>
      <c r="AF604" s="92" t="s">
        <v>43</v>
      </c>
      <c r="AG604" s="92"/>
      <c r="AH604" s="92"/>
      <c r="AI604" s="164">
        <v>5</v>
      </c>
      <c r="AJ604" s="164"/>
      <c r="AK604" s="164"/>
      <c r="AL604" s="170"/>
      <c r="AM604" s="8" t="s">
        <v>4</v>
      </c>
      <c r="AN604" s="8"/>
      <c r="AO604" s="8"/>
      <c r="AP604" s="5" t="str">
        <f>IF(AB604&lt;=AI604,"O.K.","N.G.")</f>
        <v>O.K.</v>
      </c>
      <c r="AW604" s="8"/>
      <c r="AY604" s="18"/>
    </row>
    <row r="605" ht="24.75" customHeight="1">
      <c r="C605" s="5" t="s">
        <v>239</v>
      </c>
    </row>
    <row r="606" spans="4:37" ht="24.75" customHeight="1">
      <c r="D606" s="92" t="s">
        <v>188</v>
      </c>
      <c r="E606" s="92"/>
      <c r="F606" s="92"/>
      <c r="G606" s="92"/>
      <c r="H606" s="92"/>
      <c r="I606" s="92"/>
      <c r="J606" s="92"/>
      <c r="K606" s="5" t="str">
        <f>IF(O470&gt;0,"An σl / σta","n = An σu / σta")</f>
        <v>n = An σu / σta</v>
      </c>
      <c r="Q606" s="5" t="s">
        <v>89</v>
      </c>
      <c r="R606" s="39">
        <f>AA603</f>
        <v>1729</v>
      </c>
      <c r="S606" s="39"/>
      <c r="T606" s="39"/>
      <c r="U606" s="39"/>
      <c r="V606" s="14" t="s">
        <v>41</v>
      </c>
      <c r="W606" s="108">
        <f>Q604</f>
        <v>145.71246610125908</v>
      </c>
      <c r="X606" s="108"/>
      <c r="Y606" s="108"/>
      <c r="Z606" s="108"/>
      <c r="AA606" s="17" t="s">
        <v>88</v>
      </c>
      <c r="AB606" s="89">
        <f>O475</f>
        <v>210</v>
      </c>
      <c r="AC606" s="89"/>
      <c r="AD606" s="89"/>
      <c r="AE606" s="89"/>
      <c r="AF606" s="5" t="s">
        <v>89</v>
      </c>
      <c r="AG606" s="89">
        <f>R606*W606/AB606</f>
        <v>1199.6993042336996</v>
      </c>
      <c r="AH606" s="89"/>
      <c r="AI606" s="89"/>
      <c r="AJ606" s="89"/>
      <c r="AK606" s="5" t="s">
        <v>101</v>
      </c>
    </row>
    <row r="607" spans="4:54" ht="24.75" customHeight="1">
      <c r="D607" s="5" t="s">
        <v>240</v>
      </c>
      <c r="I607" s="165">
        <v>2</v>
      </c>
      <c r="J607" s="165"/>
      <c r="K607" s="165"/>
      <c r="L607" s="126">
        <v>80</v>
      </c>
      <c r="M607" s="126"/>
      <c r="N607" s="126"/>
      <c r="O607" s="92">
        <v>9</v>
      </c>
      <c r="P607" s="92"/>
      <c r="Q607" s="127">
        <v>780</v>
      </c>
      <c r="R607" s="127"/>
      <c r="S607" s="127"/>
      <c r="T607" s="127"/>
      <c r="U607" s="5" t="s">
        <v>31</v>
      </c>
      <c r="W607" s="89">
        <f>+L607*O607*I607</f>
        <v>1440</v>
      </c>
      <c r="X607" s="89"/>
      <c r="Y607" s="89"/>
      <c r="Z607" s="89"/>
      <c r="AA607" s="5" t="s">
        <v>101</v>
      </c>
      <c r="AD607" s="5" t="str">
        <f>IF(W607&gt;=AG606,"O.K.","N.G.")</f>
        <v>O.K.</v>
      </c>
      <c r="AX607" s="23"/>
      <c r="AZ607" s="23"/>
      <c r="BB607" s="23"/>
    </row>
    <row r="608" spans="46:54" ht="24.75" customHeight="1">
      <c r="AT608" s="4"/>
      <c r="BB608" s="8"/>
    </row>
    <row r="609" spans="2:14" ht="24.75" customHeight="1">
      <c r="B609" s="5" t="s">
        <v>17</v>
      </c>
      <c r="K609" s="7"/>
      <c r="M609" s="9"/>
      <c r="N609" s="4"/>
    </row>
    <row r="610" spans="3:9" ht="24.75" customHeight="1">
      <c r="C610" s="4" t="s">
        <v>6</v>
      </c>
      <c r="I610" s="23"/>
    </row>
    <row r="611" spans="3:9" ht="24.75" customHeight="1">
      <c r="C611" s="18" t="s">
        <v>8</v>
      </c>
      <c r="I611" s="23"/>
    </row>
    <row r="613" spans="8:42" ht="24.75" customHeight="1">
      <c r="H613" s="25"/>
      <c r="P613" s="33"/>
      <c r="V613" s="54"/>
      <c r="W613" s="54"/>
      <c r="X613" s="54"/>
      <c r="Y613" s="54"/>
      <c r="Z613" s="54"/>
      <c r="AA613" s="54"/>
      <c r="AB613" s="54"/>
      <c r="AC613" s="54"/>
      <c r="AD613" s="54"/>
      <c r="AE613" s="54"/>
      <c r="AF613" s="5" t="s">
        <v>22</v>
      </c>
      <c r="AM613" s="171">
        <v>2200</v>
      </c>
      <c r="AN613" s="171"/>
      <c r="AO613" s="171"/>
      <c r="AP613" s="171"/>
    </row>
    <row r="614" spans="8:42" ht="24.75" customHeight="1">
      <c r="H614" s="25"/>
      <c r="L614" s="25"/>
      <c r="P614" s="172"/>
      <c r="Q614" s="173"/>
      <c r="V614" s="54"/>
      <c r="W614" s="54"/>
      <c r="X614" s="54"/>
      <c r="Y614" s="54"/>
      <c r="Z614" s="54"/>
      <c r="AA614" s="54"/>
      <c r="AB614" s="54"/>
      <c r="AC614" s="54"/>
      <c r="AD614" s="54"/>
      <c r="AE614" s="54"/>
      <c r="AF614" s="5" t="s">
        <v>23</v>
      </c>
      <c r="AM614" s="171">
        <v>12</v>
      </c>
      <c r="AN614" s="171"/>
      <c r="AO614" s="171"/>
      <c r="AP614" s="171"/>
    </row>
    <row r="615" spans="16:32" ht="24.75" customHeight="1">
      <c r="P615" s="33"/>
      <c r="V615" s="54"/>
      <c r="W615" s="54"/>
      <c r="X615" s="54"/>
      <c r="Y615" s="54"/>
      <c r="Z615" s="54"/>
      <c r="AA615" s="54"/>
      <c r="AB615" s="54"/>
      <c r="AC615" s="54"/>
      <c r="AD615" s="54"/>
      <c r="AE615" s="54"/>
      <c r="AF615" s="54"/>
    </row>
    <row r="616" spans="22:32" ht="24.75" customHeight="1">
      <c r="V616" s="54"/>
      <c r="W616" s="54"/>
      <c r="X616" s="54"/>
      <c r="Y616" s="54"/>
      <c r="Z616" s="54"/>
      <c r="AA616" s="54"/>
      <c r="AB616" s="54"/>
      <c r="AC616" s="54"/>
      <c r="AD616" s="54"/>
      <c r="AE616" s="54"/>
      <c r="AF616" s="54"/>
    </row>
    <row r="617" spans="16:25" ht="24.75" customHeight="1">
      <c r="P617" s="54"/>
      <c r="R617" s="25"/>
      <c r="Y617" s="25"/>
    </row>
    <row r="618" spans="9:46" ht="24.75" customHeight="1">
      <c r="I618" s="44"/>
      <c r="P618" s="54"/>
      <c r="R618" s="54"/>
      <c r="AT618" s="185"/>
    </row>
    <row r="619" spans="9:18" ht="24.75" customHeight="1">
      <c r="I619" s="44"/>
      <c r="P619" s="54"/>
      <c r="R619" s="54"/>
    </row>
    <row r="620" spans="9:32" ht="24.75" customHeight="1">
      <c r="I620" s="44"/>
      <c r="P620" s="54"/>
      <c r="W620" s="23"/>
      <c r="AF620" s="54"/>
    </row>
    <row r="621" spans="9:32" ht="24.75" customHeight="1">
      <c r="I621" s="44"/>
      <c r="W621" s="23"/>
      <c r="X621" s="31"/>
      <c r="Y621" s="31"/>
      <c r="Z621" s="31"/>
      <c r="AA621" s="31"/>
      <c r="AB621" s="31"/>
      <c r="AC621" s="31"/>
      <c r="AF621" s="54"/>
    </row>
    <row r="622" spans="16:29" ht="24.75" customHeight="1">
      <c r="P622" s="33"/>
      <c r="W622" s="23"/>
      <c r="X622" s="31"/>
      <c r="Y622" s="31"/>
      <c r="AC622" s="23"/>
    </row>
    <row r="623" spans="16:29" ht="24.75" customHeight="1">
      <c r="P623" s="172"/>
      <c r="Q623" s="173"/>
      <c r="W623" s="23"/>
      <c r="X623" s="31"/>
      <c r="Y623" s="31"/>
      <c r="AC623" s="23"/>
    </row>
    <row r="624" spans="16:29" ht="24.75" customHeight="1">
      <c r="P624" s="33"/>
      <c r="T624" s="31"/>
      <c r="U624" s="31"/>
      <c r="Y624" s="23"/>
      <c r="Z624" s="31"/>
      <c r="AA624" s="31"/>
      <c r="AB624" s="31"/>
      <c r="AC624" s="31"/>
    </row>
    <row r="625" spans="8:23" ht="24.75" customHeight="1">
      <c r="H625" s="25"/>
      <c r="L625" s="25"/>
      <c r="W625" s="23"/>
    </row>
    <row r="626" spans="4:23" ht="24.75" customHeight="1">
      <c r="D626" s="17" t="s">
        <v>227</v>
      </c>
      <c r="W626" s="23"/>
    </row>
    <row r="627" spans="4:24" ht="24.75" customHeight="1">
      <c r="D627" s="5" t="s">
        <v>24</v>
      </c>
      <c r="I627" s="53"/>
      <c r="J627" s="53"/>
      <c r="K627" s="53"/>
      <c r="L627" s="53"/>
      <c r="S627" s="112">
        <f>(P481/(P481+P537)*AM613)/COS(RADIANS(AG472))</f>
        <v>1102.5538535599974</v>
      </c>
      <c r="T627" s="112"/>
      <c r="U627" s="112"/>
      <c r="V627" s="5" t="s">
        <v>84</v>
      </c>
      <c r="X627" s="5" t="str">
        <f>IF(AG472=0,"","( 傾斜長さ )")</f>
        <v>( 傾斜長さ )</v>
      </c>
    </row>
    <row r="628" spans="4:20" ht="24.75" customHeight="1">
      <c r="D628" s="111" t="s">
        <v>168</v>
      </c>
      <c r="E628" s="111"/>
      <c r="F628" s="111"/>
      <c r="G628" s="55">
        <f>IF(O470&gt;0,P481,P537)</f>
        <v>157.5</v>
      </c>
      <c r="H628" s="56"/>
      <c r="I628" s="56"/>
      <c r="J628" s="56"/>
      <c r="K628" s="10" t="s">
        <v>218</v>
      </c>
      <c r="L628" s="10"/>
      <c r="P628" s="10"/>
      <c r="Q628" s="55"/>
      <c r="R628" s="56"/>
      <c r="S628" s="56"/>
      <c r="T628" s="56"/>
    </row>
    <row r="629" spans="4:24" ht="24.75" customHeight="1">
      <c r="D629" s="111" t="s">
        <v>117</v>
      </c>
      <c r="E629" s="111"/>
      <c r="F629" s="111"/>
      <c r="G629" s="111" t="s">
        <v>219</v>
      </c>
      <c r="H629" s="111"/>
      <c r="I629" s="111"/>
      <c r="J629" s="111"/>
      <c r="K629" s="111"/>
      <c r="L629" s="175">
        <v>26.27692678</v>
      </c>
      <c r="M629" s="175"/>
      <c r="N629" s="91"/>
      <c r="O629" s="58" t="s">
        <v>35</v>
      </c>
      <c r="P629" s="58"/>
      <c r="Q629" s="10" t="s">
        <v>34</v>
      </c>
      <c r="R629" s="55">
        <f>ROUND(G628*(S627-L629)/S627,3)</f>
        <v>153.746</v>
      </c>
      <c r="S629" s="56"/>
      <c r="T629" s="56"/>
      <c r="U629" s="56"/>
      <c r="V629" s="57"/>
      <c r="W629" s="10" t="s">
        <v>218</v>
      </c>
      <c r="X629" s="10"/>
    </row>
    <row r="630" spans="4:31" ht="24.75" customHeight="1">
      <c r="D630" s="111" t="s">
        <v>118</v>
      </c>
      <c r="E630" s="111"/>
      <c r="F630" s="111"/>
      <c r="G630" s="111" t="s">
        <v>219</v>
      </c>
      <c r="H630" s="111"/>
      <c r="I630" s="111"/>
      <c r="J630" s="111"/>
      <c r="K630" s="111"/>
      <c r="L630" s="175">
        <v>126.27692678</v>
      </c>
      <c r="M630" s="175"/>
      <c r="N630" s="91"/>
      <c r="O630" s="58" t="s">
        <v>35</v>
      </c>
      <c r="P630" s="58"/>
      <c r="Q630" s="10" t="s">
        <v>34</v>
      </c>
      <c r="R630" s="55">
        <f>ROUND(G628*(S627-L630)/S627,3)</f>
        <v>139.461</v>
      </c>
      <c r="S630" s="56"/>
      <c r="T630" s="56"/>
      <c r="U630" s="56"/>
      <c r="V630" s="57"/>
      <c r="W630" s="10" t="s">
        <v>218</v>
      </c>
      <c r="X630" s="10"/>
      <c r="Y630" s="10"/>
      <c r="Z630" s="55"/>
      <c r="AA630" s="56"/>
      <c r="AB630" s="56"/>
      <c r="AC630" s="56"/>
      <c r="AD630" s="57"/>
      <c r="AE630" s="10"/>
    </row>
    <row r="631" spans="4:31" ht="24.75" customHeight="1">
      <c r="D631" s="111" t="s">
        <v>119</v>
      </c>
      <c r="E631" s="111"/>
      <c r="F631" s="111"/>
      <c r="G631" s="111" t="s">
        <v>219</v>
      </c>
      <c r="H631" s="111"/>
      <c r="I631" s="111"/>
      <c r="J631" s="111"/>
      <c r="K631" s="111"/>
      <c r="L631" s="175">
        <v>226.27692678</v>
      </c>
      <c r="M631" s="175"/>
      <c r="N631" s="91"/>
      <c r="O631" s="58" t="s">
        <v>35</v>
      </c>
      <c r="P631" s="58"/>
      <c r="Q631" s="10" t="s">
        <v>34</v>
      </c>
      <c r="R631" s="55">
        <f>ROUND(G628*(S627-L631)/S627,3)</f>
        <v>125.176</v>
      </c>
      <c r="S631" s="56"/>
      <c r="T631" s="56"/>
      <c r="U631" s="56"/>
      <c r="V631" s="57"/>
      <c r="W631" s="10" t="s">
        <v>218</v>
      </c>
      <c r="X631" s="10"/>
      <c r="Y631" s="10"/>
      <c r="Z631" s="55"/>
      <c r="AA631" s="56"/>
      <c r="AB631" s="56"/>
      <c r="AC631" s="56"/>
      <c r="AD631" s="57"/>
      <c r="AE631" s="10"/>
    </row>
    <row r="632" spans="4:31" ht="24.75" customHeight="1">
      <c r="D632" s="111" t="s">
        <v>120</v>
      </c>
      <c r="E632" s="111"/>
      <c r="F632" s="111"/>
      <c r="G632" s="111" t="s">
        <v>219</v>
      </c>
      <c r="H632" s="111"/>
      <c r="I632" s="111"/>
      <c r="J632" s="111"/>
      <c r="K632" s="111"/>
      <c r="L632" s="175">
        <v>326.27692678</v>
      </c>
      <c r="M632" s="175"/>
      <c r="N632" s="91"/>
      <c r="O632" s="58" t="s">
        <v>35</v>
      </c>
      <c r="P632" s="58"/>
      <c r="Q632" s="10" t="s">
        <v>34</v>
      </c>
      <c r="R632" s="55">
        <f>ROUND(G628*(S627-L632)/S627,3)</f>
        <v>110.891</v>
      </c>
      <c r="S632" s="56"/>
      <c r="T632" s="56"/>
      <c r="U632" s="56"/>
      <c r="V632" s="57"/>
      <c r="W632" s="10" t="s">
        <v>218</v>
      </c>
      <c r="X632" s="10"/>
      <c r="Y632" s="10"/>
      <c r="Z632" s="55"/>
      <c r="AA632" s="56"/>
      <c r="AB632" s="56"/>
      <c r="AC632" s="56"/>
      <c r="AD632" s="57"/>
      <c r="AE632" s="10"/>
    </row>
    <row r="633" spans="4:31" ht="24.75" customHeight="1">
      <c r="D633" s="111" t="s">
        <v>121</v>
      </c>
      <c r="E633" s="111"/>
      <c r="F633" s="111"/>
      <c r="G633" s="111" t="s">
        <v>219</v>
      </c>
      <c r="H633" s="111"/>
      <c r="I633" s="111"/>
      <c r="J633" s="111"/>
      <c r="K633" s="111"/>
      <c r="L633" s="175">
        <v>426.27692678</v>
      </c>
      <c r="M633" s="175"/>
      <c r="N633" s="91"/>
      <c r="O633" s="58" t="s">
        <v>35</v>
      </c>
      <c r="P633" s="58"/>
      <c r="Q633" s="10" t="s">
        <v>34</v>
      </c>
      <c r="R633" s="55">
        <f>ROUND(G628*(S627-L633)/S627,3)</f>
        <v>96.606</v>
      </c>
      <c r="S633" s="56"/>
      <c r="T633" s="56"/>
      <c r="U633" s="56"/>
      <c r="V633" s="57"/>
      <c r="W633" s="10" t="s">
        <v>218</v>
      </c>
      <c r="X633" s="10"/>
      <c r="Y633" s="10"/>
      <c r="Z633" s="55"/>
      <c r="AA633" s="56"/>
      <c r="AB633" s="56"/>
      <c r="AC633" s="56"/>
      <c r="AD633" s="57"/>
      <c r="AE633" s="10"/>
    </row>
    <row r="634" spans="4:31" ht="24.75" customHeight="1">
      <c r="D634" s="111" t="s">
        <v>122</v>
      </c>
      <c r="E634" s="111"/>
      <c r="F634" s="111"/>
      <c r="G634" s="111" t="s">
        <v>219</v>
      </c>
      <c r="H634" s="111"/>
      <c r="I634" s="111"/>
      <c r="J634" s="111"/>
      <c r="K634" s="111"/>
      <c r="L634" s="175">
        <v>526.27692678</v>
      </c>
      <c r="M634" s="175"/>
      <c r="N634" s="91"/>
      <c r="O634" s="58" t="s">
        <v>35</v>
      </c>
      <c r="P634" s="58"/>
      <c r="Q634" s="10" t="s">
        <v>34</v>
      </c>
      <c r="R634" s="55">
        <f>ROUND(G628*(S627-L634)/S627,3)</f>
        <v>82.321</v>
      </c>
      <c r="S634" s="56"/>
      <c r="T634" s="56"/>
      <c r="U634" s="56"/>
      <c r="V634" s="57"/>
      <c r="W634" s="10" t="s">
        <v>218</v>
      </c>
      <c r="X634" s="10"/>
      <c r="Y634" s="10"/>
      <c r="Z634" s="55"/>
      <c r="AA634" s="56"/>
      <c r="AB634" s="56"/>
      <c r="AC634" s="56"/>
      <c r="AD634" s="57"/>
      <c r="AE634" s="10"/>
    </row>
    <row r="635" spans="4:25" ht="24.75" customHeight="1">
      <c r="D635" s="47"/>
      <c r="E635" s="47"/>
      <c r="F635" s="47"/>
      <c r="G635" s="47"/>
      <c r="H635" s="47"/>
      <c r="I635" s="47"/>
      <c r="J635" s="47"/>
      <c r="K635" s="47"/>
      <c r="L635" s="56"/>
      <c r="M635" s="56"/>
      <c r="N635" s="47"/>
      <c r="O635" s="47"/>
      <c r="P635" s="47"/>
      <c r="Q635" s="10"/>
      <c r="R635" s="55"/>
      <c r="S635" s="56"/>
      <c r="T635" s="56"/>
      <c r="U635" s="56"/>
      <c r="V635" s="57"/>
      <c r="W635" s="10"/>
      <c r="X635" s="10"/>
      <c r="Y635" s="10"/>
    </row>
    <row r="636" spans="4:36" ht="24.75" customHeight="1">
      <c r="D636" s="110" t="s">
        <v>169</v>
      </c>
      <c r="E636" s="110"/>
      <c r="F636" s="110"/>
      <c r="G636" s="110"/>
      <c r="H636" s="59" t="s">
        <v>87</v>
      </c>
      <c r="I636" s="107">
        <f>G628</f>
        <v>157.5</v>
      </c>
      <c r="J636" s="107"/>
      <c r="K636" s="107"/>
      <c r="L636" s="107"/>
      <c r="M636" s="14" t="s">
        <v>48</v>
      </c>
      <c r="N636" s="107">
        <f aca="true" t="shared" si="6" ref="N636:N641">R629</f>
        <v>153.746</v>
      </c>
      <c r="O636" s="107"/>
      <c r="P636" s="107"/>
      <c r="Q636" s="107"/>
      <c r="R636" s="60" t="s">
        <v>170</v>
      </c>
      <c r="S636" s="56"/>
      <c r="T636" s="56"/>
      <c r="U636" s="56"/>
      <c r="V636" s="108">
        <f>L629</f>
        <v>26.27692678</v>
      </c>
      <c r="W636" s="108"/>
      <c r="X636" s="108"/>
      <c r="Y636" s="14" t="s">
        <v>137</v>
      </c>
      <c r="Z636" s="108">
        <f>AM614</f>
        <v>12</v>
      </c>
      <c r="AA636" s="108"/>
      <c r="AB636" s="108"/>
      <c r="AC636" s="5" t="s">
        <v>89</v>
      </c>
      <c r="AD636" s="109">
        <f>(I636+N636)/2*V636*Z636</f>
        <v>49071.53011540727</v>
      </c>
      <c r="AE636" s="109"/>
      <c r="AF636" s="109"/>
      <c r="AG636" s="109"/>
      <c r="AH636" s="109"/>
      <c r="AI636" s="5" t="s">
        <v>113</v>
      </c>
      <c r="AJ636" s="5" t="s">
        <v>18</v>
      </c>
    </row>
    <row r="637" spans="4:46" ht="24.75" customHeight="1">
      <c r="D637" s="92" t="s">
        <v>228</v>
      </c>
      <c r="E637" s="92"/>
      <c r="F637" s="92"/>
      <c r="G637" s="92"/>
      <c r="H637" s="14" t="s">
        <v>87</v>
      </c>
      <c r="I637" s="107">
        <f>R629</f>
        <v>153.746</v>
      </c>
      <c r="J637" s="107"/>
      <c r="K637" s="107"/>
      <c r="L637" s="107"/>
      <c r="M637" s="14" t="s">
        <v>48</v>
      </c>
      <c r="N637" s="107">
        <f t="shared" si="6"/>
        <v>139.461</v>
      </c>
      <c r="O637" s="107"/>
      <c r="P637" s="107"/>
      <c r="Q637" s="107"/>
      <c r="R637" s="61" t="s">
        <v>171</v>
      </c>
      <c r="S637" s="36"/>
      <c r="T637" s="8">
        <v>2</v>
      </c>
      <c r="U637" s="62" t="s">
        <v>137</v>
      </c>
      <c r="V637" s="63">
        <f>L630-L629</f>
        <v>100</v>
      </c>
      <c r="W637" s="63"/>
      <c r="X637" s="63"/>
      <c r="Y637" s="64" t="s">
        <v>137</v>
      </c>
      <c r="Z637" s="24">
        <f>Z636</f>
        <v>12</v>
      </c>
      <c r="AA637" s="25"/>
      <c r="AB637" s="24"/>
      <c r="AC637" s="65" t="s">
        <v>47</v>
      </c>
      <c r="AD637" s="66">
        <v>2</v>
      </c>
      <c r="AE637" s="66"/>
      <c r="AF637" s="66"/>
      <c r="AG637" s="8" t="s">
        <v>34</v>
      </c>
      <c r="AH637" s="63">
        <f>ROUND(+(I637+N637)/T637*V637*Z637/AD637,1)</f>
        <v>87962.1</v>
      </c>
      <c r="AI637" s="63"/>
      <c r="AJ637" s="63"/>
      <c r="AK637" s="63"/>
      <c r="AL637" s="92" t="str">
        <f>IF(AH637&gt;+V604,"N/本  ＞  ρa   N.G.","N/本  ＜  ρa   O.K.")</f>
        <v>N/本  ＜  ρa   O.K.</v>
      </c>
      <c r="AM637" s="92"/>
      <c r="AN637" s="92"/>
      <c r="AO637" s="92"/>
      <c r="AP637" s="92"/>
      <c r="AQ637" s="92"/>
      <c r="AR637" s="92"/>
      <c r="AS637" s="92"/>
      <c r="AT637" s="92"/>
    </row>
    <row r="638" spans="4:46" ht="24.75" customHeight="1">
      <c r="D638" s="92" t="s">
        <v>250</v>
      </c>
      <c r="E638" s="92"/>
      <c r="F638" s="92"/>
      <c r="G638" s="92"/>
      <c r="H638" s="14" t="s">
        <v>87</v>
      </c>
      <c r="I638" s="107">
        <f>N637</f>
        <v>139.461</v>
      </c>
      <c r="J638" s="107"/>
      <c r="K638" s="107"/>
      <c r="L638" s="107"/>
      <c r="M638" s="14" t="s">
        <v>48</v>
      </c>
      <c r="N638" s="107">
        <f t="shared" si="6"/>
        <v>125.176</v>
      </c>
      <c r="O638" s="107"/>
      <c r="P638" s="107"/>
      <c r="Q638" s="107"/>
      <c r="R638" s="61" t="s">
        <v>171</v>
      </c>
      <c r="S638" s="36"/>
      <c r="T638" s="8">
        <v>2</v>
      </c>
      <c r="U638" s="62" t="s">
        <v>137</v>
      </c>
      <c r="V638" s="63">
        <f>(L631-L630)</f>
        <v>100</v>
      </c>
      <c r="W638" s="67"/>
      <c r="X638" s="24"/>
      <c r="Y638" s="64" t="s">
        <v>137</v>
      </c>
      <c r="Z638" s="24">
        <f>Z636</f>
        <v>12</v>
      </c>
      <c r="AA638" s="24"/>
      <c r="AB638" s="24"/>
      <c r="AC638" s="65" t="s">
        <v>47</v>
      </c>
      <c r="AD638" s="66">
        <v>2</v>
      </c>
      <c r="AE638" s="66"/>
      <c r="AF638" s="66"/>
      <c r="AG638" s="8" t="s">
        <v>34</v>
      </c>
      <c r="AH638" s="63">
        <f>ROUND(+(I638+N638)/T638*V638*Z638/AD638,1)</f>
        <v>79391.1</v>
      </c>
      <c r="AI638" s="63"/>
      <c r="AJ638" s="63"/>
      <c r="AK638" s="63"/>
      <c r="AL638" s="92" t="str">
        <f>IF(AH638&gt;+V604,"N/本  ＞  ρa   N.G.","N/本  ＜  ρa   O.K.")</f>
        <v>N/本  ＜  ρa   O.K.</v>
      </c>
      <c r="AM638" s="92"/>
      <c r="AN638" s="92"/>
      <c r="AO638" s="92"/>
      <c r="AP638" s="92"/>
      <c r="AQ638" s="92"/>
      <c r="AR638" s="92"/>
      <c r="AS638" s="92"/>
      <c r="AT638" s="92"/>
    </row>
    <row r="639" spans="4:46" ht="24.75" customHeight="1">
      <c r="D639" s="92" t="s">
        <v>251</v>
      </c>
      <c r="E639" s="92"/>
      <c r="F639" s="92"/>
      <c r="G639" s="92"/>
      <c r="H639" s="14" t="s">
        <v>87</v>
      </c>
      <c r="I639" s="107">
        <f>N638</f>
        <v>125.176</v>
      </c>
      <c r="J639" s="107"/>
      <c r="K639" s="107"/>
      <c r="L639" s="107"/>
      <c r="M639" s="14" t="s">
        <v>48</v>
      </c>
      <c r="N639" s="107">
        <f t="shared" si="6"/>
        <v>110.891</v>
      </c>
      <c r="O639" s="107"/>
      <c r="P639" s="107"/>
      <c r="Q639" s="107"/>
      <c r="R639" s="61" t="s">
        <v>171</v>
      </c>
      <c r="S639" s="36"/>
      <c r="T639" s="8">
        <v>2</v>
      </c>
      <c r="U639" s="62" t="s">
        <v>137</v>
      </c>
      <c r="V639" s="63">
        <f>(L632-L631)</f>
        <v>100</v>
      </c>
      <c r="W639" s="67"/>
      <c r="X639" s="24"/>
      <c r="Y639" s="64" t="s">
        <v>137</v>
      </c>
      <c r="Z639" s="24">
        <f>Z636</f>
        <v>12</v>
      </c>
      <c r="AA639" s="24"/>
      <c r="AB639" s="24"/>
      <c r="AC639" s="65" t="s">
        <v>47</v>
      </c>
      <c r="AD639" s="66">
        <v>2</v>
      </c>
      <c r="AE639" s="66"/>
      <c r="AF639" s="66"/>
      <c r="AG639" s="8" t="s">
        <v>34</v>
      </c>
      <c r="AH639" s="63">
        <f>ROUND(+(I639+N639)/T639*V639*Z639/AD639,1)</f>
        <v>70820.1</v>
      </c>
      <c r="AI639" s="63"/>
      <c r="AJ639" s="63"/>
      <c r="AK639" s="63"/>
      <c r="AL639" s="92" t="str">
        <f>IF(AH639&gt;+V604,"N/本  ＞  ρa   N.G.","N/本  ＜  ρa   O.K.")</f>
        <v>N/本  ＜  ρa   O.K.</v>
      </c>
      <c r="AM639" s="92"/>
      <c r="AN639" s="92"/>
      <c r="AO639" s="92"/>
      <c r="AP639" s="92"/>
      <c r="AQ639" s="92"/>
      <c r="AR639" s="92"/>
      <c r="AS639" s="92"/>
      <c r="AT639" s="92"/>
    </row>
    <row r="640" spans="4:46" ht="24.75" customHeight="1">
      <c r="D640" s="92" t="s">
        <v>252</v>
      </c>
      <c r="E640" s="92"/>
      <c r="F640" s="92"/>
      <c r="G640" s="92"/>
      <c r="H640" s="14" t="s">
        <v>87</v>
      </c>
      <c r="I640" s="107">
        <f>N639</f>
        <v>110.891</v>
      </c>
      <c r="J640" s="107"/>
      <c r="K640" s="107"/>
      <c r="L640" s="107"/>
      <c r="M640" s="14" t="s">
        <v>48</v>
      </c>
      <c r="N640" s="107">
        <f t="shared" si="6"/>
        <v>96.606</v>
      </c>
      <c r="O640" s="107"/>
      <c r="P640" s="107"/>
      <c r="Q640" s="107"/>
      <c r="R640" s="61" t="s">
        <v>171</v>
      </c>
      <c r="S640" s="36"/>
      <c r="T640" s="8">
        <v>2</v>
      </c>
      <c r="U640" s="62" t="s">
        <v>137</v>
      </c>
      <c r="V640" s="63">
        <f>(L633-L632)</f>
        <v>100</v>
      </c>
      <c r="W640" s="67"/>
      <c r="X640" s="24"/>
      <c r="Y640" s="64" t="s">
        <v>137</v>
      </c>
      <c r="Z640" s="24">
        <f>Z636</f>
        <v>12</v>
      </c>
      <c r="AA640" s="24"/>
      <c r="AB640" s="24"/>
      <c r="AC640" s="65" t="s">
        <v>47</v>
      </c>
      <c r="AD640" s="66">
        <v>2</v>
      </c>
      <c r="AE640" s="66"/>
      <c r="AF640" s="66"/>
      <c r="AG640" s="8" t="s">
        <v>34</v>
      </c>
      <c r="AH640" s="63">
        <f>ROUND(+(I640+N640)/T640*V640*Z640/AD640,1)</f>
        <v>62249.1</v>
      </c>
      <c r="AI640" s="63"/>
      <c r="AJ640" s="63"/>
      <c r="AK640" s="63"/>
      <c r="AL640" s="92" t="str">
        <f>IF(AH640&gt;+V604,"N/本  ＞  ρa   N.G.","N/本  ＜  ρa   O.K.")</f>
        <v>N/本  ＜  ρa   O.K.</v>
      </c>
      <c r="AM640" s="92"/>
      <c r="AN640" s="92"/>
      <c r="AO640" s="92"/>
      <c r="AP640" s="92"/>
      <c r="AQ640" s="92"/>
      <c r="AR640" s="92"/>
      <c r="AS640" s="92"/>
      <c r="AT640" s="92"/>
    </row>
    <row r="641" spans="4:46" ht="24.75" customHeight="1">
      <c r="D641" s="92" t="s">
        <v>253</v>
      </c>
      <c r="E641" s="92"/>
      <c r="F641" s="92"/>
      <c r="G641" s="92"/>
      <c r="H641" s="14" t="s">
        <v>87</v>
      </c>
      <c r="I641" s="107">
        <f>N640</f>
        <v>96.606</v>
      </c>
      <c r="J641" s="107"/>
      <c r="K641" s="107"/>
      <c r="L641" s="107"/>
      <c r="M641" s="14" t="s">
        <v>48</v>
      </c>
      <c r="N641" s="107">
        <f t="shared" si="6"/>
        <v>82.321</v>
      </c>
      <c r="O641" s="107"/>
      <c r="P641" s="107"/>
      <c r="Q641" s="107"/>
      <c r="R641" s="61" t="s">
        <v>171</v>
      </c>
      <c r="S641" s="36"/>
      <c r="T641" s="8">
        <v>2</v>
      </c>
      <c r="U641" s="62" t="s">
        <v>137</v>
      </c>
      <c r="V641" s="63">
        <f>(L634-L633)</f>
        <v>100.00000000000006</v>
      </c>
      <c r="W641" s="67"/>
      <c r="X641" s="24"/>
      <c r="Y641" s="64" t="s">
        <v>137</v>
      </c>
      <c r="Z641" s="24">
        <f>Z636</f>
        <v>12</v>
      </c>
      <c r="AA641" s="24"/>
      <c r="AB641" s="24"/>
      <c r="AC641" s="65" t="s">
        <v>47</v>
      </c>
      <c r="AD641" s="66">
        <v>2</v>
      </c>
      <c r="AE641" s="66"/>
      <c r="AF641" s="66"/>
      <c r="AG641" s="8" t="s">
        <v>34</v>
      </c>
      <c r="AH641" s="63">
        <f>ROUND(+(I641+N641)/T641*V641*Z641/AD641,1)</f>
        <v>53678.1</v>
      </c>
      <c r="AI641" s="63"/>
      <c r="AJ641" s="63"/>
      <c r="AK641" s="63"/>
      <c r="AL641" s="92" t="str">
        <f>IF(AH641&gt;+V604,"N/本  ＞  ρa   N.G.","N/本  ＜  ρa   O.K.")</f>
        <v>N/本  ＜  ρa   O.K.</v>
      </c>
      <c r="AM641" s="92"/>
      <c r="AN641" s="92"/>
      <c r="AO641" s="92"/>
      <c r="AP641" s="92"/>
      <c r="AQ641" s="92"/>
      <c r="AR641" s="92"/>
      <c r="AS641" s="92"/>
      <c r="AT641" s="92"/>
    </row>
    <row r="642" spans="4:25" ht="24.75" customHeight="1">
      <c r="D642" s="47"/>
      <c r="E642" s="47"/>
      <c r="F642" s="47"/>
      <c r="G642" s="47"/>
      <c r="H642" s="47"/>
      <c r="I642" s="47"/>
      <c r="J642" s="47"/>
      <c r="K642" s="47"/>
      <c r="L642" s="56"/>
      <c r="M642" s="56"/>
      <c r="N642" s="47"/>
      <c r="O642" s="47"/>
      <c r="P642" s="47"/>
      <c r="Q642" s="10"/>
      <c r="R642" s="55"/>
      <c r="S642" s="56"/>
      <c r="T642" s="56"/>
      <c r="U642" s="56"/>
      <c r="V642" s="57"/>
      <c r="W642" s="10"/>
      <c r="X642" s="10"/>
      <c r="Y642" s="10"/>
    </row>
    <row r="643" spans="4:23" ht="24.75" customHeight="1">
      <c r="D643" s="17" t="s">
        <v>229</v>
      </c>
      <c r="W643" s="23"/>
    </row>
    <row r="644" spans="4:24" ht="24.75" customHeight="1">
      <c r="D644" s="5" t="s">
        <v>19</v>
      </c>
      <c r="I644" s="53"/>
      <c r="J644" s="53"/>
      <c r="K644" s="53"/>
      <c r="L644" s="53"/>
      <c r="S644" s="112">
        <f>(P537/(P481+P537)*AM613)/COS(RADIANS(AG472))</f>
        <v>1102.5538535599974</v>
      </c>
      <c r="T644" s="112"/>
      <c r="U644" s="112"/>
      <c r="V644" s="5" t="s">
        <v>84</v>
      </c>
      <c r="X644" s="5" t="str">
        <f>IF(AG472=0,"","( 傾斜長さ )")</f>
        <v>( 傾斜長さ )</v>
      </c>
    </row>
    <row r="645" spans="4:22" ht="24.75" customHeight="1">
      <c r="D645" s="111" t="s">
        <v>172</v>
      </c>
      <c r="E645" s="111"/>
      <c r="F645" s="111"/>
      <c r="G645" s="55">
        <f>IF(O470&gt;0,P537,P481)</f>
        <v>157.5</v>
      </c>
      <c r="H645" s="56"/>
      <c r="I645" s="56"/>
      <c r="J645" s="56"/>
      <c r="K645" s="10" t="s">
        <v>218</v>
      </c>
      <c r="L645" s="10"/>
      <c r="P645" s="10"/>
      <c r="Q645" s="55"/>
      <c r="R645" s="56"/>
      <c r="S645" s="56"/>
      <c r="T645" s="56"/>
      <c r="U645" s="57"/>
      <c r="V645" s="10"/>
    </row>
    <row r="646" spans="4:24" ht="24.75" customHeight="1">
      <c r="D646" s="111" t="s">
        <v>117</v>
      </c>
      <c r="E646" s="111"/>
      <c r="F646" s="111"/>
      <c r="G646" s="111" t="s">
        <v>219</v>
      </c>
      <c r="H646" s="111"/>
      <c r="I646" s="111"/>
      <c r="J646" s="111"/>
      <c r="K646" s="111"/>
      <c r="L646" s="91">
        <f aca="true" t="shared" si="7" ref="L646:L651">L629</f>
        <v>26.27692678</v>
      </c>
      <c r="M646" s="91"/>
      <c r="N646" s="91"/>
      <c r="O646" s="58" t="s">
        <v>35</v>
      </c>
      <c r="P646" s="58"/>
      <c r="Q646" s="10" t="s">
        <v>34</v>
      </c>
      <c r="R646" s="55">
        <f>ROUND(G645*(S644-L646)/S644,3)</f>
        <v>153.746</v>
      </c>
      <c r="S646" s="56"/>
      <c r="T646" s="56"/>
      <c r="U646" s="56"/>
      <c r="V646" s="57"/>
      <c r="W646" s="10" t="s">
        <v>218</v>
      </c>
      <c r="X646" s="10"/>
    </row>
    <row r="647" spans="4:31" ht="24.75" customHeight="1">
      <c r="D647" s="111" t="s">
        <v>118</v>
      </c>
      <c r="E647" s="111"/>
      <c r="F647" s="111"/>
      <c r="G647" s="111" t="s">
        <v>219</v>
      </c>
      <c r="H647" s="111"/>
      <c r="I647" s="111"/>
      <c r="J647" s="111"/>
      <c r="K647" s="111"/>
      <c r="L647" s="91">
        <f t="shared" si="7"/>
        <v>126.27692678</v>
      </c>
      <c r="M647" s="91"/>
      <c r="N647" s="91"/>
      <c r="O647" s="58" t="s">
        <v>35</v>
      </c>
      <c r="P647" s="58"/>
      <c r="Q647" s="10" t="s">
        <v>34</v>
      </c>
      <c r="R647" s="55">
        <f>ROUND(G645*(S644-L647)/S644,3)</f>
        <v>139.461</v>
      </c>
      <c r="S647" s="56"/>
      <c r="T647" s="56"/>
      <c r="U647" s="56"/>
      <c r="V647" s="57"/>
      <c r="W647" s="10" t="s">
        <v>218</v>
      </c>
      <c r="X647" s="10"/>
      <c r="Y647" s="10"/>
      <c r="Z647" s="55"/>
      <c r="AA647" s="56"/>
      <c r="AB647" s="56"/>
      <c r="AC647" s="56"/>
      <c r="AD647" s="57"/>
      <c r="AE647" s="10"/>
    </row>
    <row r="648" spans="4:31" ht="24.75" customHeight="1">
      <c r="D648" s="111" t="s">
        <v>119</v>
      </c>
      <c r="E648" s="111"/>
      <c r="F648" s="111"/>
      <c r="G648" s="111" t="s">
        <v>219</v>
      </c>
      <c r="H648" s="111"/>
      <c r="I648" s="111"/>
      <c r="J648" s="111"/>
      <c r="K648" s="111"/>
      <c r="L648" s="91">
        <f t="shared" si="7"/>
        <v>226.27692678</v>
      </c>
      <c r="M648" s="91"/>
      <c r="N648" s="91"/>
      <c r="O648" s="58" t="s">
        <v>35</v>
      </c>
      <c r="P648" s="58"/>
      <c r="Q648" s="10" t="s">
        <v>34</v>
      </c>
      <c r="R648" s="55">
        <f>ROUND(G645*(S644-L648)/S644,3)</f>
        <v>125.176</v>
      </c>
      <c r="S648" s="56"/>
      <c r="T648" s="56"/>
      <c r="U648" s="56"/>
      <c r="V648" s="57"/>
      <c r="W648" s="10" t="s">
        <v>218</v>
      </c>
      <c r="X648" s="10"/>
      <c r="Y648" s="10"/>
      <c r="Z648" s="55"/>
      <c r="AA648" s="56"/>
      <c r="AB648" s="56"/>
      <c r="AC648" s="56"/>
      <c r="AD648" s="57"/>
      <c r="AE648" s="10"/>
    </row>
    <row r="649" spans="4:31" ht="24.75" customHeight="1">
      <c r="D649" s="111" t="s">
        <v>120</v>
      </c>
      <c r="E649" s="111"/>
      <c r="F649" s="111"/>
      <c r="G649" s="111" t="s">
        <v>219</v>
      </c>
      <c r="H649" s="111"/>
      <c r="I649" s="111"/>
      <c r="J649" s="111"/>
      <c r="K649" s="111"/>
      <c r="L649" s="91">
        <f t="shared" si="7"/>
        <v>326.27692678</v>
      </c>
      <c r="M649" s="91"/>
      <c r="N649" s="91"/>
      <c r="O649" s="58" t="s">
        <v>35</v>
      </c>
      <c r="P649" s="58"/>
      <c r="Q649" s="10" t="s">
        <v>34</v>
      </c>
      <c r="R649" s="55">
        <f>ROUND(G645*(S644-L649)/S644,3)</f>
        <v>110.891</v>
      </c>
      <c r="S649" s="56"/>
      <c r="T649" s="56"/>
      <c r="U649" s="56"/>
      <c r="V649" s="57"/>
      <c r="W649" s="10" t="s">
        <v>218</v>
      </c>
      <c r="X649" s="10"/>
      <c r="Y649" s="10"/>
      <c r="Z649" s="55"/>
      <c r="AA649" s="56"/>
      <c r="AB649" s="56"/>
      <c r="AC649" s="56"/>
      <c r="AD649" s="57"/>
      <c r="AE649" s="10"/>
    </row>
    <row r="650" spans="4:31" ht="24.75" customHeight="1">
      <c r="D650" s="111" t="s">
        <v>121</v>
      </c>
      <c r="E650" s="111"/>
      <c r="F650" s="111"/>
      <c r="G650" s="111" t="s">
        <v>219</v>
      </c>
      <c r="H650" s="111"/>
      <c r="I650" s="111"/>
      <c r="J650" s="111"/>
      <c r="K650" s="111"/>
      <c r="L650" s="91">
        <f t="shared" si="7"/>
        <v>426.27692678</v>
      </c>
      <c r="M650" s="91"/>
      <c r="N650" s="91"/>
      <c r="O650" s="58" t="s">
        <v>35</v>
      </c>
      <c r="P650" s="58"/>
      <c r="Q650" s="10" t="s">
        <v>34</v>
      </c>
      <c r="R650" s="55">
        <f>ROUND(G645*(S644-L650)/S644,3)</f>
        <v>96.606</v>
      </c>
      <c r="S650" s="56"/>
      <c r="T650" s="56"/>
      <c r="U650" s="56"/>
      <c r="V650" s="57"/>
      <c r="W650" s="10" t="s">
        <v>218</v>
      </c>
      <c r="X650" s="10"/>
      <c r="Y650" s="10"/>
      <c r="Z650" s="55"/>
      <c r="AA650" s="56"/>
      <c r="AB650" s="56"/>
      <c r="AC650" s="56"/>
      <c r="AD650" s="57"/>
      <c r="AE650" s="10"/>
    </row>
    <row r="651" spans="4:31" ht="24.75" customHeight="1">
      <c r="D651" s="111" t="s">
        <v>122</v>
      </c>
      <c r="E651" s="111"/>
      <c r="F651" s="111"/>
      <c r="G651" s="111" t="s">
        <v>219</v>
      </c>
      <c r="H651" s="111"/>
      <c r="I651" s="111"/>
      <c r="J651" s="111"/>
      <c r="K651" s="111"/>
      <c r="L651" s="91">
        <f t="shared" si="7"/>
        <v>526.27692678</v>
      </c>
      <c r="M651" s="91"/>
      <c r="N651" s="91"/>
      <c r="O651" s="58" t="s">
        <v>35</v>
      </c>
      <c r="P651" s="58"/>
      <c r="Q651" s="10" t="s">
        <v>34</v>
      </c>
      <c r="R651" s="55">
        <f>ROUND(G645*(S644-L651)/S644,3)</f>
        <v>82.321</v>
      </c>
      <c r="S651" s="56"/>
      <c r="T651" s="56"/>
      <c r="U651" s="56"/>
      <c r="V651" s="57"/>
      <c r="W651" s="10" t="s">
        <v>218</v>
      </c>
      <c r="X651" s="10"/>
      <c r="Y651" s="10"/>
      <c r="Z651" s="55"/>
      <c r="AA651" s="56"/>
      <c r="AB651" s="56"/>
      <c r="AC651" s="56"/>
      <c r="AD651" s="57"/>
      <c r="AE651" s="10"/>
    </row>
    <row r="652" spans="4:25" ht="24.75" customHeight="1">
      <c r="D652" s="47"/>
      <c r="E652" s="47"/>
      <c r="F652" s="47"/>
      <c r="G652" s="47"/>
      <c r="H652" s="47"/>
      <c r="I652" s="47"/>
      <c r="J652" s="47"/>
      <c r="K652" s="47"/>
      <c r="L652" s="56"/>
      <c r="M652" s="56"/>
      <c r="N652" s="47"/>
      <c r="O652" s="47"/>
      <c r="P652" s="47"/>
      <c r="Q652" s="10"/>
      <c r="R652" s="55"/>
      <c r="S652" s="56"/>
      <c r="T652" s="56"/>
      <c r="U652" s="56"/>
      <c r="V652" s="57"/>
      <c r="W652" s="10"/>
      <c r="X652" s="10"/>
      <c r="Y652" s="10"/>
    </row>
    <row r="653" spans="4:36" ht="24.75" customHeight="1">
      <c r="D653" s="110" t="s">
        <v>173</v>
      </c>
      <c r="E653" s="110"/>
      <c r="F653" s="110"/>
      <c r="G653" s="110"/>
      <c r="H653" s="59" t="s">
        <v>87</v>
      </c>
      <c r="I653" s="107">
        <f>G645</f>
        <v>157.5</v>
      </c>
      <c r="J653" s="107"/>
      <c r="K653" s="107"/>
      <c r="L653" s="107"/>
      <c r="M653" s="14" t="s">
        <v>48</v>
      </c>
      <c r="N653" s="107">
        <f aca="true" t="shared" si="8" ref="N653:N658">R646</f>
        <v>153.746</v>
      </c>
      <c r="O653" s="107"/>
      <c r="P653" s="107"/>
      <c r="Q653" s="107"/>
      <c r="R653" s="55" t="s">
        <v>136</v>
      </c>
      <c r="S653" s="56"/>
      <c r="T653" s="56"/>
      <c r="U653" s="56"/>
      <c r="V653" s="108">
        <f>L646</f>
        <v>26.27692678</v>
      </c>
      <c r="W653" s="108"/>
      <c r="X653" s="108"/>
      <c r="Y653" s="14" t="s">
        <v>137</v>
      </c>
      <c r="Z653" s="108">
        <f>AM614</f>
        <v>12</v>
      </c>
      <c r="AA653" s="108"/>
      <c r="AB653" s="108"/>
      <c r="AC653" s="5" t="s">
        <v>89</v>
      </c>
      <c r="AD653" s="109">
        <f>(I653+N653)/2*V653*Z653</f>
        <v>49071.53011540727</v>
      </c>
      <c r="AE653" s="109"/>
      <c r="AF653" s="109"/>
      <c r="AG653" s="109"/>
      <c r="AH653" s="109"/>
      <c r="AI653" s="5" t="s">
        <v>113</v>
      </c>
      <c r="AJ653" s="5" t="s">
        <v>20</v>
      </c>
    </row>
    <row r="654" spans="4:46" ht="24.75" customHeight="1">
      <c r="D654" s="92" t="s">
        <v>228</v>
      </c>
      <c r="E654" s="92"/>
      <c r="F654" s="92"/>
      <c r="G654" s="92"/>
      <c r="H654" s="14" t="s">
        <v>87</v>
      </c>
      <c r="I654" s="107">
        <f>R646</f>
        <v>153.746</v>
      </c>
      <c r="J654" s="107"/>
      <c r="K654" s="107"/>
      <c r="L654" s="107"/>
      <c r="M654" s="14" t="s">
        <v>48</v>
      </c>
      <c r="N654" s="107">
        <f t="shared" si="8"/>
        <v>139.461</v>
      </c>
      <c r="O654" s="107"/>
      <c r="P654" s="107"/>
      <c r="Q654" s="107"/>
      <c r="R654" s="68" t="s">
        <v>171</v>
      </c>
      <c r="S654" s="14"/>
      <c r="T654" s="8">
        <v>2</v>
      </c>
      <c r="U654" s="62" t="s">
        <v>137</v>
      </c>
      <c r="V654" s="63">
        <f>L647-L646</f>
        <v>100</v>
      </c>
      <c r="W654" s="63"/>
      <c r="X654" s="63"/>
      <c r="Y654" s="64" t="s">
        <v>137</v>
      </c>
      <c r="Z654" s="24">
        <f>Z653</f>
        <v>12</v>
      </c>
      <c r="AA654" s="25"/>
      <c r="AB654" s="24"/>
      <c r="AC654" s="65" t="s">
        <v>47</v>
      </c>
      <c r="AD654" s="66">
        <v>2</v>
      </c>
      <c r="AE654" s="66"/>
      <c r="AF654" s="66"/>
      <c r="AG654" s="8" t="s">
        <v>34</v>
      </c>
      <c r="AH654" s="63">
        <f>ROUND(+(I654+N654)/T654*V654*Z654/AD654,1)</f>
        <v>87962.1</v>
      </c>
      <c r="AI654" s="63"/>
      <c r="AJ654" s="63"/>
      <c r="AK654" s="63"/>
      <c r="AL654" s="92" t="str">
        <f>IF(AH654&gt;+V604,"N/本  ＞  ρa   N.G.","N/本  ＜  ρa   O.K.")</f>
        <v>N/本  ＜  ρa   O.K.</v>
      </c>
      <c r="AM654" s="92"/>
      <c r="AN654" s="92"/>
      <c r="AO654" s="92"/>
      <c r="AP654" s="92"/>
      <c r="AQ654" s="92"/>
      <c r="AR654" s="92"/>
      <c r="AS654" s="92"/>
      <c r="AT654" s="92"/>
    </row>
    <row r="655" spans="4:46" ht="24.75" customHeight="1">
      <c r="D655" s="92" t="s">
        <v>250</v>
      </c>
      <c r="E655" s="92"/>
      <c r="F655" s="92"/>
      <c r="G655" s="92"/>
      <c r="H655" s="14" t="s">
        <v>87</v>
      </c>
      <c r="I655" s="107">
        <f>N654</f>
        <v>139.461</v>
      </c>
      <c r="J655" s="107"/>
      <c r="K655" s="107"/>
      <c r="L655" s="107"/>
      <c r="M655" s="14" t="s">
        <v>48</v>
      </c>
      <c r="N655" s="107">
        <f t="shared" si="8"/>
        <v>125.176</v>
      </c>
      <c r="O655" s="107"/>
      <c r="P655" s="107"/>
      <c r="Q655" s="107"/>
      <c r="R655" s="68" t="s">
        <v>171</v>
      </c>
      <c r="S655" s="14"/>
      <c r="T655" s="8">
        <v>2</v>
      </c>
      <c r="U655" s="62" t="s">
        <v>137</v>
      </c>
      <c r="V655" s="63">
        <f>(L648-L647)</f>
        <v>100</v>
      </c>
      <c r="W655" s="67"/>
      <c r="X655" s="24"/>
      <c r="Y655" s="64" t="s">
        <v>137</v>
      </c>
      <c r="Z655" s="24">
        <f>Z653</f>
        <v>12</v>
      </c>
      <c r="AA655" s="24"/>
      <c r="AB655" s="24"/>
      <c r="AC655" s="65" t="s">
        <v>47</v>
      </c>
      <c r="AD655" s="66">
        <v>2</v>
      </c>
      <c r="AE655" s="66"/>
      <c r="AF655" s="66"/>
      <c r="AG655" s="8" t="s">
        <v>34</v>
      </c>
      <c r="AH655" s="63">
        <f>ROUND(+(I655+N655)/T655*V655*Z655/AD655,1)</f>
        <v>79391.1</v>
      </c>
      <c r="AI655" s="63"/>
      <c r="AJ655" s="63"/>
      <c r="AK655" s="63"/>
      <c r="AL655" s="92" t="str">
        <f>IF(AH655&gt;+V604,"N/本  ＞  ρa   N.G.","N/本  ＜  ρa   O.K.")</f>
        <v>N/本  ＜  ρa   O.K.</v>
      </c>
      <c r="AM655" s="92"/>
      <c r="AN655" s="92"/>
      <c r="AO655" s="92"/>
      <c r="AP655" s="92"/>
      <c r="AQ655" s="92"/>
      <c r="AR655" s="92"/>
      <c r="AS655" s="92"/>
      <c r="AT655" s="92"/>
    </row>
    <row r="656" spans="4:46" ht="24.75" customHeight="1">
      <c r="D656" s="92" t="s">
        <v>251</v>
      </c>
      <c r="E656" s="92"/>
      <c r="F656" s="92"/>
      <c r="G656" s="92"/>
      <c r="H656" s="14" t="s">
        <v>87</v>
      </c>
      <c r="I656" s="107">
        <f>N655</f>
        <v>125.176</v>
      </c>
      <c r="J656" s="107"/>
      <c r="K656" s="107"/>
      <c r="L656" s="107"/>
      <c r="M656" s="14" t="s">
        <v>48</v>
      </c>
      <c r="N656" s="107">
        <f t="shared" si="8"/>
        <v>110.891</v>
      </c>
      <c r="O656" s="107"/>
      <c r="P656" s="107"/>
      <c r="Q656" s="107"/>
      <c r="R656" s="68" t="s">
        <v>171</v>
      </c>
      <c r="S656" s="14"/>
      <c r="T656" s="8">
        <v>2</v>
      </c>
      <c r="U656" s="62" t="s">
        <v>137</v>
      </c>
      <c r="V656" s="63">
        <f>(L649-L648)</f>
        <v>100</v>
      </c>
      <c r="W656" s="67"/>
      <c r="X656" s="24"/>
      <c r="Y656" s="64" t="s">
        <v>137</v>
      </c>
      <c r="Z656" s="24">
        <f>Z653</f>
        <v>12</v>
      </c>
      <c r="AA656" s="24"/>
      <c r="AB656" s="24"/>
      <c r="AC656" s="65" t="s">
        <v>47</v>
      </c>
      <c r="AD656" s="66">
        <v>2</v>
      </c>
      <c r="AE656" s="66"/>
      <c r="AF656" s="66"/>
      <c r="AG656" s="8" t="s">
        <v>34</v>
      </c>
      <c r="AH656" s="63">
        <f>ROUND(+(I656+N656)/T656*V656*Z656/AD656,1)</f>
        <v>70820.1</v>
      </c>
      <c r="AI656" s="63"/>
      <c r="AJ656" s="63"/>
      <c r="AK656" s="63"/>
      <c r="AL656" s="92" t="str">
        <f>IF(AH656&gt;+V604,"N/本  ＞  ρa   N.G.","N/本  ＜  ρa   O.K.")</f>
        <v>N/本  ＜  ρa   O.K.</v>
      </c>
      <c r="AM656" s="92"/>
      <c r="AN656" s="92"/>
      <c r="AO656" s="92"/>
      <c r="AP656" s="92"/>
      <c r="AQ656" s="92"/>
      <c r="AR656" s="92"/>
      <c r="AS656" s="92"/>
      <c r="AT656" s="92"/>
    </row>
    <row r="657" spans="4:46" ht="24.75" customHeight="1">
      <c r="D657" s="92" t="s">
        <v>252</v>
      </c>
      <c r="E657" s="92"/>
      <c r="F657" s="92"/>
      <c r="G657" s="92"/>
      <c r="H657" s="14" t="s">
        <v>87</v>
      </c>
      <c r="I657" s="107">
        <f>N656</f>
        <v>110.891</v>
      </c>
      <c r="J657" s="107"/>
      <c r="K657" s="107"/>
      <c r="L657" s="107"/>
      <c r="M657" s="14" t="s">
        <v>48</v>
      </c>
      <c r="N657" s="107">
        <f t="shared" si="8"/>
        <v>96.606</v>
      </c>
      <c r="O657" s="107"/>
      <c r="P657" s="107"/>
      <c r="Q657" s="107"/>
      <c r="R657" s="68" t="s">
        <v>171</v>
      </c>
      <c r="S657" s="14"/>
      <c r="T657" s="8">
        <v>2</v>
      </c>
      <c r="U657" s="62" t="s">
        <v>137</v>
      </c>
      <c r="V657" s="63">
        <f>(L650-L649)</f>
        <v>100</v>
      </c>
      <c r="W657" s="67"/>
      <c r="X657" s="24"/>
      <c r="Y657" s="64" t="s">
        <v>137</v>
      </c>
      <c r="Z657" s="24">
        <f>Z653</f>
        <v>12</v>
      </c>
      <c r="AA657" s="24"/>
      <c r="AB657" s="24"/>
      <c r="AC657" s="65" t="s">
        <v>47</v>
      </c>
      <c r="AD657" s="66">
        <v>2</v>
      </c>
      <c r="AE657" s="66"/>
      <c r="AF657" s="66"/>
      <c r="AG657" s="8" t="s">
        <v>34</v>
      </c>
      <c r="AH657" s="63">
        <f>ROUND(+(I657+N657)/T657*V657*Z657/AD657,1)</f>
        <v>62249.1</v>
      </c>
      <c r="AI657" s="63"/>
      <c r="AJ657" s="63"/>
      <c r="AK657" s="63"/>
      <c r="AL657" s="92" t="str">
        <f>IF(AH657&gt;+V604,"N/本  ＞  ρa   N.G.","N/本  ＜  ρa   O.K.")</f>
        <v>N/本  ＜  ρa   O.K.</v>
      </c>
      <c r="AM657" s="92"/>
      <c r="AN657" s="92"/>
      <c r="AO657" s="92"/>
      <c r="AP657" s="92"/>
      <c r="AQ657" s="92"/>
      <c r="AR657" s="92"/>
      <c r="AS657" s="92"/>
      <c r="AT657" s="92"/>
    </row>
    <row r="658" spans="4:46" ht="24.75" customHeight="1">
      <c r="D658" s="92" t="s">
        <v>253</v>
      </c>
      <c r="E658" s="92"/>
      <c r="F658" s="92"/>
      <c r="G658" s="92"/>
      <c r="H658" s="14" t="s">
        <v>87</v>
      </c>
      <c r="I658" s="107">
        <f>N657</f>
        <v>96.606</v>
      </c>
      <c r="J658" s="107"/>
      <c r="K658" s="107"/>
      <c r="L658" s="107"/>
      <c r="M658" s="14" t="s">
        <v>48</v>
      </c>
      <c r="N658" s="107">
        <f t="shared" si="8"/>
        <v>82.321</v>
      </c>
      <c r="O658" s="107"/>
      <c r="P658" s="107"/>
      <c r="Q658" s="107"/>
      <c r="R658" s="68" t="s">
        <v>171</v>
      </c>
      <c r="S658" s="14"/>
      <c r="T658" s="8">
        <v>2</v>
      </c>
      <c r="U658" s="62" t="s">
        <v>137</v>
      </c>
      <c r="V658" s="63">
        <f>(L651-L650)</f>
        <v>100.00000000000006</v>
      </c>
      <c r="W658" s="67"/>
      <c r="X658" s="24"/>
      <c r="Y658" s="64" t="s">
        <v>137</v>
      </c>
      <c r="Z658" s="24">
        <f>Z653</f>
        <v>12</v>
      </c>
      <c r="AA658" s="24"/>
      <c r="AB658" s="24"/>
      <c r="AC658" s="65" t="s">
        <v>47</v>
      </c>
      <c r="AD658" s="66">
        <v>2</v>
      </c>
      <c r="AE658" s="66"/>
      <c r="AF658" s="66"/>
      <c r="AG658" s="8" t="s">
        <v>34</v>
      </c>
      <c r="AH658" s="63">
        <f>ROUND(+(I658+N658)/T658*V658*Z658/AD658,1)</f>
        <v>53678.1</v>
      </c>
      <c r="AI658" s="63"/>
      <c r="AJ658" s="63"/>
      <c r="AK658" s="63"/>
      <c r="AL658" s="92" t="str">
        <f>IF(AH658&gt;+V604,"N/本  ＞  ρa   N.G.","N/本  ＜  ρa   O.K.")</f>
        <v>N/本  ＜  ρa   O.K.</v>
      </c>
      <c r="AM658" s="92"/>
      <c r="AN658" s="92"/>
      <c r="AO658" s="92"/>
      <c r="AP658" s="92"/>
      <c r="AQ658" s="92"/>
      <c r="AR658" s="92"/>
      <c r="AS658" s="92"/>
      <c r="AT658" s="92"/>
    </row>
    <row r="659" spans="4:25" ht="24.75" customHeight="1">
      <c r="D659" s="47"/>
      <c r="E659" s="47"/>
      <c r="F659" s="47"/>
      <c r="G659" s="47"/>
      <c r="H659" s="47"/>
      <c r="I659" s="47"/>
      <c r="J659" s="47"/>
      <c r="K659" s="47"/>
      <c r="L659" s="56"/>
      <c r="M659" s="56"/>
      <c r="N659" s="47"/>
      <c r="O659" s="47"/>
      <c r="P659" s="47"/>
      <c r="Q659" s="10"/>
      <c r="R659" s="55"/>
      <c r="S659" s="56"/>
      <c r="T659" s="56"/>
      <c r="U659" s="56"/>
      <c r="V659" s="57"/>
      <c r="W659" s="10"/>
      <c r="X659" s="10"/>
      <c r="Y659" s="10"/>
    </row>
    <row r="660" spans="3:47" ht="24.75" customHeight="1">
      <c r="C660" s="18" t="s">
        <v>9</v>
      </c>
      <c r="I660" s="23"/>
      <c r="AU660" s="23"/>
    </row>
    <row r="661" spans="4:47" ht="24.75" customHeight="1">
      <c r="D661" s="5" t="s">
        <v>26</v>
      </c>
      <c r="AU661" s="23"/>
    </row>
    <row r="662" spans="4:47" ht="24.75" customHeight="1">
      <c r="D662" s="5" t="s">
        <v>27</v>
      </c>
      <c r="AU662" s="23"/>
    </row>
    <row r="663" spans="5:47" ht="24.75" customHeight="1">
      <c r="E663" s="5" t="s">
        <v>125</v>
      </c>
      <c r="AU663" s="23"/>
    </row>
    <row r="664" ht="24.75" customHeight="1">
      <c r="D664" s="5" t="s">
        <v>7</v>
      </c>
    </row>
    <row r="665" spans="3:42" ht="24.75" customHeight="1">
      <c r="C665" s="106" t="s">
        <v>49</v>
      </c>
      <c r="D665" s="106"/>
      <c r="E665" s="106"/>
      <c r="G665" s="105">
        <f>ABS(O471)</f>
        <v>1482.4968294</v>
      </c>
      <c r="H665" s="105"/>
      <c r="I665" s="105"/>
      <c r="J665" s="19" t="s">
        <v>41</v>
      </c>
      <c r="K665" s="132">
        <v>1000</v>
      </c>
      <c r="L665" s="132"/>
      <c r="M665" s="132"/>
      <c r="N665" s="92" t="s">
        <v>48</v>
      </c>
      <c r="O665" s="92"/>
      <c r="P665" s="105">
        <f>ABS(O472)</f>
        <v>772.6456437</v>
      </c>
      <c r="Q665" s="105"/>
      <c r="R665" s="105"/>
      <c r="S665" s="19" t="s">
        <v>41</v>
      </c>
      <c r="T665" s="97">
        <v>100000</v>
      </c>
      <c r="U665" s="97"/>
      <c r="V665" s="97"/>
      <c r="W665" s="97"/>
      <c r="Y665" s="106" t="s">
        <v>47</v>
      </c>
      <c r="Z665" s="106"/>
      <c r="AA665" s="122">
        <v>44</v>
      </c>
      <c r="AB665" s="122"/>
      <c r="AC665" s="122"/>
      <c r="AD665" s="92" t="s">
        <v>34</v>
      </c>
      <c r="AE665" s="92"/>
      <c r="AF665" s="102">
        <f>ROUND((G665*K665/J666+P665*T665/(R666*T666))/AA665,1)</f>
        <v>17236.8</v>
      </c>
      <c r="AG665" s="102"/>
      <c r="AH665" s="102"/>
      <c r="AI665" s="102"/>
      <c r="AJ665" s="103" t="str">
        <f>IF(AF665&gt;+M593,"N/本   ＞ ρa","N/本  ＜  ρa")</f>
        <v>N/本  ＜  ρa</v>
      </c>
      <c r="AK665" s="103"/>
      <c r="AL665" s="103"/>
      <c r="AM665" s="103"/>
      <c r="AN665" s="103"/>
      <c r="AO665" s="103"/>
      <c r="AP665" s="103"/>
    </row>
    <row r="666" spans="3:42" ht="24.75" customHeight="1">
      <c r="C666" s="106"/>
      <c r="D666" s="106"/>
      <c r="E666" s="106"/>
      <c r="J666" s="8">
        <v>2</v>
      </c>
      <c r="N666" s="92"/>
      <c r="O666" s="92"/>
      <c r="R666" s="8">
        <v>2</v>
      </c>
      <c r="S666" s="14" t="s">
        <v>41</v>
      </c>
      <c r="T666" s="24">
        <f>(AG470+AN470)/2*1000</f>
        <v>2250</v>
      </c>
      <c r="U666" s="25"/>
      <c r="V666" s="25"/>
      <c r="Y666" s="106"/>
      <c r="Z666" s="106"/>
      <c r="AA666" s="122"/>
      <c r="AB666" s="122"/>
      <c r="AC666" s="122"/>
      <c r="AD666" s="92"/>
      <c r="AE666" s="92"/>
      <c r="AF666" s="102"/>
      <c r="AG666" s="102"/>
      <c r="AH666" s="102"/>
      <c r="AI666" s="102"/>
      <c r="AJ666" s="103"/>
      <c r="AK666" s="103"/>
      <c r="AL666" s="103"/>
      <c r="AM666" s="103"/>
      <c r="AN666" s="103"/>
      <c r="AO666" s="103"/>
      <c r="AP666" s="103"/>
    </row>
    <row r="668" spans="3:9" ht="24.75" customHeight="1">
      <c r="C668" s="5" t="s">
        <v>10</v>
      </c>
      <c r="I668" s="23"/>
    </row>
    <row r="669" spans="4:31" ht="24.75" customHeight="1">
      <c r="D669" s="5" t="s">
        <v>50</v>
      </c>
      <c r="P669" s="104">
        <f>ROUND(MAX(AH637:AH641,AH654:AH658),1)</f>
        <v>87962.1</v>
      </c>
      <c r="Q669" s="104"/>
      <c r="R669" s="104"/>
      <c r="S669" s="104"/>
      <c r="T669" s="5" t="s">
        <v>48</v>
      </c>
      <c r="U669" s="104">
        <f>+AF665</f>
        <v>17236.8</v>
      </c>
      <c r="V669" s="104"/>
      <c r="W669" s="104"/>
      <c r="X669" s="104"/>
      <c r="Y669" s="5" t="s">
        <v>33</v>
      </c>
      <c r="AA669" s="100">
        <f>ROUND(SQRT(P669^2+U669^2),1)</f>
        <v>89635</v>
      </c>
      <c r="AB669" s="100"/>
      <c r="AC669" s="100"/>
      <c r="AD669" s="100"/>
      <c r="AE669" s="5" t="str">
        <f>IF(AA669&gt;$AA$10,"N/本  ＞  ρa ,  N.G","N/本  ＜  ρa ,  O.K")</f>
        <v>N/本  ＜  ρa ,  O.K</v>
      </c>
    </row>
    <row r="670" spans="3:9" ht="24.75" customHeight="1">
      <c r="C670" s="18" t="s">
        <v>245</v>
      </c>
      <c r="I670" s="23"/>
    </row>
    <row r="671" ht="24.75" customHeight="1">
      <c r="D671" s="5" t="s">
        <v>25</v>
      </c>
    </row>
    <row r="672" spans="4:30" ht="24.75" customHeight="1">
      <c r="D672" s="92" t="s">
        <v>214</v>
      </c>
      <c r="E672" s="92"/>
      <c r="F672" s="92"/>
      <c r="G672" s="132">
        <f>+AM614</f>
        <v>12</v>
      </c>
      <c r="H672" s="132"/>
      <c r="I672" s="132"/>
      <c r="J672" s="19" t="s">
        <v>41</v>
      </c>
      <c r="K672" s="176">
        <f>IF(AG472=0,M674&amp;"³",M674)</f>
        <v>2205.1077071199948</v>
      </c>
      <c r="L672" s="176"/>
      <c r="M672" s="176"/>
      <c r="N672" s="103" t="str">
        <f>IF(AG472=0,""," × ( "&amp;ROUND(M674,1)&amp;"²cos²"&amp;ROUND(AG472,2)&amp;" + "&amp;ROUND(I674,1)&amp;"²sin²"&amp;ROUND(AG472,2)&amp;" )")</f>
        <v> × ( 2205.1²cos²3.9 + 12²sin²3.9 )</v>
      </c>
      <c r="O672" s="103"/>
      <c r="P672" s="103"/>
      <c r="Q672" s="103"/>
      <c r="R672" s="103"/>
      <c r="S672" s="103"/>
      <c r="T672" s="103"/>
      <c r="U672" s="103"/>
      <c r="V672" s="103"/>
      <c r="W672" s="103"/>
      <c r="X672" s="103"/>
      <c r="Y672" s="103"/>
      <c r="Z672" s="103"/>
      <c r="AA672" s="103"/>
      <c r="AB672" s="103"/>
      <c r="AC672" s="103"/>
      <c r="AD672" s="103"/>
    </row>
    <row r="673" spans="4:30" ht="24.75" customHeight="1">
      <c r="D673" s="92"/>
      <c r="E673" s="92"/>
      <c r="F673" s="92"/>
      <c r="I673" s="92">
        <v>12</v>
      </c>
      <c r="J673" s="92"/>
      <c r="K673" s="92"/>
      <c r="N673" s="103"/>
      <c r="O673" s="103"/>
      <c r="P673" s="103"/>
      <c r="Q673" s="103"/>
      <c r="R673" s="103"/>
      <c r="S673" s="103"/>
      <c r="T673" s="103"/>
      <c r="U673" s="103"/>
      <c r="V673" s="103"/>
      <c r="W673" s="103"/>
      <c r="X673" s="103"/>
      <c r="Y673" s="103"/>
      <c r="Z673" s="103"/>
      <c r="AA673" s="103"/>
      <c r="AB673" s="103"/>
      <c r="AC673" s="103"/>
      <c r="AD673" s="103"/>
    </row>
    <row r="674" spans="4:42" ht="24.75" customHeight="1">
      <c r="D674" s="8"/>
      <c r="E674" s="8"/>
      <c r="F674" s="8"/>
      <c r="G674" s="92" t="s">
        <v>48</v>
      </c>
      <c r="H674" s="92"/>
      <c r="I674" s="124">
        <f>+G672</f>
        <v>12</v>
      </c>
      <c r="J674" s="124"/>
      <c r="K674" s="92" t="s">
        <v>36</v>
      </c>
      <c r="L674" s="92"/>
      <c r="M674" s="100">
        <f>AM613/COS(RADIANS(AG472))</f>
        <v>2205.1077071199948</v>
      </c>
      <c r="N674" s="100"/>
      <c r="O674" s="100"/>
      <c r="P674" s="100"/>
      <c r="Q674" s="92" t="s">
        <v>37</v>
      </c>
      <c r="R674" s="92"/>
      <c r="S674" s="80">
        <f>AM613/2</f>
        <v>1100</v>
      </c>
      <c r="T674" s="80"/>
      <c r="U674" s="80"/>
      <c r="V674" s="80"/>
      <c r="W674" s="92" t="s">
        <v>46</v>
      </c>
      <c r="X674" s="80">
        <f>ROUND(Q693,2)</f>
        <v>1107.62</v>
      </c>
      <c r="Y674" s="80"/>
      <c r="Z674" s="80"/>
      <c r="AA674" s="80"/>
      <c r="AB674" s="92" t="s">
        <v>38</v>
      </c>
      <c r="AC674" s="92"/>
      <c r="AD674" s="92"/>
      <c r="AE674" s="90">
        <f>I674*M674/12*((M674*COS(RADIANS(AG472)))^2+(I674*SIN(RADIANS(AG472)))^2)+I674*M674*(S674-X674)^2</f>
        <v>10674259230.84815</v>
      </c>
      <c r="AF674" s="90"/>
      <c r="AG674" s="90"/>
      <c r="AH674" s="90"/>
      <c r="AI674" s="90"/>
      <c r="AJ674" s="90"/>
      <c r="AK674" s="92" t="s">
        <v>224</v>
      </c>
      <c r="AL674" s="92"/>
      <c r="AM674" s="28"/>
      <c r="AN674" s="28"/>
      <c r="AO674" s="8"/>
      <c r="AP674" s="8"/>
    </row>
    <row r="675" spans="4:42" ht="24.75" customHeight="1">
      <c r="D675" s="8"/>
      <c r="E675" s="8"/>
      <c r="F675" s="8"/>
      <c r="G675" s="92"/>
      <c r="H675" s="92"/>
      <c r="I675" s="124"/>
      <c r="J675" s="124"/>
      <c r="K675" s="92"/>
      <c r="L675" s="92"/>
      <c r="M675" s="100"/>
      <c r="N675" s="100"/>
      <c r="O675" s="100"/>
      <c r="P675" s="100"/>
      <c r="Q675" s="92"/>
      <c r="R675" s="92"/>
      <c r="S675" s="80"/>
      <c r="T675" s="80"/>
      <c r="U675" s="80"/>
      <c r="V675" s="80"/>
      <c r="W675" s="92"/>
      <c r="X675" s="80"/>
      <c r="Y675" s="80"/>
      <c r="Z675" s="80"/>
      <c r="AA675" s="80"/>
      <c r="AB675" s="92"/>
      <c r="AC675" s="92"/>
      <c r="AD675" s="92"/>
      <c r="AE675" s="90"/>
      <c r="AF675" s="90"/>
      <c r="AG675" s="90"/>
      <c r="AH675" s="90"/>
      <c r="AI675" s="90"/>
      <c r="AJ675" s="90"/>
      <c r="AK675" s="92"/>
      <c r="AL675" s="92"/>
      <c r="AM675" s="28"/>
      <c r="AN675" s="28"/>
      <c r="AO675" s="8"/>
      <c r="AP675" s="8"/>
    </row>
    <row r="676" spans="4:42" ht="24.75" customHeight="1">
      <c r="D676" s="8"/>
      <c r="E676" s="8"/>
      <c r="F676" s="8"/>
      <c r="I676" s="8"/>
      <c r="J676" s="8"/>
      <c r="K676" s="8"/>
      <c r="N676" s="8"/>
      <c r="O676" s="8"/>
      <c r="P676" s="9"/>
      <c r="W676" s="8"/>
      <c r="AK676" s="7"/>
      <c r="AL676" s="7"/>
      <c r="AM676" s="7"/>
      <c r="AN676" s="7"/>
      <c r="AO676" s="8"/>
      <c r="AP676" s="8"/>
    </row>
    <row r="677" spans="4:23" ht="24.75" customHeight="1">
      <c r="D677" s="5" t="s">
        <v>28</v>
      </c>
      <c r="W677" s="8"/>
    </row>
    <row r="678" spans="4:33" ht="24.75" customHeight="1">
      <c r="D678" s="92" t="s">
        <v>215</v>
      </c>
      <c r="E678" s="92"/>
      <c r="F678" s="92"/>
      <c r="G678" s="92"/>
      <c r="H678" s="97" t="s">
        <v>209</v>
      </c>
      <c r="I678" s="97"/>
      <c r="J678" s="97"/>
      <c r="K678" s="92" t="s">
        <v>34</v>
      </c>
      <c r="L678" s="92"/>
      <c r="M678" s="100">
        <f>AA680</f>
        <v>7050.1690429</v>
      </c>
      <c r="N678" s="100"/>
      <c r="O678" s="100"/>
      <c r="P678" s="100"/>
      <c r="Q678" s="92" t="s">
        <v>41</v>
      </c>
      <c r="R678" s="92"/>
      <c r="S678" s="101">
        <f>+AE674</f>
        <v>10674259230.84815</v>
      </c>
      <c r="T678" s="101"/>
      <c r="U678" s="101"/>
      <c r="V678" s="101"/>
      <c r="W678" s="101"/>
      <c r="X678" s="101"/>
      <c r="Y678" s="92" t="s">
        <v>34</v>
      </c>
      <c r="Z678" s="92"/>
      <c r="AA678" s="89">
        <f>+M678*S678/S679</f>
        <v>517.062414013736</v>
      </c>
      <c r="AB678" s="89"/>
      <c r="AC678" s="89"/>
      <c r="AD678" s="89"/>
      <c r="AE678" s="92" t="s">
        <v>103</v>
      </c>
      <c r="AF678" s="92"/>
      <c r="AG678" s="18"/>
    </row>
    <row r="679" spans="4:33" ht="24.75" customHeight="1">
      <c r="D679" s="92"/>
      <c r="E679" s="92"/>
      <c r="F679" s="92"/>
      <c r="G679" s="92"/>
      <c r="H679" s="92" t="s">
        <v>51</v>
      </c>
      <c r="I679" s="92"/>
      <c r="J679" s="92"/>
      <c r="K679" s="92"/>
      <c r="L679" s="92"/>
      <c r="M679" s="100"/>
      <c r="N679" s="100"/>
      <c r="O679" s="100"/>
      <c r="P679" s="100"/>
      <c r="Q679" s="92"/>
      <c r="R679" s="92"/>
      <c r="S679" s="99">
        <f>+U681</f>
        <v>145544000000</v>
      </c>
      <c r="T679" s="99"/>
      <c r="U679" s="99"/>
      <c r="V679" s="99"/>
      <c r="W679" s="99"/>
      <c r="X679" s="99"/>
      <c r="Y679" s="92"/>
      <c r="Z679" s="92"/>
      <c r="AA679" s="89"/>
      <c r="AB679" s="89"/>
      <c r="AC679" s="89"/>
      <c r="AD679" s="89"/>
      <c r="AE679" s="92"/>
      <c r="AF679" s="92"/>
      <c r="AG679" s="18"/>
    </row>
    <row r="680" spans="4:31" ht="24.75" customHeight="1">
      <c r="D680" s="5" t="s">
        <v>216</v>
      </c>
      <c r="I680" s="23"/>
      <c r="AA680" s="89">
        <f>ABS(O470)</f>
        <v>7050.1690429</v>
      </c>
      <c r="AB680" s="89"/>
      <c r="AC680" s="89"/>
      <c r="AD680" s="89"/>
      <c r="AE680" s="5" t="s">
        <v>111</v>
      </c>
    </row>
    <row r="681" spans="4:31" ht="24.75" customHeight="1">
      <c r="D681" s="5" t="s">
        <v>52</v>
      </c>
      <c r="G681" s="5" t="s">
        <v>29</v>
      </c>
      <c r="I681" s="23"/>
      <c r="S681" s="5" t="s">
        <v>53</v>
      </c>
      <c r="U681" s="99">
        <v>145544000000</v>
      </c>
      <c r="V681" s="99"/>
      <c r="W681" s="99"/>
      <c r="X681" s="99"/>
      <c r="Y681" s="99"/>
      <c r="Z681" s="99"/>
      <c r="AA681" s="5" t="s">
        <v>224</v>
      </c>
      <c r="AB681" s="8"/>
      <c r="AC681" s="8"/>
      <c r="AD681" s="41"/>
      <c r="AE681" s="41"/>
    </row>
    <row r="682" spans="9:35" ht="24.75" customHeight="1">
      <c r="I682" s="23"/>
      <c r="T682" s="22"/>
      <c r="U682" s="22"/>
      <c r="V682" s="22"/>
      <c r="W682" s="22"/>
      <c r="X682" s="22"/>
      <c r="AA682" s="69"/>
      <c r="AB682" s="8"/>
      <c r="AC682" s="8"/>
      <c r="AD682" s="41"/>
      <c r="AE682" s="41"/>
      <c r="AF682" s="41"/>
      <c r="AG682" s="41"/>
      <c r="AH682" s="8"/>
      <c r="AI682" s="8"/>
    </row>
    <row r="683" spans="4:35" ht="24.75" customHeight="1">
      <c r="D683" s="97" t="s">
        <v>246</v>
      </c>
      <c r="E683" s="97"/>
      <c r="F683" s="97"/>
      <c r="G683" s="97"/>
      <c r="H683" s="97"/>
      <c r="I683" s="97"/>
      <c r="J683" s="97"/>
      <c r="K683" s="97"/>
      <c r="L683" s="97"/>
      <c r="M683" s="97"/>
      <c r="N683" s="41"/>
      <c r="O683" s="41"/>
      <c r="P683" s="41"/>
      <c r="Q683" s="8"/>
      <c r="R683" s="8"/>
      <c r="S683" s="22"/>
      <c r="T683" s="22"/>
      <c r="U683" s="22"/>
      <c r="V683" s="22"/>
      <c r="W683" s="22"/>
      <c r="X683" s="8"/>
      <c r="Y683" s="8"/>
      <c r="Z683" s="69"/>
      <c r="AA683" s="69"/>
      <c r="AB683" s="8"/>
      <c r="AC683" s="8"/>
      <c r="AD683" s="41"/>
      <c r="AE683" s="41"/>
      <c r="AF683" s="41"/>
      <c r="AG683" s="41"/>
      <c r="AH683" s="8"/>
      <c r="AI683" s="8"/>
    </row>
    <row r="684" spans="4:42" ht="24.75" customHeight="1" thickBot="1">
      <c r="D684" s="77"/>
      <c r="E684" s="75"/>
      <c r="F684" s="75"/>
      <c r="G684" s="75"/>
      <c r="H684" s="75"/>
      <c r="I684" s="75"/>
      <c r="J684" s="75"/>
      <c r="K684" s="75"/>
      <c r="L684" s="75"/>
      <c r="M684" s="74" t="s">
        <v>230</v>
      </c>
      <c r="N684" s="74"/>
      <c r="O684" s="74"/>
      <c r="P684" s="74"/>
      <c r="Q684" s="74"/>
      <c r="R684" s="74"/>
      <c r="S684" s="73" t="s">
        <v>104</v>
      </c>
      <c r="T684" s="73"/>
      <c r="U684" s="73"/>
      <c r="V684" s="73"/>
      <c r="W684" s="73"/>
      <c r="X684" s="73"/>
      <c r="Y684" s="74" t="s">
        <v>231</v>
      </c>
      <c r="Z684" s="74"/>
      <c r="AA684" s="74"/>
      <c r="AB684" s="74"/>
      <c r="AC684" s="74"/>
      <c r="AD684" s="74"/>
      <c r="AE684" s="74" t="s">
        <v>232</v>
      </c>
      <c r="AF684" s="74"/>
      <c r="AG684" s="74"/>
      <c r="AH684" s="74"/>
      <c r="AI684" s="74"/>
      <c r="AJ684" s="74"/>
      <c r="AK684" s="75" t="s">
        <v>233</v>
      </c>
      <c r="AL684" s="75"/>
      <c r="AM684" s="75"/>
      <c r="AN684" s="75"/>
      <c r="AO684" s="75"/>
      <c r="AP684" s="76"/>
    </row>
    <row r="685" spans="4:42" ht="24.75" customHeight="1" thickBot="1" thickTop="1">
      <c r="D685" s="177">
        <v>2</v>
      </c>
      <c r="E685" s="178"/>
      <c r="F685" s="178"/>
      <c r="G685" s="179">
        <v>2180</v>
      </c>
      <c r="H685" s="179"/>
      <c r="I685" s="179"/>
      <c r="J685" s="179"/>
      <c r="K685" s="180">
        <v>9</v>
      </c>
      <c r="L685" s="181"/>
      <c r="M685" s="73">
        <f>+G685*K685*D685</f>
        <v>39240</v>
      </c>
      <c r="N685" s="73"/>
      <c r="O685" s="73"/>
      <c r="P685" s="73"/>
      <c r="Q685" s="73"/>
      <c r="R685" s="73"/>
      <c r="S685" s="78" t="s">
        <v>55</v>
      </c>
      <c r="T685" s="78"/>
      <c r="U685" s="78"/>
      <c r="V685" s="78"/>
      <c r="W685" s="78"/>
      <c r="X685" s="78"/>
      <c r="Y685" s="79" t="s">
        <v>55</v>
      </c>
      <c r="Z685" s="79"/>
      <c r="AA685" s="79"/>
      <c r="AB685" s="79"/>
      <c r="AC685" s="79"/>
      <c r="AD685" s="79"/>
      <c r="AE685" s="79" t="s">
        <v>55</v>
      </c>
      <c r="AF685" s="79"/>
      <c r="AG685" s="79"/>
      <c r="AH685" s="79"/>
      <c r="AI685" s="79"/>
      <c r="AJ685" s="79"/>
      <c r="AK685" s="182">
        <f>K685*G685/12*((G685*COS(RADIANS(AG472)))^2+(K685*SIN(RADIANS(AG472)))^2)*D685</f>
        <v>15468440160.32391</v>
      </c>
      <c r="AL685" s="182"/>
      <c r="AM685" s="182"/>
      <c r="AN685" s="182"/>
      <c r="AO685" s="182"/>
      <c r="AP685" s="183"/>
    </row>
    <row r="686" spans="4:42" ht="24.75" customHeight="1" thickTop="1">
      <c r="D686" s="86" t="s">
        <v>56</v>
      </c>
      <c r="E686" s="97"/>
      <c r="F686" s="97"/>
      <c r="G686" s="97"/>
      <c r="H686" s="97"/>
      <c r="I686" s="97"/>
      <c r="J686" s="97"/>
      <c r="K686" s="97"/>
      <c r="L686" s="97"/>
      <c r="M686" s="87">
        <f>SUM(M685:R685)</f>
        <v>39240</v>
      </c>
      <c r="N686" s="87"/>
      <c r="O686" s="87"/>
      <c r="P686" s="87"/>
      <c r="Q686" s="87"/>
      <c r="R686" s="87"/>
      <c r="S686" s="88"/>
      <c r="T686" s="88"/>
      <c r="U686" s="88"/>
      <c r="V686" s="88"/>
      <c r="W686" s="88"/>
      <c r="X686" s="88"/>
      <c r="Y686" s="81"/>
      <c r="Z686" s="81"/>
      <c r="AA686" s="81"/>
      <c r="AB686" s="81"/>
      <c r="AC686" s="81"/>
      <c r="AD686" s="81"/>
      <c r="AE686" s="81">
        <f>SUM(AE685:AJ685)</f>
        <v>0</v>
      </c>
      <c r="AF686" s="81"/>
      <c r="AG686" s="81"/>
      <c r="AH686" s="81"/>
      <c r="AI686" s="81"/>
      <c r="AJ686" s="81"/>
      <c r="AK686" s="82">
        <f>SUM(AK685:AP685)</f>
        <v>15468440160.32391</v>
      </c>
      <c r="AL686" s="82"/>
      <c r="AM686" s="82"/>
      <c r="AN686" s="82"/>
      <c r="AO686" s="82"/>
      <c r="AP686" s="83"/>
    </row>
    <row r="687" spans="4:31" ht="24.75" customHeight="1">
      <c r="D687" s="5" t="s">
        <v>39</v>
      </c>
      <c r="K687" s="84">
        <f>+AK686</f>
        <v>15468440160.32391</v>
      </c>
      <c r="L687" s="84"/>
      <c r="M687" s="84"/>
      <c r="N687" s="84"/>
      <c r="O687" s="84"/>
      <c r="P687" s="84"/>
      <c r="Q687" s="5" t="s">
        <v>48</v>
      </c>
      <c r="R687" s="85">
        <f>+AE686</f>
        <v>0</v>
      </c>
      <c r="S687" s="85"/>
      <c r="T687" s="85"/>
      <c r="U687" s="85"/>
      <c r="V687" s="85"/>
      <c r="W687" s="85"/>
      <c r="X687" s="5" t="s">
        <v>89</v>
      </c>
      <c r="Y687" s="84">
        <f>+K687+R687</f>
        <v>15468440160.32391</v>
      </c>
      <c r="Z687" s="84"/>
      <c r="AA687" s="84"/>
      <c r="AB687" s="84"/>
      <c r="AC687" s="84"/>
      <c r="AD687" s="84"/>
      <c r="AE687" s="5" t="s">
        <v>224</v>
      </c>
    </row>
    <row r="688" spans="4:37" ht="24.75" customHeight="1">
      <c r="D688" s="5" t="s">
        <v>57</v>
      </c>
      <c r="G688" s="90">
        <f>+Y687</f>
        <v>15468440160.32391</v>
      </c>
      <c r="H688" s="90"/>
      <c r="I688" s="90"/>
      <c r="J688" s="90"/>
      <c r="K688" s="90"/>
      <c r="L688" s="90"/>
      <c r="M688" s="5" t="s">
        <v>48</v>
      </c>
      <c r="N688" s="80">
        <f>+M686</f>
        <v>39240</v>
      </c>
      <c r="O688" s="80"/>
      <c r="P688" s="80"/>
      <c r="Q688" s="80"/>
      <c r="R688" s="5" t="s">
        <v>37</v>
      </c>
      <c r="T688" s="80">
        <f>AM613/2</f>
        <v>1100</v>
      </c>
      <c r="U688" s="80"/>
      <c r="V688" s="80"/>
      <c r="W688" s="80"/>
      <c r="X688" s="5" t="s">
        <v>46</v>
      </c>
      <c r="Y688" s="80">
        <f>ROUND(Q693,2)</f>
        <v>1107.62</v>
      </c>
      <c r="Z688" s="80"/>
      <c r="AA688" s="80"/>
      <c r="AB688" s="80"/>
      <c r="AC688" s="5" t="s">
        <v>38</v>
      </c>
      <c r="AE688" s="99">
        <f>+G688+N688*(T688-Y688)^2</f>
        <v>15470718607.37991</v>
      </c>
      <c r="AF688" s="99"/>
      <c r="AG688" s="99"/>
      <c r="AH688" s="99"/>
      <c r="AI688" s="99"/>
      <c r="AJ688" s="99"/>
      <c r="AK688" s="5" t="s">
        <v>224</v>
      </c>
    </row>
    <row r="689" spans="4:34" ht="24.75" customHeight="1">
      <c r="D689" s="5" t="s">
        <v>58</v>
      </c>
      <c r="G689" s="5" t="s">
        <v>234</v>
      </c>
      <c r="AD689" s="6"/>
      <c r="AE689" s="6"/>
      <c r="AF689" s="6"/>
      <c r="AG689" s="6"/>
      <c r="AH689" s="6"/>
    </row>
    <row r="690" spans="7:34" ht="24.75" customHeight="1">
      <c r="G690" s="22"/>
      <c r="H690" s="22"/>
      <c r="I690" s="22"/>
      <c r="J690" s="22"/>
      <c r="K690" s="22"/>
      <c r="M690" s="41"/>
      <c r="N690" s="41"/>
      <c r="O690" s="41"/>
      <c r="P690" s="41"/>
      <c r="S690" s="41"/>
      <c r="T690" s="41"/>
      <c r="U690" s="41"/>
      <c r="V690" s="41"/>
      <c r="X690" s="41"/>
      <c r="Y690" s="41"/>
      <c r="Z690" s="41"/>
      <c r="AA690" s="41"/>
      <c r="AD690" s="6"/>
      <c r="AE690" s="6"/>
      <c r="AF690" s="6"/>
      <c r="AG690" s="6"/>
      <c r="AH690" s="6"/>
    </row>
    <row r="691" spans="4:29" ht="24.75" customHeight="1">
      <c r="D691" s="5" t="s">
        <v>235</v>
      </c>
      <c r="I691" s="8"/>
      <c r="J691" s="8"/>
      <c r="K691" s="8"/>
      <c r="L691" s="8"/>
      <c r="M691" s="41"/>
      <c r="N691" s="41"/>
      <c r="O691" s="41"/>
      <c r="P691" s="41"/>
      <c r="Q691" s="8"/>
      <c r="R691" s="8"/>
      <c r="S691" s="22"/>
      <c r="T691" s="22"/>
      <c r="U691" s="22"/>
      <c r="V691" s="22"/>
      <c r="W691" s="22"/>
      <c r="X691" s="8"/>
      <c r="Y691" s="8"/>
      <c r="Z691" s="69"/>
      <c r="AA691" s="69"/>
      <c r="AB691" s="8"/>
      <c r="AC691" s="8"/>
    </row>
    <row r="692" spans="4:9" ht="24.75" customHeight="1">
      <c r="D692" s="5" t="s">
        <v>236</v>
      </c>
      <c r="I692" s="23"/>
    </row>
    <row r="693" spans="5:21" ht="24.75" customHeight="1">
      <c r="E693" s="5" t="s">
        <v>59</v>
      </c>
      <c r="H693" s="150">
        <v>-1134.375935823</v>
      </c>
      <c r="I693" s="150"/>
      <c r="J693" s="150"/>
      <c r="K693" s="150"/>
      <c r="L693" s="70" t="s">
        <v>102</v>
      </c>
      <c r="N693" s="70" t="s">
        <v>60</v>
      </c>
      <c r="Q693" s="89">
        <f>(AM613+AM485+AM540)+H693</f>
        <v>1107.624064177</v>
      </c>
      <c r="R693" s="89"/>
      <c r="S693" s="89"/>
      <c r="T693" s="89"/>
      <c r="U693" s="70" t="s">
        <v>102</v>
      </c>
    </row>
    <row r="694" spans="4:15" ht="24.75" customHeight="1">
      <c r="D694" s="5" t="s">
        <v>237</v>
      </c>
      <c r="G694" s="23"/>
      <c r="O694" s="5" t="s">
        <v>238</v>
      </c>
    </row>
    <row r="695" spans="4:45" ht="24.75" customHeight="1">
      <c r="D695" s="92" t="s">
        <v>123</v>
      </c>
      <c r="E695" s="92"/>
      <c r="F695" s="92"/>
      <c r="G695" s="97" t="s">
        <v>114</v>
      </c>
      <c r="H695" s="97"/>
      <c r="I695" s="97"/>
      <c r="J695" s="92" t="s">
        <v>61</v>
      </c>
      <c r="K695" s="92"/>
      <c r="L695" s="92"/>
      <c r="M695" s="92" t="s">
        <v>34</v>
      </c>
      <c r="N695" s="98">
        <f>+AA678</f>
        <v>517.062414013736</v>
      </c>
      <c r="O695" s="98"/>
      <c r="P695" s="98"/>
      <c r="Q695" s="98"/>
      <c r="R695" s="98"/>
      <c r="S695" s="19" t="s">
        <v>41</v>
      </c>
      <c r="T695" s="97">
        <f>10^6</f>
        <v>1000000</v>
      </c>
      <c r="U695" s="97"/>
      <c r="V695" s="97"/>
      <c r="W695" s="95" t="s">
        <v>41</v>
      </c>
      <c r="X695" s="95"/>
      <c r="Y695" s="96">
        <f>+H693</f>
        <v>-1134.375935823</v>
      </c>
      <c r="Z695" s="96"/>
      <c r="AA695" s="96"/>
      <c r="AB695" s="96"/>
      <c r="AC695" s="96"/>
      <c r="AD695" s="92" t="s">
        <v>34</v>
      </c>
      <c r="AE695" s="96">
        <f>+N695*T695/O696*Y695</f>
        <v>-37.913116685862015</v>
      </c>
      <c r="AF695" s="96"/>
      <c r="AG695" s="96"/>
      <c r="AH695" s="96"/>
      <c r="AI695" s="96"/>
      <c r="AJ695" s="92" t="str">
        <f>IF(O470&gt;0,IF(ABS(AE695)&gt;Z475,"N/㎟  ＞   σca ,    N.G","N/㎟  ＜   σca ,    O.K"),IF(ABS(AE695)&gt;O475,"N/㎟  ＞   σta ,    N.G","N/㎟  ＜   σta ,    O.K"))</f>
        <v>N/㎟  ＜   σta ,    O.K</v>
      </c>
      <c r="AK695" s="92"/>
      <c r="AL695" s="92"/>
      <c r="AM695" s="92"/>
      <c r="AN695" s="92"/>
      <c r="AO695" s="92"/>
      <c r="AP695" s="92"/>
      <c r="AQ695" s="92"/>
      <c r="AR695" s="92"/>
      <c r="AS695" s="92"/>
    </row>
    <row r="696" spans="4:45" ht="24.75" customHeight="1">
      <c r="D696" s="92"/>
      <c r="E696" s="92"/>
      <c r="F696" s="92"/>
      <c r="G696" s="93" t="s">
        <v>62</v>
      </c>
      <c r="H696" s="93"/>
      <c r="I696" s="93"/>
      <c r="J696" s="92"/>
      <c r="K696" s="92"/>
      <c r="L696" s="92"/>
      <c r="M696" s="92"/>
      <c r="O696" s="94">
        <f>+AE688</f>
        <v>15470718607.37991</v>
      </c>
      <c r="P696" s="94"/>
      <c r="Q696" s="94"/>
      <c r="R696" s="94"/>
      <c r="S696" s="94"/>
      <c r="T696" s="94"/>
      <c r="U696" s="94"/>
      <c r="W696" s="95"/>
      <c r="X696" s="95"/>
      <c r="Y696" s="96"/>
      <c r="Z696" s="96"/>
      <c r="AA696" s="96"/>
      <c r="AB696" s="96"/>
      <c r="AC696" s="96"/>
      <c r="AD696" s="92"/>
      <c r="AE696" s="96"/>
      <c r="AF696" s="96"/>
      <c r="AG696" s="96"/>
      <c r="AH696" s="96"/>
      <c r="AI696" s="96"/>
      <c r="AJ696" s="92"/>
      <c r="AK696" s="92"/>
      <c r="AL696" s="92"/>
      <c r="AM696" s="92"/>
      <c r="AN696" s="92"/>
      <c r="AO696" s="92"/>
      <c r="AP696" s="92"/>
      <c r="AQ696" s="92"/>
      <c r="AR696" s="92"/>
      <c r="AS696" s="92"/>
    </row>
    <row r="697" spans="4:45" ht="24.75" customHeight="1">
      <c r="D697" s="92" t="s">
        <v>124</v>
      </c>
      <c r="E697" s="92"/>
      <c r="F697" s="92"/>
      <c r="G697" s="97" t="s">
        <v>114</v>
      </c>
      <c r="H697" s="97"/>
      <c r="I697" s="97"/>
      <c r="J697" s="92" t="s">
        <v>63</v>
      </c>
      <c r="K697" s="92"/>
      <c r="L697" s="92"/>
      <c r="M697" s="92" t="s">
        <v>34</v>
      </c>
      <c r="N697" s="98">
        <f>+N695</f>
        <v>517.062414013736</v>
      </c>
      <c r="O697" s="98"/>
      <c r="P697" s="98"/>
      <c r="Q697" s="98"/>
      <c r="R697" s="98"/>
      <c r="S697" s="19" t="s">
        <v>41</v>
      </c>
      <c r="T697" s="97">
        <f>10^6</f>
        <v>1000000</v>
      </c>
      <c r="U697" s="97"/>
      <c r="V697" s="97"/>
      <c r="W697" s="95" t="s">
        <v>41</v>
      </c>
      <c r="X697" s="95"/>
      <c r="Y697" s="96">
        <f>+Q693</f>
        <v>1107.624064177</v>
      </c>
      <c r="Z697" s="96"/>
      <c r="AA697" s="96"/>
      <c r="AB697" s="96"/>
      <c r="AC697" s="96"/>
      <c r="AD697" s="92" t="s">
        <v>34</v>
      </c>
      <c r="AE697" s="96">
        <f>+N697*T697/O698*Y697</f>
        <v>37.01901553363319</v>
      </c>
      <c r="AF697" s="96"/>
      <c r="AG697" s="96"/>
      <c r="AH697" s="96"/>
      <c r="AI697" s="96"/>
      <c r="AJ697" s="92" t="str">
        <f>IF(O470&gt;0,IF(ABS(AE697)&gt;O475,"N/㎟  ＞   σta ,    N.G","N/㎟  ＜   σta ,    O.K"),IF(ABS(AE697)&gt;Z475,"N/㎟  ＞   σca ,    N.G","N/㎟  ＜   σca ,    O.K"))</f>
        <v>N/㎟  ＜   σca ,    O.K</v>
      </c>
      <c r="AK697" s="92"/>
      <c r="AL697" s="92"/>
      <c r="AM697" s="92"/>
      <c r="AN697" s="92"/>
      <c r="AO697" s="92"/>
      <c r="AP697" s="92"/>
      <c r="AQ697" s="92"/>
      <c r="AR697" s="92"/>
      <c r="AS697" s="92"/>
    </row>
    <row r="698" spans="4:45" ht="24.75" customHeight="1">
      <c r="D698" s="92"/>
      <c r="E698" s="92"/>
      <c r="F698" s="92"/>
      <c r="G698" s="93" t="s">
        <v>62</v>
      </c>
      <c r="H698" s="93"/>
      <c r="I698" s="93"/>
      <c r="J698" s="92"/>
      <c r="K698" s="92"/>
      <c r="L698" s="92"/>
      <c r="M698" s="92"/>
      <c r="O698" s="94">
        <f>+O696</f>
        <v>15470718607.37991</v>
      </c>
      <c r="P698" s="94"/>
      <c r="Q698" s="94"/>
      <c r="R698" s="94"/>
      <c r="S698" s="94"/>
      <c r="T698" s="94"/>
      <c r="U698" s="94"/>
      <c r="W698" s="95"/>
      <c r="X698" s="95"/>
      <c r="Y698" s="96"/>
      <c r="Z698" s="96"/>
      <c r="AA698" s="96"/>
      <c r="AB698" s="96"/>
      <c r="AC698" s="96"/>
      <c r="AD698" s="92"/>
      <c r="AE698" s="96"/>
      <c r="AF698" s="96"/>
      <c r="AG698" s="96"/>
      <c r="AH698" s="96"/>
      <c r="AI698" s="96"/>
      <c r="AJ698" s="92"/>
      <c r="AK698" s="92"/>
      <c r="AL698" s="92"/>
      <c r="AM698" s="92"/>
      <c r="AN698" s="92"/>
      <c r="AO698" s="92"/>
      <c r="AP698" s="92"/>
      <c r="AQ698" s="92"/>
      <c r="AR698" s="92"/>
      <c r="AS698" s="92"/>
    </row>
    <row r="699" spans="4:32" ht="24.75" customHeight="1">
      <c r="D699" s="8"/>
      <c r="E699" s="8"/>
      <c r="G699" s="53"/>
      <c r="H699" s="53"/>
      <c r="I699" s="53"/>
      <c r="J699" s="53"/>
      <c r="K699" s="53"/>
      <c r="M699" s="53"/>
      <c r="N699" s="53"/>
      <c r="O699" s="53"/>
      <c r="P699" s="53"/>
      <c r="Q699" s="53"/>
      <c r="S699" s="53"/>
      <c r="T699" s="53"/>
      <c r="U699" s="53"/>
      <c r="V699" s="53"/>
      <c r="W699" s="53"/>
      <c r="X699" s="25"/>
      <c r="Y699" s="25"/>
      <c r="Z699" s="25"/>
      <c r="AA699" s="25"/>
      <c r="AB699" s="25"/>
      <c r="AC699" s="25"/>
      <c r="AD699" s="25"/>
      <c r="AE699" s="25"/>
      <c r="AF699" s="25"/>
    </row>
    <row r="702" spans="1:2" ht="24.75" customHeight="1">
      <c r="A702" s="4"/>
      <c r="B702" s="145" t="s">
        <v>270</v>
      </c>
    </row>
    <row r="703" spans="3:43" ht="24.75" customHeight="1">
      <c r="C703" s="5" t="s">
        <v>207</v>
      </c>
      <c r="O703" s="146">
        <v>-5645.98087424</v>
      </c>
      <c r="P703" s="146"/>
      <c r="Q703" s="146"/>
      <c r="R703" s="146"/>
      <c r="S703" s="146"/>
      <c r="T703" s="5" t="s">
        <v>111</v>
      </c>
      <c r="Z703" s="5" t="s">
        <v>12</v>
      </c>
      <c r="AE703" s="5" t="s">
        <v>105</v>
      </c>
      <c r="AG703" s="146">
        <v>2.4</v>
      </c>
      <c r="AH703" s="146"/>
      <c r="AI703" s="146"/>
      <c r="AJ703" s="5" t="s">
        <v>106</v>
      </c>
      <c r="AL703" s="5" t="s">
        <v>107</v>
      </c>
      <c r="AN703" s="146">
        <v>2.1</v>
      </c>
      <c r="AO703" s="146"/>
      <c r="AP703" s="146"/>
      <c r="AQ703" s="5" t="s">
        <v>106</v>
      </c>
    </row>
    <row r="704" spans="3:36" ht="24.75" customHeight="1">
      <c r="C704" s="5" t="s">
        <v>208</v>
      </c>
      <c r="O704" s="146">
        <v>1707.04694356</v>
      </c>
      <c r="P704" s="146"/>
      <c r="Q704" s="146"/>
      <c r="R704" s="146"/>
      <c r="S704" s="146"/>
      <c r="T704" s="5" t="s">
        <v>112</v>
      </c>
      <c r="Z704" s="5" t="s">
        <v>13</v>
      </c>
      <c r="AE704" s="5" t="s">
        <v>108</v>
      </c>
      <c r="AG704" s="146">
        <v>2.2</v>
      </c>
      <c r="AH704" s="146"/>
      <c r="AI704" s="146"/>
      <c r="AJ704" s="5" t="s">
        <v>106</v>
      </c>
    </row>
    <row r="705" spans="3:36" ht="24.75" customHeight="1">
      <c r="C705" s="5" t="s">
        <v>174</v>
      </c>
      <c r="J705" s="53"/>
      <c r="K705" s="53"/>
      <c r="L705" s="53"/>
      <c r="M705" s="53"/>
      <c r="N705" s="53"/>
      <c r="O705" s="146">
        <v>489.28399952</v>
      </c>
      <c r="P705" s="146"/>
      <c r="Q705" s="146"/>
      <c r="R705" s="146"/>
      <c r="S705" s="146"/>
      <c r="T705" s="5" t="s">
        <v>111</v>
      </c>
      <c r="Z705" s="5" t="s">
        <v>14</v>
      </c>
      <c r="AE705" s="147" t="s">
        <v>109</v>
      </c>
      <c r="AF705" s="147"/>
      <c r="AG705" s="148">
        <f>DEGREES(ATAN((AG703-AN703)/2/AG704))</f>
        <v>3.900493742381888</v>
      </c>
      <c r="AH705" s="148"/>
      <c r="AI705" s="148"/>
      <c r="AJ705" s="149" t="s">
        <v>110</v>
      </c>
    </row>
    <row r="706" spans="3:28" ht="24.75" customHeight="1">
      <c r="C706" s="5" t="s">
        <v>175</v>
      </c>
      <c r="O706" s="150">
        <v>44.004946062</v>
      </c>
      <c r="P706" s="150"/>
      <c r="Q706" s="150"/>
      <c r="R706" s="150"/>
      <c r="S706" s="150"/>
      <c r="T706" s="5" t="s">
        <v>218</v>
      </c>
      <c r="AB706" s="151" t="s">
        <v>11</v>
      </c>
    </row>
    <row r="707" spans="3:47" ht="24.75" customHeight="1">
      <c r="C707" s="5" t="s">
        <v>176</v>
      </c>
      <c r="O707" s="150">
        <v>-42.967181921</v>
      </c>
      <c r="P707" s="150"/>
      <c r="Q707" s="150"/>
      <c r="R707" s="150"/>
      <c r="S707" s="150"/>
      <c r="T707" s="5" t="s">
        <v>218</v>
      </c>
      <c r="AU707" s="152"/>
    </row>
    <row r="708" spans="3:85" ht="24.75" customHeight="1">
      <c r="C708" s="5" t="s">
        <v>177</v>
      </c>
      <c r="F708" s="153" t="s">
        <v>266</v>
      </c>
      <c r="G708" s="153"/>
      <c r="H708" s="153"/>
      <c r="I708" s="153"/>
      <c r="J708" s="145" t="s">
        <v>257</v>
      </c>
      <c r="L708" s="5" t="s">
        <v>148</v>
      </c>
      <c r="O708" s="102">
        <f>HLOOKUP(F708,AX709:CJ712,AU709,FALSE)</f>
        <v>210</v>
      </c>
      <c r="P708" s="102"/>
      <c r="Q708" s="102"/>
      <c r="R708" s="102"/>
      <c r="S708" s="5" t="s">
        <v>218</v>
      </c>
      <c r="W708" s="5" t="s">
        <v>149</v>
      </c>
      <c r="Z708" s="150">
        <v>210</v>
      </c>
      <c r="AA708" s="150"/>
      <c r="AB708" s="150"/>
      <c r="AC708" s="150"/>
      <c r="AD708" s="5" t="s">
        <v>218</v>
      </c>
      <c r="AH708" s="5" t="s">
        <v>150</v>
      </c>
      <c r="AK708" s="102">
        <f>HLOOKUP(F708,AX714:CJ717,AU714,FALSE)</f>
        <v>120</v>
      </c>
      <c r="AL708" s="102"/>
      <c r="AM708" s="102"/>
      <c r="AN708" s="102"/>
      <c r="AO708" s="5" t="s">
        <v>218</v>
      </c>
      <c r="AU708" s="143" t="s">
        <v>220</v>
      </c>
      <c r="AV708" s="143"/>
      <c r="AW708" s="143"/>
      <c r="AX708" s="143"/>
      <c r="AY708" s="143"/>
      <c r="AZ708" s="143"/>
      <c r="BA708" s="143"/>
      <c r="BB708" s="143"/>
      <c r="BC708" s="143"/>
      <c r="BD708" s="143"/>
      <c r="BE708" s="143"/>
      <c r="BF708" s="152"/>
      <c r="BG708" s="152"/>
      <c r="BH708" s="152"/>
      <c r="BI708" s="152"/>
      <c r="BJ708" s="152"/>
      <c r="BK708" s="152"/>
      <c r="BL708" s="152"/>
      <c r="BM708" s="152"/>
      <c r="BN708" s="152"/>
      <c r="BO708" s="152"/>
      <c r="BP708" s="152"/>
      <c r="BQ708" s="152"/>
      <c r="BR708" s="152"/>
      <c r="BS708" s="152"/>
      <c r="BT708" s="152"/>
      <c r="BU708" s="152"/>
      <c r="BV708" s="152"/>
      <c r="BW708" s="152"/>
      <c r="BX708" s="152"/>
      <c r="BY708" s="152"/>
      <c r="BZ708" s="152"/>
      <c r="CA708" s="152"/>
      <c r="CB708" s="152"/>
      <c r="CC708" s="152"/>
      <c r="CD708" s="152"/>
      <c r="CE708" s="152"/>
      <c r="CF708" s="152"/>
      <c r="CG708" s="152"/>
    </row>
    <row r="709" spans="3:88" ht="24.75" customHeight="1">
      <c r="C709" s="5" t="s">
        <v>189</v>
      </c>
      <c r="H709" s="154">
        <v>22</v>
      </c>
      <c r="I709" s="154"/>
      <c r="J709" s="154"/>
      <c r="K709" s="155" t="s">
        <v>267</v>
      </c>
      <c r="L709" s="156">
        <v>10</v>
      </c>
      <c r="M709" s="156"/>
      <c r="N709" s="156"/>
      <c r="O709" s="5" t="s">
        <v>40</v>
      </c>
      <c r="R709" s="124">
        <f>IF(H709=20,IF(L709=10,39000,31000),IF(H709=22,IF(L709=10,48000,39000),IF(H709=24,IF(L709=10,56000,45000),"確認希望")))</f>
        <v>48000</v>
      </c>
      <c r="S709" s="124"/>
      <c r="T709" s="124"/>
      <c r="U709" s="5" t="s">
        <v>41</v>
      </c>
      <c r="V709" s="144">
        <v>2</v>
      </c>
      <c r="W709" s="144"/>
      <c r="X709" s="144"/>
      <c r="Y709" s="144"/>
      <c r="Z709" s="8" t="s">
        <v>34</v>
      </c>
      <c r="AA709" s="92">
        <f>+R709*V709</f>
        <v>96000</v>
      </c>
      <c r="AB709" s="92"/>
      <c r="AC709" s="92"/>
      <c r="AD709" s="5" t="s">
        <v>113</v>
      </c>
      <c r="AU709" s="135">
        <f>IF(AM718&lt;=40,2,IF(AM718&lt;=75,3,4))</f>
        <v>2</v>
      </c>
      <c r="AV709" s="136"/>
      <c r="AW709" s="137"/>
      <c r="AX709" s="138" t="s">
        <v>91</v>
      </c>
      <c r="AY709" s="139"/>
      <c r="AZ709" s="140"/>
      <c r="BA709" s="138" t="s">
        <v>92</v>
      </c>
      <c r="BB709" s="139"/>
      <c r="BC709" s="140"/>
      <c r="BD709" s="138" t="s">
        <v>93</v>
      </c>
      <c r="BE709" s="139"/>
      <c r="BF709" s="140"/>
      <c r="BG709" s="138" t="s">
        <v>132</v>
      </c>
      <c r="BH709" s="139"/>
      <c r="BI709" s="140"/>
      <c r="BJ709" s="138" t="s">
        <v>90</v>
      </c>
      <c r="BK709" s="139"/>
      <c r="BL709" s="140"/>
      <c r="BM709" s="157" t="s">
        <v>133</v>
      </c>
      <c r="BN709" s="158"/>
      <c r="BO709" s="159"/>
      <c r="BP709" s="138" t="s">
        <v>94</v>
      </c>
      <c r="BQ709" s="139"/>
      <c r="BR709" s="140"/>
      <c r="BS709" s="138" t="s">
        <v>95</v>
      </c>
      <c r="BT709" s="139"/>
      <c r="BU709" s="140"/>
      <c r="BV709" s="138" t="s">
        <v>96</v>
      </c>
      <c r="BW709" s="139"/>
      <c r="BX709" s="140"/>
      <c r="BY709" s="157" t="s">
        <v>134</v>
      </c>
      <c r="BZ709" s="158"/>
      <c r="CA709" s="159"/>
      <c r="CB709" s="138" t="s">
        <v>97</v>
      </c>
      <c r="CC709" s="139"/>
      <c r="CD709" s="140"/>
      <c r="CE709" s="138" t="s">
        <v>98</v>
      </c>
      <c r="CF709" s="139"/>
      <c r="CG709" s="140"/>
      <c r="CH709" s="157" t="s">
        <v>135</v>
      </c>
      <c r="CI709" s="158"/>
      <c r="CJ709" s="159"/>
    </row>
    <row r="710" spans="10:88" ht="24.75" customHeight="1">
      <c r="J710" s="160"/>
      <c r="AU710" s="161">
        <v>40</v>
      </c>
      <c r="AV710" s="161"/>
      <c r="AW710" s="161"/>
      <c r="AX710" s="135">
        <v>140</v>
      </c>
      <c r="AY710" s="136"/>
      <c r="AZ710" s="137"/>
      <c r="BA710" s="135">
        <f>AX710</f>
        <v>140</v>
      </c>
      <c r="BB710" s="136"/>
      <c r="BC710" s="137"/>
      <c r="BD710" s="135">
        <f>AX710</f>
        <v>140</v>
      </c>
      <c r="BE710" s="136"/>
      <c r="BF710" s="137"/>
      <c r="BG710" s="135">
        <v>140</v>
      </c>
      <c r="BH710" s="136"/>
      <c r="BI710" s="137"/>
      <c r="BJ710" s="135">
        <v>185</v>
      </c>
      <c r="BK710" s="136"/>
      <c r="BL710" s="137"/>
      <c r="BM710" s="135">
        <f>BJ710</f>
        <v>185</v>
      </c>
      <c r="BN710" s="136"/>
      <c r="BO710" s="137"/>
      <c r="BP710" s="135">
        <v>210</v>
      </c>
      <c r="BQ710" s="136"/>
      <c r="BR710" s="137"/>
      <c r="BS710" s="135">
        <f>BP710</f>
        <v>210</v>
      </c>
      <c r="BT710" s="136"/>
      <c r="BU710" s="137"/>
      <c r="BV710" s="135">
        <f>BP710</f>
        <v>210</v>
      </c>
      <c r="BW710" s="136"/>
      <c r="BX710" s="137"/>
      <c r="BY710" s="135">
        <v>210</v>
      </c>
      <c r="BZ710" s="136"/>
      <c r="CA710" s="137"/>
      <c r="CB710" s="135">
        <v>255</v>
      </c>
      <c r="CC710" s="136"/>
      <c r="CD710" s="137"/>
      <c r="CE710" s="135">
        <f>CB710</f>
        <v>255</v>
      </c>
      <c r="CF710" s="136"/>
      <c r="CG710" s="137"/>
      <c r="CH710" s="135">
        <f>CE710</f>
        <v>255</v>
      </c>
      <c r="CI710" s="136"/>
      <c r="CJ710" s="137"/>
    </row>
    <row r="711" spans="2:88" ht="24.75" customHeight="1">
      <c r="B711" s="5" t="s">
        <v>0</v>
      </c>
      <c r="I711" s="92" t="str">
        <f>IF(O703&gt;0,"(上フランジ)","(下フランジ)")</f>
        <v>(下フランジ)</v>
      </c>
      <c r="J711" s="92"/>
      <c r="K711" s="92"/>
      <c r="L711" s="92"/>
      <c r="M711" s="92"/>
      <c r="N711" s="92"/>
      <c r="O711" s="5" t="s">
        <v>249</v>
      </c>
      <c r="AU711" s="162" t="s">
        <v>99</v>
      </c>
      <c r="AV711" s="162"/>
      <c r="AW711" s="162"/>
      <c r="AX711" s="135">
        <v>125</v>
      </c>
      <c r="AY711" s="136"/>
      <c r="AZ711" s="137"/>
      <c r="BA711" s="135">
        <f>AX711</f>
        <v>125</v>
      </c>
      <c r="BB711" s="136"/>
      <c r="BC711" s="137"/>
      <c r="BD711" s="135">
        <f>AX711</f>
        <v>125</v>
      </c>
      <c r="BE711" s="136"/>
      <c r="BF711" s="137"/>
      <c r="BG711" s="135">
        <v>140</v>
      </c>
      <c r="BH711" s="136"/>
      <c r="BI711" s="137"/>
      <c r="BJ711" s="135">
        <v>175</v>
      </c>
      <c r="BK711" s="136"/>
      <c r="BL711" s="137"/>
      <c r="BM711" s="135">
        <f>BM710</f>
        <v>185</v>
      </c>
      <c r="BN711" s="136"/>
      <c r="BO711" s="137"/>
      <c r="BP711" s="135">
        <v>200</v>
      </c>
      <c r="BQ711" s="136"/>
      <c r="BR711" s="137"/>
      <c r="BS711" s="135">
        <f>BP711</f>
        <v>200</v>
      </c>
      <c r="BT711" s="136"/>
      <c r="BU711" s="137"/>
      <c r="BV711" s="135">
        <f>BP711</f>
        <v>200</v>
      </c>
      <c r="BW711" s="136"/>
      <c r="BX711" s="137"/>
      <c r="BY711" s="135">
        <v>210</v>
      </c>
      <c r="BZ711" s="136"/>
      <c r="CA711" s="137"/>
      <c r="CB711" s="135">
        <v>245</v>
      </c>
      <c r="CC711" s="136"/>
      <c r="CD711" s="137"/>
      <c r="CE711" s="135">
        <f>CB711</f>
        <v>245</v>
      </c>
      <c r="CF711" s="136"/>
      <c r="CG711" s="137"/>
      <c r="CH711" s="135">
        <f>CH710</f>
        <v>255</v>
      </c>
      <c r="CI711" s="136"/>
      <c r="CJ711" s="137"/>
    </row>
    <row r="712" spans="3:88" ht="24.75" customHeight="1">
      <c r="C712" s="5" t="s">
        <v>115</v>
      </c>
      <c r="E712" s="142">
        <f>IF(O703&gt;0,ABS(O706),ABS(O707))</f>
        <v>42.967181921</v>
      </c>
      <c r="F712" s="142"/>
      <c r="G712" s="142"/>
      <c r="H712" s="142"/>
      <c r="I712" s="142"/>
      <c r="J712" s="142"/>
      <c r="K712" s="5" t="str">
        <f>+T706</f>
        <v>N/㎟</v>
      </c>
      <c r="AU712" s="162" t="s">
        <v>100</v>
      </c>
      <c r="AV712" s="162"/>
      <c r="AW712" s="162"/>
      <c r="AX712" s="135">
        <v>125</v>
      </c>
      <c r="AY712" s="136"/>
      <c r="AZ712" s="137"/>
      <c r="BA712" s="135">
        <f>AX712</f>
        <v>125</v>
      </c>
      <c r="BB712" s="136"/>
      <c r="BC712" s="137"/>
      <c r="BD712" s="135">
        <f>AX712</f>
        <v>125</v>
      </c>
      <c r="BE712" s="136"/>
      <c r="BF712" s="137"/>
      <c r="BG712" s="135">
        <v>140</v>
      </c>
      <c r="BH712" s="136"/>
      <c r="BI712" s="137"/>
      <c r="BJ712" s="135">
        <v>175</v>
      </c>
      <c r="BK712" s="136"/>
      <c r="BL712" s="137"/>
      <c r="BM712" s="135">
        <f>BM710</f>
        <v>185</v>
      </c>
      <c r="BN712" s="136"/>
      <c r="BO712" s="137"/>
      <c r="BP712" s="135">
        <v>195</v>
      </c>
      <c r="BQ712" s="136"/>
      <c r="BR712" s="137"/>
      <c r="BS712" s="135">
        <f>BP712</f>
        <v>195</v>
      </c>
      <c r="BT712" s="136"/>
      <c r="BU712" s="137"/>
      <c r="BV712" s="135">
        <f>BP712</f>
        <v>195</v>
      </c>
      <c r="BW712" s="136"/>
      <c r="BX712" s="137"/>
      <c r="BY712" s="135">
        <v>210</v>
      </c>
      <c r="BZ712" s="136"/>
      <c r="CA712" s="137"/>
      <c r="CB712" s="135">
        <v>240</v>
      </c>
      <c r="CC712" s="136"/>
      <c r="CD712" s="137"/>
      <c r="CE712" s="135">
        <f>CB712</f>
        <v>240</v>
      </c>
      <c r="CF712" s="136"/>
      <c r="CG712" s="137"/>
      <c r="CH712" s="135">
        <f>CH710</f>
        <v>255</v>
      </c>
      <c r="CI712" s="136"/>
      <c r="CJ712" s="137"/>
    </row>
    <row r="713" spans="3:54" ht="24.75" customHeight="1">
      <c r="C713" s="5" t="s">
        <v>116</v>
      </c>
      <c r="E713" s="130">
        <v>0.75</v>
      </c>
      <c r="F713" s="130"/>
      <c r="G713" s="130"/>
      <c r="H713" s="130"/>
      <c r="I713" s="5" t="s">
        <v>41</v>
      </c>
      <c r="J713" s="102">
        <f>Z708</f>
        <v>210</v>
      </c>
      <c r="K713" s="102"/>
      <c r="L713" s="102"/>
      <c r="M713" s="5" t="s">
        <v>34</v>
      </c>
      <c r="N713" s="89">
        <f>+E713*J713</f>
        <v>157.5</v>
      </c>
      <c r="O713" s="89"/>
      <c r="P713" s="89"/>
      <c r="Q713" s="89"/>
      <c r="R713" s="5" t="str">
        <f>+K712</f>
        <v>N/㎟</v>
      </c>
      <c r="T713" s="10"/>
      <c r="U713" s="11"/>
      <c r="V713" s="12" t="s">
        <v>178</v>
      </c>
      <c r="AU713" s="141" t="s">
        <v>221</v>
      </c>
      <c r="AV713" s="141"/>
      <c r="AW713" s="141"/>
      <c r="AX713" s="141"/>
      <c r="AY713" s="141"/>
      <c r="AZ713" s="141"/>
      <c r="BA713" s="141"/>
      <c r="BB713" s="141"/>
    </row>
    <row r="714" spans="3:88" ht="24.75" customHeight="1">
      <c r="C714" s="5" t="s">
        <v>247</v>
      </c>
      <c r="L714" s="5" t="str">
        <f>IF(O703&gt;0,"σu","σl")</f>
        <v>σl</v>
      </c>
      <c r="N714" s="5" t="s">
        <v>179</v>
      </c>
      <c r="P714" s="89">
        <f>+MAX(E712,N713)</f>
        <v>157.5</v>
      </c>
      <c r="Q714" s="89"/>
      <c r="R714" s="89"/>
      <c r="S714" s="89"/>
      <c r="T714" s="5" t="s">
        <v>222</v>
      </c>
      <c r="AU714" s="135">
        <f>AU709</f>
        <v>2</v>
      </c>
      <c r="AV714" s="136"/>
      <c r="AW714" s="137"/>
      <c r="AX714" s="138" t="s">
        <v>91</v>
      </c>
      <c r="AY714" s="139"/>
      <c r="AZ714" s="140"/>
      <c r="BA714" s="138" t="s">
        <v>92</v>
      </c>
      <c r="BB714" s="139"/>
      <c r="BC714" s="140"/>
      <c r="BD714" s="138" t="s">
        <v>93</v>
      </c>
      <c r="BE714" s="139"/>
      <c r="BF714" s="140"/>
      <c r="BG714" s="138" t="s">
        <v>132</v>
      </c>
      <c r="BH714" s="139"/>
      <c r="BI714" s="140"/>
      <c r="BJ714" s="138" t="s">
        <v>90</v>
      </c>
      <c r="BK714" s="139"/>
      <c r="BL714" s="140"/>
      <c r="BM714" s="157" t="s">
        <v>133</v>
      </c>
      <c r="BN714" s="158"/>
      <c r="BO714" s="159"/>
      <c r="BP714" s="138" t="s">
        <v>94</v>
      </c>
      <c r="BQ714" s="139"/>
      <c r="BR714" s="140"/>
      <c r="BS714" s="138" t="s">
        <v>95</v>
      </c>
      <c r="BT714" s="139"/>
      <c r="BU714" s="140"/>
      <c r="BV714" s="138" t="s">
        <v>96</v>
      </c>
      <c r="BW714" s="139"/>
      <c r="BX714" s="140"/>
      <c r="BY714" s="157" t="s">
        <v>134</v>
      </c>
      <c r="BZ714" s="158"/>
      <c r="CA714" s="159"/>
      <c r="CB714" s="138" t="s">
        <v>97</v>
      </c>
      <c r="CC714" s="139"/>
      <c r="CD714" s="140"/>
      <c r="CE714" s="138" t="s">
        <v>98</v>
      </c>
      <c r="CF714" s="139"/>
      <c r="CG714" s="140"/>
      <c r="CH714" s="157" t="s">
        <v>135</v>
      </c>
      <c r="CI714" s="158"/>
      <c r="CJ714" s="159"/>
    </row>
    <row r="715" spans="7:88" ht="24.75" customHeight="1">
      <c r="G715" s="9"/>
      <c r="AU715" s="161">
        <v>40</v>
      </c>
      <c r="AV715" s="161"/>
      <c r="AW715" s="161"/>
      <c r="AX715" s="135">
        <v>80</v>
      </c>
      <c r="AY715" s="136"/>
      <c r="AZ715" s="137"/>
      <c r="BA715" s="135">
        <f>AX715</f>
        <v>80</v>
      </c>
      <c r="BB715" s="136"/>
      <c r="BC715" s="137"/>
      <c r="BD715" s="135">
        <f>AX715</f>
        <v>80</v>
      </c>
      <c r="BE715" s="136"/>
      <c r="BF715" s="137"/>
      <c r="BG715" s="135">
        <v>80</v>
      </c>
      <c r="BH715" s="136"/>
      <c r="BI715" s="137"/>
      <c r="BJ715" s="135">
        <v>105</v>
      </c>
      <c r="BK715" s="136"/>
      <c r="BL715" s="137"/>
      <c r="BM715" s="135">
        <v>105</v>
      </c>
      <c r="BN715" s="136"/>
      <c r="BO715" s="137"/>
      <c r="BP715" s="135">
        <v>120</v>
      </c>
      <c r="BQ715" s="136"/>
      <c r="BR715" s="137"/>
      <c r="BS715" s="135">
        <f>BP715</f>
        <v>120</v>
      </c>
      <c r="BT715" s="136"/>
      <c r="BU715" s="137"/>
      <c r="BV715" s="135">
        <f>BP715</f>
        <v>120</v>
      </c>
      <c r="BW715" s="136"/>
      <c r="BX715" s="137"/>
      <c r="BY715" s="135">
        <v>120</v>
      </c>
      <c r="BZ715" s="136"/>
      <c r="CA715" s="137"/>
      <c r="CB715" s="135">
        <v>145</v>
      </c>
      <c r="CC715" s="136"/>
      <c r="CD715" s="137"/>
      <c r="CE715" s="135">
        <f>CB715</f>
        <v>145</v>
      </c>
      <c r="CF715" s="136"/>
      <c r="CG715" s="137"/>
      <c r="CH715" s="135">
        <v>145</v>
      </c>
      <c r="CI715" s="136"/>
      <c r="CJ715" s="137"/>
    </row>
    <row r="716" spans="7:88" ht="24.75" customHeight="1">
      <c r="G716" s="9"/>
      <c r="AU716" s="162" t="s">
        <v>99</v>
      </c>
      <c r="AV716" s="162"/>
      <c r="AW716" s="162"/>
      <c r="AX716" s="135">
        <v>75</v>
      </c>
      <c r="AY716" s="136"/>
      <c r="AZ716" s="137"/>
      <c r="BA716" s="135">
        <f>AX716</f>
        <v>75</v>
      </c>
      <c r="BB716" s="136"/>
      <c r="BC716" s="137"/>
      <c r="BD716" s="135">
        <f>AX716</f>
        <v>75</v>
      </c>
      <c r="BE716" s="136"/>
      <c r="BF716" s="137"/>
      <c r="BG716" s="135">
        <v>80</v>
      </c>
      <c r="BH716" s="136"/>
      <c r="BI716" s="137"/>
      <c r="BJ716" s="135">
        <v>100</v>
      </c>
      <c r="BK716" s="136"/>
      <c r="BL716" s="137"/>
      <c r="BM716" s="135">
        <v>105</v>
      </c>
      <c r="BN716" s="136"/>
      <c r="BO716" s="137"/>
      <c r="BP716" s="135">
        <v>115</v>
      </c>
      <c r="BQ716" s="136"/>
      <c r="BR716" s="137"/>
      <c r="BS716" s="135">
        <f>BP716</f>
        <v>115</v>
      </c>
      <c r="BT716" s="136"/>
      <c r="BU716" s="137"/>
      <c r="BV716" s="135">
        <f>BP716</f>
        <v>115</v>
      </c>
      <c r="BW716" s="136"/>
      <c r="BX716" s="137"/>
      <c r="BY716" s="135">
        <v>120</v>
      </c>
      <c r="BZ716" s="136"/>
      <c r="CA716" s="137"/>
      <c r="CB716" s="135">
        <v>140</v>
      </c>
      <c r="CC716" s="136"/>
      <c r="CD716" s="137"/>
      <c r="CE716" s="135">
        <f>CB716</f>
        <v>140</v>
      </c>
      <c r="CF716" s="136"/>
      <c r="CG716" s="137"/>
      <c r="CH716" s="135">
        <v>145</v>
      </c>
      <c r="CI716" s="136"/>
      <c r="CJ716" s="137"/>
    </row>
    <row r="717" spans="7:88" ht="24.75" customHeight="1">
      <c r="G717" s="9"/>
      <c r="AU717" s="162" t="s">
        <v>100</v>
      </c>
      <c r="AV717" s="162"/>
      <c r="AW717" s="162"/>
      <c r="AX717" s="135">
        <v>75</v>
      </c>
      <c r="AY717" s="136"/>
      <c r="AZ717" s="137"/>
      <c r="BA717" s="135">
        <f>AX717</f>
        <v>75</v>
      </c>
      <c r="BB717" s="136"/>
      <c r="BC717" s="137"/>
      <c r="BD717" s="135">
        <f>AX717</f>
        <v>75</v>
      </c>
      <c r="BE717" s="136"/>
      <c r="BF717" s="137"/>
      <c r="BG717" s="135">
        <v>80</v>
      </c>
      <c r="BH717" s="136"/>
      <c r="BI717" s="137"/>
      <c r="BJ717" s="135">
        <v>100</v>
      </c>
      <c r="BK717" s="136"/>
      <c r="BL717" s="137"/>
      <c r="BM717" s="135">
        <v>105</v>
      </c>
      <c r="BN717" s="136"/>
      <c r="BO717" s="137"/>
      <c r="BP717" s="135">
        <v>110</v>
      </c>
      <c r="BQ717" s="136"/>
      <c r="BR717" s="137"/>
      <c r="BS717" s="135">
        <f>BP717</f>
        <v>110</v>
      </c>
      <c r="BT717" s="136"/>
      <c r="BU717" s="137"/>
      <c r="BV717" s="135">
        <f>BP717</f>
        <v>110</v>
      </c>
      <c r="BW717" s="136"/>
      <c r="BX717" s="137"/>
      <c r="BY717" s="135">
        <v>120</v>
      </c>
      <c r="BZ717" s="136"/>
      <c r="CA717" s="137"/>
      <c r="CB717" s="135">
        <v>135</v>
      </c>
      <c r="CC717" s="136"/>
      <c r="CD717" s="137"/>
      <c r="CE717" s="135">
        <f>CB717</f>
        <v>135</v>
      </c>
      <c r="CF717" s="136"/>
      <c r="CG717" s="137"/>
      <c r="CH717" s="135">
        <v>145</v>
      </c>
      <c r="CI717" s="136"/>
      <c r="CJ717" s="137"/>
    </row>
    <row r="718" spans="7:41" ht="24.75" customHeight="1">
      <c r="G718" s="9"/>
      <c r="AH718" s="5" t="s">
        <v>180</v>
      </c>
      <c r="AM718" s="163">
        <v>21</v>
      </c>
      <c r="AN718" s="163"/>
      <c r="AO718" s="5" t="s">
        <v>84</v>
      </c>
    </row>
    <row r="719" spans="34:42" ht="24.75" customHeight="1">
      <c r="AH719" s="5" t="s">
        <v>217</v>
      </c>
      <c r="AM719" s="163">
        <v>2640</v>
      </c>
      <c r="AN719" s="163"/>
      <c r="AO719" s="163"/>
      <c r="AP719" s="4" t="s">
        <v>84</v>
      </c>
    </row>
    <row r="720" spans="34:43" ht="24.75" customHeight="1">
      <c r="AH720" s="5" t="s">
        <v>210</v>
      </c>
      <c r="AO720" s="163">
        <v>120</v>
      </c>
      <c r="AP720" s="163"/>
      <c r="AQ720" s="5" t="s">
        <v>84</v>
      </c>
    </row>
    <row r="721" spans="34:38" ht="24.75" customHeight="1">
      <c r="AH721" s="5" t="s">
        <v>201</v>
      </c>
      <c r="AL721" s="5" t="s">
        <v>223</v>
      </c>
    </row>
    <row r="726" ht="24.75" customHeight="1">
      <c r="C726" s="5" t="s">
        <v>181</v>
      </c>
    </row>
    <row r="727" spans="4:40" ht="24.75" customHeight="1">
      <c r="D727" s="5" t="s">
        <v>182</v>
      </c>
      <c r="I727" s="5" t="str">
        <f>IF(O703&gt;0,"Asσs ＋ 2 Pfwu","Asσs ＋ 2 Pfwl")</f>
        <v>Asσs ＋ 2 Pfwl</v>
      </c>
      <c r="P727" s="5" t="s">
        <v>89</v>
      </c>
      <c r="Q727" s="95">
        <f>+AM718</f>
        <v>21</v>
      </c>
      <c r="R727" s="95"/>
      <c r="S727" s="14" t="s">
        <v>41</v>
      </c>
      <c r="T727" s="114">
        <f>+AM719</f>
        <v>2640</v>
      </c>
      <c r="U727" s="114"/>
      <c r="V727" s="114"/>
      <c r="W727" s="14" t="s">
        <v>41</v>
      </c>
      <c r="X727" s="108">
        <f>P714</f>
        <v>157.5</v>
      </c>
      <c r="Y727" s="108"/>
      <c r="Z727" s="108"/>
      <c r="AA727" s="14" t="s">
        <v>143</v>
      </c>
      <c r="AB727" s="95">
        <f>IF(O703&gt;0,AD869,AD886)</f>
        <v>49071.53011540727</v>
      </c>
      <c r="AC727" s="95"/>
      <c r="AD727" s="95"/>
      <c r="AE727" s="95"/>
      <c r="AF727" s="14" t="s">
        <v>138</v>
      </c>
      <c r="AG727" s="14"/>
      <c r="AH727" s="5" t="s">
        <v>89</v>
      </c>
      <c r="AI727" s="102">
        <f>Q727*T727*X727+AB727*2</f>
        <v>8829943.060230814</v>
      </c>
      <c r="AJ727" s="102"/>
      <c r="AK727" s="102"/>
      <c r="AL727" s="102"/>
      <c r="AM727" s="102"/>
      <c r="AN727" s="5" t="s">
        <v>113</v>
      </c>
    </row>
    <row r="728" spans="9:31" ht="24.75" customHeight="1">
      <c r="I728" s="5" t="s">
        <v>200</v>
      </c>
      <c r="V728" s="5" t="str">
        <f>IF(O703&gt;0,"Pfwu","Pfwl")</f>
        <v>Pfwl</v>
      </c>
      <c r="X728" s="14" t="s">
        <v>183</v>
      </c>
      <c r="Y728" s="14"/>
      <c r="AA728" s="6"/>
      <c r="AB728" s="6"/>
      <c r="AC728" s="6"/>
      <c r="AD728" s="6"/>
      <c r="AE728" s="6"/>
    </row>
    <row r="729" spans="4:41" ht="24.75" customHeight="1">
      <c r="D729" s="5" t="s">
        <v>151</v>
      </c>
      <c r="F729" s="14" t="s">
        <v>152</v>
      </c>
      <c r="J729" s="5" t="s">
        <v>89</v>
      </c>
      <c r="K729" s="102">
        <f>AI727</f>
        <v>8829943.060230814</v>
      </c>
      <c r="L729" s="102"/>
      <c r="M729" s="102"/>
      <c r="N729" s="102"/>
      <c r="O729" s="102"/>
      <c r="P729" s="17" t="s">
        <v>88</v>
      </c>
      <c r="Q729" s="89">
        <f>+AA709</f>
        <v>96000</v>
      </c>
      <c r="R729" s="89"/>
      <c r="S729" s="89"/>
      <c r="T729" s="89"/>
      <c r="U729" s="8" t="s">
        <v>30</v>
      </c>
      <c r="V729" s="113">
        <f>ROUNDUP(K729/Q729,1)</f>
        <v>92</v>
      </c>
      <c r="W729" s="113"/>
      <c r="X729" s="113"/>
      <c r="Y729" s="113"/>
      <c r="AA729" s="92" t="s">
        <v>43</v>
      </c>
      <c r="AB729" s="92"/>
      <c r="AC729" s="6"/>
      <c r="AE729" s="164">
        <v>92</v>
      </c>
      <c r="AF729" s="164"/>
      <c r="AG729" s="164"/>
      <c r="AH729" s="164"/>
      <c r="AI729" s="92" t="s">
        <v>5</v>
      </c>
      <c r="AJ729" s="92"/>
      <c r="AK729" s="92"/>
      <c r="AL729" s="92"/>
      <c r="AM729" s="92"/>
      <c r="AO729" s="5" t="str">
        <f>IF(V729&lt;=AE729,"O.K.","N.G.")</f>
        <v>O.K.</v>
      </c>
    </row>
    <row r="730" ht="24.75" customHeight="1">
      <c r="C730" s="5" t="s">
        <v>239</v>
      </c>
    </row>
    <row r="731" spans="4:33" ht="24.75" customHeight="1">
      <c r="D731" s="18" t="s">
        <v>184</v>
      </c>
      <c r="E731" s="18"/>
      <c r="F731" s="18"/>
      <c r="G731" s="18"/>
      <c r="H731" s="18"/>
      <c r="I731" s="18"/>
      <c r="J731" s="18"/>
      <c r="P731" s="15"/>
      <c r="Q731" s="102">
        <f>AI727</f>
        <v>8829943.060230814</v>
      </c>
      <c r="R731" s="102"/>
      <c r="S731" s="102"/>
      <c r="T731" s="102"/>
      <c r="U731" s="102"/>
      <c r="V731" s="17" t="s">
        <v>88</v>
      </c>
      <c r="W731" s="108">
        <f>Z708</f>
        <v>210</v>
      </c>
      <c r="X731" s="108"/>
      <c r="Y731" s="108"/>
      <c r="Z731" s="108"/>
      <c r="AA731" s="8" t="s">
        <v>34</v>
      </c>
      <c r="AB731" s="89">
        <f>Q731/W731</f>
        <v>42047.34790586102</v>
      </c>
      <c r="AC731" s="89"/>
      <c r="AD731" s="89"/>
      <c r="AE731" s="89"/>
      <c r="AF731" s="92" t="s">
        <v>101</v>
      </c>
      <c r="AG731" s="92"/>
    </row>
    <row r="732" spans="4:27" ht="24.75" customHeight="1">
      <c r="D732" s="5" t="s">
        <v>240</v>
      </c>
      <c r="I732" s="165">
        <v>2</v>
      </c>
      <c r="J732" s="165"/>
      <c r="K732" s="165"/>
      <c r="L732" s="126">
        <v>80</v>
      </c>
      <c r="M732" s="126"/>
      <c r="N732" s="126"/>
      <c r="O732" s="163">
        <v>9</v>
      </c>
      <c r="P732" s="163"/>
      <c r="Q732" s="127">
        <v>630</v>
      </c>
      <c r="R732" s="127"/>
      <c r="S732" s="127"/>
      <c r="T732" s="127"/>
      <c r="U732" s="5" t="s">
        <v>31</v>
      </c>
      <c r="W732" s="89">
        <f>+L732*O732*I732</f>
        <v>1440</v>
      </c>
      <c r="X732" s="89"/>
      <c r="Y732" s="89"/>
      <c r="Z732" s="89"/>
      <c r="AA732" s="5" t="s">
        <v>101</v>
      </c>
    </row>
    <row r="733" spans="9:45" ht="24.75" customHeight="1">
      <c r="I733" s="165">
        <v>3</v>
      </c>
      <c r="J733" s="165"/>
      <c r="K733" s="165"/>
      <c r="L733" s="126">
        <v>680</v>
      </c>
      <c r="M733" s="126"/>
      <c r="N733" s="126"/>
      <c r="O733" s="163">
        <v>9</v>
      </c>
      <c r="P733" s="163"/>
      <c r="Q733" s="127">
        <f>Q732</f>
        <v>630</v>
      </c>
      <c r="R733" s="127"/>
      <c r="S733" s="127"/>
      <c r="T733" s="127"/>
      <c r="U733" s="5" t="s">
        <v>31</v>
      </c>
      <c r="W733" s="89">
        <f>+L733*O733*I733</f>
        <v>18360</v>
      </c>
      <c r="X733" s="89"/>
      <c r="Y733" s="89"/>
      <c r="Z733" s="89"/>
      <c r="AA733" s="5" t="s">
        <v>101</v>
      </c>
      <c r="AR733" s="18"/>
      <c r="AS733" s="18"/>
    </row>
    <row r="734" spans="9:28" ht="24.75" customHeight="1">
      <c r="I734" s="165">
        <v>1</v>
      </c>
      <c r="J734" s="165"/>
      <c r="K734" s="165"/>
      <c r="L734" s="126">
        <f>+AM719-10</f>
        <v>2630</v>
      </c>
      <c r="M734" s="126"/>
      <c r="N734" s="126"/>
      <c r="O734" s="163">
        <v>9</v>
      </c>
      <c r="P734" s="163"/>
      <c r="Q734" s="127">
        <f>Q733</f>
        <v>630</v>
      </c>
      <c r="R734" s="127"/>
      <c r="S734" s="127"/>
      <c r="T734" s="127"/>
      <c r="U734" s="19" t="s">
        <v>31</v>
      </c>
      <c r="V734" s="19"/>
      <c r="W734" s="105">
        <f>+L734*O734*I734</f>
        <v>23670</v>
      </c>
      <c r="X734" s="105"/>
      <c r="Y734" s="105"/>
      <c r="Z734" s="105"/>
      <c r="AA734" s="19" t="s">
        <v>101</v>
      </c>
      <c r="AB734" s="19"/>
    </row>
    <row r="735" spans="21:39" ht="24.75" customHeight="1">
      <c r="U735" s="5" t="s">
        <v>32</v>
      </c>
      <c r="W735" s="89">
        <f>+SUM(W732:W734)</f>
        <v>43470</v>
      </c>
      <c r="X735" s="89"/>
      <c r="Y735" s="89"/>
      <c r="Z735" s="89"/>
      <c r="AA735" s="92" t="str">
        <f>IF(W735&gt;AB731,"mm² ＞  Asreq'd =","mm² ＜   Asreq'd =")</f>
        <v>mm² ＞  Asreq'd =</v>
      </c>
      <c r="AB735" s="92"/>
      <c r="AC735" s="92"/>
      <c r="AD735" s="92"/>
      <c r="AE735" s="92"/>
      <c r="AF735" s="92"/>
      <c r="AG735" s="92"/>
      <c r="AH735" s="92"/>
      <c r="AI735" s="89">
        <f>+AB731</f>
        <v>42047.34790586102</v>
      </c>
      <c r="AJ735" s="89"/>
      <c r="AK735" s="89"/>
      <c r="AL735" s="89"/>
      <c r="AM735" s="5" t="str">
        <f>IF(W735&gt;AB731,"mm² O.K","mm² N.G")</f>
        <v>mm² O.K</v>
      </c>
    </row>
    <row r="736" spans="4:38" ht="24.75" customHeight="1">
      <c r="D736" s="4" t="s">
        <v>241</v>
      </c>
      <c r="E736" s="4"/>
      <c r="F736" s="4"/>
      <c r="G736" s="4"/>
      <c r="H736" s="4"/>
      <c r="I736" s="4"/>
      <c r="J736" s="4"/>
      <c r="K736" s="4"/>
      <c r="O736" s="5" t="s">
        <v>89</v>
      </c>
      <c r="P736" s="102">
        <f>AI727</f>
        <v>8829943.060230814</v>
      </c>
      <c r="Q736" s="102"/>
      <c r="R736" s="102"/>
      <c r="S736" s="102"/>
      <c r="T736" s="102"/>
      <c r="U736" s="17" t="s">
        <v>88</v>
      </c>
      <c r="V736" s="89">
        <f>W735</f>
        <v>43470</v>
      </c>
      <c r="W736" s="89"/>
      <c r="X736" s="89"/>
      <c r="Y736" s="89"/>
      <c r="Z736" s="8" t="s">
        <v>34</v>
      </c>
      <c r="AA736" s="134">
        <f>P736/V736</f>
        <v>203.1272845693769</v>
      </c>
      <c r="AB736" s="134"/>
      <c r="AC736" s="134"/>
      <c r="AD736" s="134"/>
      <c r="AE736" s="134"/>
      <c r="AF736" s="18" t="str">
        <f>IF(AA736&gt;Z708,"N/㎟ ＞  σca , N.G","N/㎟＜  σca , O.K")</f>
        <v>N/㎟＜  σca , O.K</v>
      </c>
      <c r="AG736" s="18"/>
      <c r="AH736" s="18"/>
      <c r="AI736" s="18"/>
      <c r="AJ736" s="18"/>
      <c r="AK736" s="18"/>
      <c r="AL736" s="18"/>
    </row>
    <row r="737" spans="4:44" ht="24.75" customHeight="1">
      <c r="D737" s="21"/>
      <c r="E737" s="21"/>
      <c r="F737" s="21"/>
      <c r="G737" s="21"/>
      <c r="H737" s="21"/>
      <c r="I737" s="21"/>
      <c r="J737" s="21"/>
      <c r="K737" s="21"/>
      <c r="W737" s="8"/>
      <c r="X737" s="20"/>
      <c r="Y737" s="20"/>
      <c r="Z737" s="20"/>
      <c r="AA737" s="20"/>
      <c r="AR737" s="18"/>
    </row>
    <row r="738" ht="24.75" customHeight="1">
      <c r="C738" s="5" t="s">
        <v>192</v>
      </c>
    </row>
    <row r="739" spans="3:23" ht="24.75" customHeight="1">
      <c r="C739" s="5" t="s">
        <v>193</v>
      </c>
      <c r="M739" s="13"/>
      <c r="N739" s="13"/>
      <c r="O739" s="14"/>
      <c r="P739" s="15"/>
      <c r="Q739" s="15"/>
      <c r="R739" s="15"/>
      <c r="S739" s="14"/>
      <c r="T739" s="16"/>
      <c r="U739" s="16"/>
      <c r="V739" s="16"/>
      <c r="W739" s="16"/>
    </row>
    <row r="740" spans="4:38" ht="24.75" customHeight="1">
      <c r="D740" s="4" t="s">
        <v>153</v>
      </c>
      <c r="E740" s="21"/>
      <c r="F740" s="21"/>
      <c r="G740" s="13"/>
      <c r="H740" s="13"/>
      <c r="I740" s="8"/>
      <c r="J740" s="102">
        <f>AI727</f>
        <v>8829943.060230814</v>
      </c>
      <c r="K740" s="102"/>
      <c r="L740" s="102"/>
      <c r="M740" s="102"/>
      <c r="N740" s="102"/>
      <c r="O740" s="17" t="s">
        <v>88</v>
      </c>
      <c r="P740" s="133">
        <f>+AE729</f>
        <v>92</v>
      </c>
      <c r="Q740" s="133"/>
      <c r="R740" s="133"/>
      <c r="S740" s="133"/>
      <c r="U740" s="8" t="s">
        <v>34</v>
      </c>
      <c r="V740" s="100">
        <f>J740/P740</f>
        <v>95977.64195903059</v>
      </c>
      <c r="W740" s="100"/>
      <c r="X740" s="100"/>
      <c r="Y740" s="100"/>
      <c r="Z740" s="100"/>
      <c r="AA740" s="18" t="s">
        <v>202</v>
      </c>
      <c r="AB740" s="8"/>
      <c r="AC740" s="8"/>
      <c r="AD740" s="18" t="str">
        <f>IF(V740&gt;AA709," ＞  ρa    N.G","＜ ρa    O.K")</f>
        <v>＜ ρa    O.K</v>
      </c>
      <c r="AE740" s="8"/>
      <c r="AF740" s="8"/>
      <c r="AG740" s="8"/>
      <c r="AH740" s="8"/>
      <c r="AI740" s="8"/>
      <c r="AJ740" s="8"/>
      <c r="AK740" s="8"/>
      <c r="AL740" s="8"/>
    </row>
    <row r="741" spans="3:38" ht="24.75" customHeight="1">
      <c r="C741" s="14"/>
      <c r="D741" s="34"/>
      <c r="E741" s="34"/>
      <c r="F741" s="34"/>
      <c r="G741" s="13"/>
      <c r="H741" s="13"/>
      <c r="I741" s="13"/>
      <c r="J741" s="14"/>
      <c r="K741" s="14"/>
      <c r="L741" s="14"/>
      <c r="M741" s="35"/>
      <c r="N741" s="35"/>
      <c r="O741" s="35"/>
      <c r="P741" s="35"/>
      <c r="Q741" s="14"/>
      <c r="R741" s="14"/>
      <c r="S741" s="14"/>
      <c r="T741" s="14"/>
      <c r="U741" s="13"/>
      <c r="V741" s="71"/>
      <c r="W741" s="71"/>
      <c r="X741" s="71"/>
      <c r="Y741" s="71"/>
      <c r="Z741" s="71"/>
      <c r="AA741" s="13"/>
      <c r="AB741" s="13"/>
      <c r="AC741" s="13"/>
      <c r="AD741" s="13"/>
      <c r="AE741" s="13"/>
      <c r="AF741" s="13"/>
      <c r="AG741" s="13"/>
      <c r="AH741" s="13"/>
      <c r="AI741" s="13"/>
      <c r="AJ741" s="13"/>
      <c r="AK741" s="13"/>
      <c r="AL741" s="8"/>
    </row>
    <row r="742" spans="3:38" ht="24.75" customHeight="1">
      <c r="C742" s="5" t="s">
        <v>206</v>
      </c>
      <c r="D742" s="21"/>
      <c r="E742" s="21"/>
      <c r="F742" s="21"/>
      <c r="G742" s="8"/>
      <c r="H742" s="8"/>
      <c r="I742" s="8"/>
      <c r="U742" s="8"/>
      <c r="V742" s="22"/>
      <c r="W742" s="22"/>
      <c r="X742" s="22"/>
      <c r="Y742" s="22"/>
      <c r="Z742" s="22"/>
      <c r="AA742" s="8"/>
      <c r="AB742" s="8"/>
      <c r="AC742" s="8"/>
      <c r="AD742" s="8"/>
      <c r="AE742" s="8"/>
      <c r="AF742" s="8"/>
      <c r="AG742" s="8"/>
      <c r="AH742" s="8"/>
      <c r="AI742" s="8"/>
      <c r="AJ742" s="8"/>
      <c r="AK742" s="8"/>
      <c r="AL742" s="8"/>
    </row>
    <row r="743" spans="4:47" ht="24.75" customHeight="1">
      <c r="D743" s="5" t="s">
        <v>205</v>
      </c>
      <c r="AU743" s="23"/>
    </row>
    <row r="744" spans="5:47" ht="24.75" customHeight="1">
      <c r="E744" s="5" t="s">
        <v>211</v>
      </c>
      <c r="AU744" s="23"/>
    </row>
    <row r="745" ht="24.75" customHeight="1">
      <c r="D745" s="5" t="s">
        <v>7</v>
      </c>
    </row>
    <row r="746" spans="3:36" ht="24.75" customHeight="1">
      <c r="C746" s="106" t="s">
        <v>49</v>
      </c>
      <c r="D746" s="106"/>
      <c r="E746" s="106"/>
      <c r="G746" s="105">
        <f>O705</f>
        <v>489.28399952</v>
      </c>
      <c r="H746" s="105"/>
      <c r="I746" s="105"/>
      <c r="J746" s="19" t="s">
        <v>41</v>
      </c>
      <c r="K746" s="97">
        <v>1000000</v>
      </c>
      <c r="L746" s="97"/>
      <c r="M746" s="97"/>
      <c r="N746" s="97"/>
      <c r="P746" s="106" t="s">
        <v>47</v>
      </c>
      <c r="Q746" s="106"/>
      <c r="R746" s="122">
        <f>P740</f>
        <v>92</v>
      </c>
      <c r="S746" s="122"/>
      <c r="T746" s="122"/>
      <c r="U746" s="92" t="s">
        <v>34</v>
      </c>
      <c r="V746" s="92"/>
      <c r="W746" s="102">
        <f>ROUND((G746*K746/(I747*K747))/R746,1)</f>
        <v>1208.7</v>
      </c>
      <c r="X746" s="102"/>
      <c r="Y746" s="102"/>
      <c r="Z746" s="102"/>
      <c r="AA746" s="92" t="str">
        <f>IF(W746&gt;AA709,"N/本   ＞ ρa   N.G.","N/本  ＜  ρa   O.K.")</f>
        <v>N/本  ＜  ρa   O.K.</v>
      </c>
      <c r="AB746" s="92"/>
      <c r="AC746" s="92"/>
      <c r="AD746" s="92"/>
      <c r="AE746" s="92"/>
      <c r="AF746" s="92"/>
      <c r="AG746" s="92"/>
      <c r="AH746" s="92"/>
      <c r="AI746" s="92"/>
      <c r="AJ746" s="92"/>
    </row>
    <row r="747" spans="3:36" ht="24.75" customHeight="1">
      <c r="C747" s="106"/>
      <c r="D747" s="106"/>
      <c r="E747" s="106"/>
      <c r="I747" s="8">
        <v>2</v>
      </c>
      <c r="J747" s="14" t="s">
        <v>41</v>
      </c>
      <c r="K747" s="24">
        <f>AM846</f>
        <v>2200</v>
      </c>
      <c r="L747" s="25"/>
      <c r="M747" s="25"/>
      <c r="P747" s="106"/>
      <c r="Q747" s="106"/>
      <c r="R747" s="122"/>
      <c r="S747" s="122"/>
      <c r="T747" s="122"/>
      <c r="U747" s="92"/>
      <c r="V747" s="92"/>
      <c r="W747" s="102"/>
      <c r="X747" s="102"/>
      <c r="Y747" s="102"/>
      <c r="Z747" s="102"/>
      <c r="AA747" s="92"/>
      <c r="AB747" s="92"/>
      <c r="AC747" s="92"/>
      <c r="AD747" s="92"/>
      <c r="AE747" s="92"/>
      <c r="AF747" s="92"/>
      <c r="AG747" s="92"/>
      <c r="AH747" s="92"/>
      <c r="AI747" s="92"/>
      <c r="AJ747" s="92"/>
    </row>
    <row r="749" spans="3:9" ht="24.75" customHeight="1">
      <c r="C749" s="5" t="s">
        <v>212</v>
      </c>
      <c r="I749" s="23"/>
    </row>
    <row r="750" spans="4:31" ht="24.75" customHeight="1">
      <c r="D750" s="5" t="s">
        <v>50</v>
      </c>
      <c r="P750" s="119">
        <f>V740</f>
        <v>95977.64195903059</v>
      </c>
      <c r="Q750" s="119"/>
      <c r="R750" s="119"/>
      <c r="S750" s="119"/>
      <c r="T750" s="5" t="s">
        <v>48</v>
      </c>
      <c r="U750" s="104">
        <f>+W746</f>
        <v>1208.7</v>
      </c>
      <c r="V750" s="104"/>
      <c r="W750" s="104"/>
      <c r="X750" s="104"/>
      <c r="Y750" s="5" t="s">
        <v>33</v>
      </c>
      <c r="AA750" s="100">
        <f>ROUND(SQRT(P750^2+U750^2),1)</f>
        <v>95985.3</v>
      </c>
      <c r="AB750" s="100"/>
      <c r="AC750" s="100"/>
      <c r="AD750" s="100"/>
      <c r="AE750" s="5" t="str">
        <f>IF(AA750&gt;$AA$10,"N/本  ＞  ρa ,  N.G","N/本  ＜  ρa ,  O.K")</f>
        <v>N/本  ＜  ρa ,  O.K</v>
      </c>
    </row>
    <row r="751" spans="16:30" ht="24.75" customHeight="1">
      <c r="P751" s="26"/>
      <c r="Q751" s="26"/>
      <c r="R751" s="26"/>
      <c r="S751" s="26"/>
      <c r="U751" s="26"/>
      <c r="V751" s="26"/>
      <c r="W751" s="26"/>
      <c r="X751" s="26"/>
      <c r="AA751" s="9"/>
      <c r="AB751" s="9"/>
      <c r="AC751" s="9"/>
      <c r="AD751" s="9"/>
    </row>
    <row r="752" spans="2:11" ht="24.75" customHeight="1">
      <c r="B752" s="5" t="s">
        <v>187</v>
      </c>
      <c r="H752" s="27"/>
      <c r="K752" s="9"/>
    </row>
    <row r="753" spans="7:9" ht="24.75" customHeight="1">
      <c r="G753" s="27"/>
      <c r="I753" s="27"/>
    </row>
    <row r="754" spans="5:17" ht="24.75" customHeight="1">
      <c r="E754" s="166"/>
      <c r="F754" s="166"/>
      <c r="G754" s="166"/>
      <c r="K754" s="29"/>
      <c r="L754" s="29"/>
      <c r="M754" s="29"/>
      <c r="N754" s="166"/>
      <c r="Q754" s="30"/>
    </row>
    <row r="755" spans="17:31" ht="24.75" customHeight="1">
      <c r="Q755" s="30"/>
      <c r="U755" s="31"/>
      <c r="V755" s="31"/>
      <c r="X755" s="5" t="s">
        <v>185</v>
      </c>
      <c r="AB755" s="163">
        <v>150</v>
      </c>
      <c r="AC755" s="163"/>
      <c r="AD755" s="163"/>
      <c r="AE755" s="5" t="s">
        <v>84</v>
      </c>
    </row>
    <row r="756" spans="17:31" ht="24.75" customHeight="1">
      <c r="Q756" s="30"/>
      <c r="R756" s="30"/>
      <c r="S756" s="32"/>
      <c r="T756" s="32"/>
      <c r="U756" s="167"/>
      <c r="V756" s="33"/>
      <c r="X756" s="5" t="s">
        <v>186</v>
      </c>
      <c r="AB756" s="163">
        <v>14</v>
      </c>
      <c r="AC756" s="163"/>
      <c r="AD756" s="163"/>
      <c r="AE756" s="5" t="s">
        <v>84</v>
      </c>
    </row>
    <row r="757" spans="1:19" ht="24.75" customHeight="1">
      <c r="A757" s="53"/>
      <c r="B757" s="53"/>
      <c r="C757" s="53"/>
      <c r="D757" s="53"/>
      <c r="E757" s="53"/>
      <c r="F757" s="53"/>
      <c r="G757" s="53"/>
      <c r="H757" s="53"/>
      <c r="I757" s="53"/>
      <c r="J757" s="53"/>
      <c r="K757" s="53"/>
      <c r="L757" s="53"/>
      <c r="M757" s="53"/>
      <c r="N757" s="53"/>
      <c r="O757" s="53"/>
      <c r="P757" s="53"/>
      <c r="Q757" s="53"/>
      <c r="R757" s="53"/>
      <c r="S757" s="53"/>
    </row>
    <row r="758" spans="7:11" ht="24.75" customHeight="1">
      <c r="G758" s="27"/>
      <c r="I758" s="27"/>
      <c r="K758" s="9"/>
    </row>
    <row r="759" ht="24.75" customHeight="1">
      <c r="C759" s="5" t="s">
        <v>181</v>
      </c>
    </row>
    <row r="760" spans="4:41" ht="24.75" customHeight="1">
      <c r="D760" s="106" t="s">
        <v>42</v>
      </c>
      <c r="E760" s="106"/>
      <c r="F760" s="19" t="str">
        <f>IF(O703&gt;0,"As σu","As σl")</f>
        <v>As σl</v>
      </c>
      <c r="G760" s="19"/>
      <c r="H760" s="19"/>
      <c r="I760" s="92" t="s">
        <v>34</v>
      </c>
      <c r="J760" s="97">
        <f>+AB756</f>
        <v>14</v>
      </c>
      <c r="K760" s="97"/>
      <c r="L760" s="19" t="s">
        <v>41</v>
      </c>
      <c r="M760" s="132">
        <f>+AB755</f>
        <v>150</v>
      </c>
      <c r="N760" s="132"/>
      <c r="O760" s="132"/>
      <c r="P760" s="19" t="s">
        <v>41</v>
      </c>
      <c r="Q760" s="105">
        <f>P714</f>
        <v>157.5</v>
      </c>
      <c r="R760" s="105"/>
      <c r="S760" s="105"/>
      <c r="T760" s="105"/>
      <c r="U760" s="92" t="s">
        <v>30</v>
      </c>
      <c r="V760" s="113">
        <f>ROUND(+J760*M760*Q760/M761,1)</f>
        <v>3.4</v>
      </c>
      <c r="W760" s="113"/>
      <c r="X760" s="113"/>
      <c r="Y760" s="113"/>
      <c r="Z760" s="92" t="s">
        <v>43</v>
      </c>
      <c r="AA760" s="92"/>
      <c r="AB760" s="92"/>
      <c r="AC760" s="164">
        <v>5</v>
      </c>
      <c r="AD760" s="164"/>
      <c r="AE760" s="164"/>
      <c r="AF760" s="164"/>
      <c r="AG760" s="92" t="s">
        <v>4</v>
      </c>
      <c r="AH760" s="92"/>
      <c r="AI760" s="92"/>
      <c r="AJ760" s="92"/>
      <c r="AM760" s="92" t="str">
        <f>IF(V760&lt;=AC760,"O.K.","N.G.")</f>
        <v>O.K.</v>
      </c>
      <c r="AN760" s="92"/>
      <c r="AO760" s="92"/>
    </row>
    <row r="761" spans="4:51" ht="24.75" customHeight="1">
      <c r="D761" s="106"/>
      <c r="E761" s="106"/>
      <c r="F761" s="92" t="s">
        <v>44</v>
      </c>
      <c r="G761" s="92"/>
      <c r="H761" s="92"/>
      <c r="I761" s="92"/>
      <c r="M761" s="89">
        <f>AA709</f>
        <v>96000</v>
      </c>
      <c r="N761" s="89"/>
      <c r="O761" s="89"/>
      <c r="P761" s="89"/>
      <c r="U761" s="92"/>
      <c r="V761" s="113"/>
      <c r="W761" s="113"/>
      <c r="X761" s="113"/>
      <c r="Y761" s="113"/>
      <c r="Z761" s="92"/>
      <c r="AA761" s="92"/>
      <c r="AB761" s="92"/>
      <c r="AC761" s="164"/>
      <c r="AD761" s="164"/>
      <c r="AE761" s="164"/>
      <c r="AF761" s="164"/>
      <c r="AG761" s="92"/>
      <c r="AH761" s="92"/>
      <c r="AI761" s="92"/>
      <c r="AJ761" s="92"/>
      <c r="AM761" s="92"/>
      <c r="AN761" s="92"/>
      <c r="AO761" s="92"/>
      <c r="AW761" s="8"/>
      <c r="AY761" s="18"/>
    </row>
    <row r="762" ht="24.75" customHeight="1">
      <c r="C762" s="5" t="s">
        <v>239</v>
      </c>
    </row>
    <row r="763" spans="4:28" ht="24.75" customHeight="1">
      <c r="D763" s="92" t="s">
        <v>188</v>
      </c>
      <c r="E763" s="106"/>
      <c r="F763" s="106"/>
      <c r="G763" s="106"/>
      <c r="H763" s="106"/>
      <c r="I763" s="106"/>
      <c r="J763" s="106"/>
      <c r="K763" s="132">
        <f>+J760</f>
        <v>14</v>
      </c>
      <c r="L763" s="132"/>
      <c r="M763" s="19" t="s">
        <v>41</v>
      </c>
      <c r="N763" s="132">
        <f>+M760</f>
        <v>150</v>
      </c>
      <c r="O763" s="132"/>
      <c r="P763" s="132"/>
      <c r="Q763" s="19" t="s">
        <v>41</v>
      </c>
      <c r="R763" s="105">
        <f>+Q760</f>
        <v>157.5</v>
      </c>
      <c r="S763" s="105"/>
      <c r="T763" s="105"/>
      <c r="U763" s="105"/>
      <c r="V763" s="92" t="s">
        <v>34</v>
      </c>
      <c r="W763" s="89">
        <f>+K763*N763*R763/N764</f>
        <v>1575</v>
      </c>
      <c r="X763" s="89"/>
      <c r="Y763" s="89"/>
      <c r="Z763" s="89"/>
      <c r="AA763" s="103" t="s">
        <v>101</v>
      </c>
      <c r="AB763" s="103"/>
    </row>
    <row r="764" spans="4:54" ht="24.75" customHeight="1">
      <c r="D764" s="106"/>
      <c r="E764" s="106"/>
      <c r="F764" s="106"/>
      <c r="G764" s="106"/>
      <c r="H764" s="106"/>
      <c r="I764" s="106"/>
      <c r="J764" s="106"/>
      <c r="N764" s="89">
        <f>Z708</f>
        <v>210</v>
      </c>
      <c r="O764" s="89"/>
      <c r="P764" s="89"/>
      <c r="Q764" s="89"/>
      <c r="V764" s="92"/>
      <c r="W764" s="89"/>
      <c r="X764" s="89"/>
      <c r="Y764" s="89"/>
      <c r="Z764" s="89"/>
      <c r="AA764" s="103"/>
      <c r="AB764" s="103"/>
      <c r="AX764" s="23"/>
      <c r="AZ764" s="23"/>
      <c r="BB764" s="23"/>
    </row>
    <row r="765" spans="4:54" ht="24.75" customHeight="1">
      <c r="D765" s="5" t="s">
        <v>240</v>
      </c>
      <c r="I765" s="165">
        <v>2</v>
      </c>
      <c r="J765" s="165"/>
      <c r="K765" s="165"/>
      <c r="L765" s="126">
        <v>80</v>
      </c>
      <c r="M765" s="126"/>
      <c r="N765" s="126"/>
      <c r="O765" s="92">
        <v>9</v>
      </c>
      <c r="P765" s="92"/>
      <c r="Q765" s="127">
        <v>780</v>
      </c>
      <c r="R765" s="127"/>
      <c r="S765" s="127"/>
      <c r="T765" s="127"/>
      <c r="U765" s="5" t="s">
        <v>31</v>
      </c>
      <c r="W765" s="89">
        <f>+L765*O765*I765</f>
        <v>1440</v>
      </c>
      <c r="X765" s="89"/>
      <c r="Y765" s="89"/>
      <c r="Z765" s="89"/>
      <c r="AA765" s="5" t="s">
        <v>101</v>
      </c>
      <c r="AD765" s="5" t="str">
        <f>IF(W765&gt;=W763,"O.K.","N.G.")</f>
        <v>N.G.</v>
      </c>
      <c r="AT765" s="4"/>
      <c r="BB765" s="8"/>
    </row>
    <row r="767" spans="2:15" ht="24.75" customHeight="1">
      <c r="B767" s="5" t="s">
        <v>1</v>
      </c>
      <c r="I767" s="92" t="str">
        <f>IF(O703&gt;0,"(下フランジ)","(上フランジ)")</f>
        <v>(上フランジ)</v>
      </c>
      <c r="J767" s="92"/>
      <c r="K767" s="92"/>
      <c r="L767" s="92"/>
      <c r="M767" s="92"/>
      <c r="N767" s="92"/>
      <c r="O767" s="5" t="s">
        <v>249</v>
      </c>
    </row>
    <row r="768" spans="3:10" ht="24.75" customHeight="1">
      <c r="C768" s="5" t="s">
        <v>115</v>
      </c>
      <c r="E768" s="131">
        <f>IF(O703&gt;0,ABS(O707),ABS(O706))</f>
        <v>44.004946062</v>
      </c>
      <c r="F768" s="131"/>
      <c r="G768" s="131"/>
      <c r="H768" s="131"/>
      <c r="I768" s="131"/>
      <c r="J768" s="5" t="s">
        <v>218</v>
      </c>
    </row>
    <row r="769" spans="3:22" ht="24.75" customHeight="1">
      <c r="C769" s="5" t="s">
        <v>116</v>
      </c>
      <c r="E769" s="130">
        <f>+E713</f>
        <v>0.75</v>
      </c>
      <c r="F769" s="130"/>
      <c r="G769" s="130"/>
      <c r="H769" s="130"/>
      <c r="I769" s="5" t="s">
        <v>41</v>
      </c>
      <c r="J769" s="102">
        <f>O708</f>
        <v>210</v>
      </c>
      <c r="K769" s="102"/>
      <c r="L769" s="102"/>
      <c r="M769" s="5" t="s">
        <v>34</v>
      </c>
      <c r="N769" s="89">
        <f>+E769*J769</f>
        <v>157.5</v>
      </c>
      <c r="O769" s="89"/>
      <c r="P769" s="89"/>
      <c r="Q769" s="89"/>
      <c r="R769" s="5" t="str">
        <f>+J768</f>
        <v>N/㎟</v>
      </c>
      <c r="T769" s="10"/>
      <c r="U769" s="11"/>
      <c r="V769" s="12" t="s">
        <v>178</v>
      </c>
    </row>
    <row r="770" spans="3:20" ht="24.75" customHeight="1">
      <c r="C770" s="5" t="s">
        <v>247</v>
      </c>
      <c r="L770" s="5" t="str">
        <f>IF(O703&gt;0,"σl","σu")</f>
        <v>σu</v>
      </c>
      <c r="N770" s="5" t="s">
        <v>179</v>
      </c>
      <c r="P770" s="89">
        <f>+MAX(E768,N769)</f>
        <v>157.5</v>
      </c>
      <c r="Q770" s="89"/>
      <c r="R770" s="89"/>
      <c r="S770" s="89"/>
      <c r="T770" s="5" t="s">
        <v>222</v>
      </c>
    </row>
    <row r="772" ht="24.75" customHeight="1">
      <c r="G772" s="9"/>
    </row>
    <row r="773" spans="7:42" ht="24.75" customHeight="1">
      <c r="G773" s="9"/>
      <c r="AH773" s="5" t="s">
        <v>180</v>
      </c>
      <c r="AM773" s="163">
        <v>21</v>
      </c>
      <c r="AN773" s="163"/>
      <c r="AO773" s="163"/>
      <c r="AP773" s="5" t="s">
        <v>84</v>
      </c>
    </row>
    <row r="774" spans="7:42" ht="24.75" customHeight="1">
      <c r="G774" s="9"/>
      <c r="AH774" s="5" t="s">
        <v>217</v>
      </c>
      <c r="AM774" s="163">
        <v>2340</v>
      </c>
      <c r="AN774" s="163"/>
      <c r="AO774" s="163"/>
      <c r="AP774" s="5" t="s">
        <v>84</v>
      </c>
    </row>
    <row r="775" spans="34:43" ht="24.75" customHeight="1">
      <c r="AH775" s="5" t="s">
        <v>210</v>
      </c>
      <c r="AO775" s="163">
        <v>120</v>
      </c>
      <c r="AP775" s="163"/>
      <c r="AQ775" s="5" t="s">
        <v>84</v>
      </c>
    </row>
    <row r="776" spans="34:38" ht="24.75" customHeight="1">
      <c r="AH776" s="5" t="s">
        <v>201</v>
      </c>
      <c r="AL776" s="5" t="s">
        <v>213</v>
      </c>
    </row>
    <row r="777" spans="5:38" ht="24.75" customHeight="1">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row>
    <row r="778" spans="5:38" ht="24.75" customHeight="1">
      <c r="E778" s="34"/>
      <c r="F778" s="34"/>
      <c r="G778" s="14"/>
      <c r="H778" s="14"/>
      <c r="I778" s="14"/>
      <c r="J778" s="13"/>
      <c r="K778" s="13"/>
      <c r="L778" s="13"/>
      <c r="M778" s="14"/>
      <c r="N778" s="16"/>
      <c r="O778" s="16"/>
      <c r="P778" s="16"/>
      <c r="Q778" s="14"/>
      <c r="R778" s="16"/>
      <c r="S778" s="16"/>
      <c r="T778" s="16"/>
      <c r="U778" s="16"/>
      <c r="V778" s="13"/>
      <c r="W778" s="35"/>
      <c r="X778" s="35"/>
      <c r="Y778" s="35"/>
      <c r="Z778" s="35"/>
      <c r="AA778" s="13"/>
      <c r="AB778" s="13"/>
      <c r="AC778" s="13"/>
      <c r="AD778" s="168"/>
      <c r="AE778" s="168"/>
      <c r="AF778" s="168"/>
      <c r="AG778" s="168"/>
      <c r="AH778" s="13"/>
      <c r="AI778" s="13"/>
      <c r="AJ778" s="13"/>
      <c r="AK778" s="13"/>
      <c r="AL778" s="14"/>
    </row>
    <row r="779" spans="5:38" ht="24.75" customHeight="1">
      <c r="E779" s="34"/>
      <c r="F779" s="34"/>
      <c r="G779" s="13"/>
      <c r="H779" s="13"/>
      <c r="I779" s="13"/>
      <c r="J779" s="13"/>
      <c r="K779" s="14"/>
      <c r="L779" s="14"/>
      <c r="M779" s="14"/>
      <c r="N779" s="16"/>
      <c r="O779" s="16"/>
      <c r="P779" s="16"/>
      <c r="Q779" s="16"/>
      <c r="R779" s="14"/>
      <c r="S779" s="14"/>
      <c r="T779" s="14"/>
      <c r="U779" s="14"/>
      <c r="V779" s="13"/>
      <c r="W779" s="35"/>
      <c r="X779" s="35"/>
      <c r="Y779" s="35"/>
      <c r="Z779" s="35"/>
      <c r="AA779" s="13"/>
      <c r="AB779" s="13"/>
      <c r="AC779" s="13"/>
      <c r="AD779" s="168"/>
      <c r="AE779" s="168"/>
      <c r="AF779" s="168"/>
      <c r="AG779" s="168"/>
      <c r="AH779" s="13"/>
      <c r="AI779" s="13"/>
      <c r="AJ779" s="13"/>
      <c r="AK779" s="13"/>
      <c r="AL779" s="14"/>
    </row>
    <row r="780" spans="5:38" ht="24.75" customHeight="1">
      <c r="E780" s="13"/>
      <c r="F780" s="34"/>
      <c r="G780" s="34"/>
      <c r="H780" s="34"/>
      <c r="I780" s="34"/>
      <c r="J780" s="34"/>
      <c r="K780" s="34"/>
      <c r="L780" s="16"/>
      <c r="M780" s="16"/>
      <c r="N780" s="14"/>
      <c r="O780" s="16"/>
      <c r="P780" s="16"/>
      <c r="Q780" s="16"/>
      <c r="R780" s="14"/>
      <c r="S780" s="16"/>
      <c r="T780" s="16"/>
      <c r="U780" s="16"/>
      <c r="V780" s="16"/>
      <c r="W780" s="13"/>
      <c r="X780" s="16"/>
      <c r="Y780" s="16"/>
      <c r="Z780" s="16"/>
      <c r="AA780" s="16"/>
      <c r="AB780" s="36"/>
      <c r="AC780" s="36"/>
      <c r="AD780" s="14"/>
      <c r="AE780" s="14"/>
      <c r="AF780" s="14"/>
      <c r="AG780" s="14"/>
      <c r="AH780" s="14"/>
      <c r="AI780" s="14"/>
      <c r="AJ780" s="14"/>
      <c r="AK780" s="14"/>
      <c r="AL780" s="14"/>
    </row>
    <row r="781" spans="7:30" ht="24.75" customHeight="1">
      <c r="G781" s="34"/>
      <c r="H781" s="34"/>
      <c r="I781" s="34"/>
      <c r="J781" s="34"/>
      <c r="K781" s="34"/>
      <c r="L781" s="14"/>
      <c r="M781" s="14"/>
      <c r="N781" s="14"/>
      <c r="O781" s="16"/>
      <c r="P781" s="16"/>
      <c r="Q781" s="16"/>
      <c r="R781" s="16"/>
      <c r="S781" s="14"/>
      <c r="T781" s="14"/>
      <c r="U781" s="14"/>
      <c r="V781" s="14"/>
      <c r="W781" s="13"/>
      <c r="X781" s="16"/>
      <c r="Y781" s="16"/>
      <c r="Z781" s="16"/>
      <c r="AA781" s="16"/>
      <c r="AB781" s="36"/>
      <c r="AC781" s="36"/>
      <c r="AD781" s="14"/>
    </row>
    <row r="782" ht="24.75" customHeight="1">
      <c r="C782" s="5" t="s">
        <v>181</v>
      </c>
    </row>
    <row r="783" ht="24.75" customHeight="1">
      <c r="D783" s="5" t="s">
        <v>2</v>
      </c>
    </row>
    <row r="784" spans="4:38" ht="24.75" customHeight="1">
      <c r="D784" s="5" t="s">
        <v>3</v>
      </c>
      <c r="S784" s="5" t="s">
        <v>190</v>
      </c>
      <c r="AB784" s="150">
        <v>26.5</v>
      </c>
      <c r="AC784" s="150"/>
      <c r="AD784" s="150"/>
      <c r="AE784" s="5" t="s">
        <v>191</v>
      </c>
      <c r="AK784" s="169">
        <v>5</v>
      </c>
      <c r="AL784" s="5" t="s">
        <v>203</v>
      </c>
    </row>
    <row r="785" spans="5:71" ht="24.75" customHeight="1">
      <c r="E785" s="37" t="str">
        <f>IF(AW785=1,"Ar = ( "&amp;AB784&amp;" + "&amp;ROUND(AB784-(BA785^2/4/BG785),3)&amp;" ) × "&amp;AB832&amp;" = ","Ar = "&amp;AB784&amp;"× "&amp;BR785&amp;"本 ×"&amp;AB832&amp;" = ")</f>
        <v>Ar = 26.5× 1本 ×14 = </v>
      </c>
      <c r="F785" s="34"/>
      <c r="R785" s="128">
        <f>IF(AW785=1,(AB784+(AB784-(BA785^2/4/BG785)))*AB832,AB784*BR785*AB832)</f>
        <v>371</v>
      </c>
      <c r="S785" s="128"/>
      <c r="T785" s="128"/>
      <c r="U785" s="128"/>
      <c r="V785" s="128"/>
      <c r="W785" s="5">
        <f>IF(AW785=1,"∵ w = d - p2/4g = "&amp;AB784&amp;" - "&amp;BA785&amp;"²/ ( 4 × "&amp;BG785&amp;" ) = "&amp;ROUND(AB784-(BA785^2/4/BG785),3)&amp;" mm","")</f>
      </c>
      <c r="Y785" s="38"/>
      <c r="Z785" s="39"/>
      <c r="AA785" s="39"/>
      <c r="AB785" s="39"/>
      <c r="AD785" s="40"/>
      <c r="AE785" s="40"/>
      <c r="AF785" s="40"/>
      <c r="AG785" s="18"/>
      <c r="AI785" s="28"/>
      <c r="AJ785" s="28"/>
      <c r="AL785" s="41"/>
      <c r="AM785" s="41"/>
      <c r="AN785" s="41"/>
      <c r="AP785" s="13"/>
      <c r="AU785" s="5" t="s">
        <v>154</v>
      </c>
      <c r="AW785" s="169">
        <v>0</v>
      </c>
      <c r="AX785" s="5" t="s">
        <v>155</v>
      </c>
      <c r="AY785" s="5" t="s">
        <v>141</v>
      </c>
      <c r="BA785" s="163">
        <v>75</v>
      </c>
      <c r="BB785" s="163"/>
      <c r="BC785" s="163"/>
      <c r="BD785" s="5" t="s">
        <v>155</v>
      </c>
      <c r="BE785" s="5" t="s">
        <v>142</v>
      </c>
      <c r="BG785" s="163">
        <v>0</v>
      </c>
      <c r="BH785" s="163"/>
      <c r="BI785" s="163"/>
      <c r="BJ785" s="5" t="s">
        <v>155</v>
      </c>
      <c r="BK785" s="5" t="s">
        <v>254</v>
      </c>
      <c r="BR785" s="169">
        <v>1</v>
      </c>
      <c r="BS785" s="5" t="s">
        <v>204</v>
      </c>
    </row>
    <row r="786" spans="4:45" ht="24.75" customHeight="1">
      <c r="D786" s="5" t="s">
        <v>182</v>
      </c>
      <c r="I786" s="5" t="str">
        <f>IF(O703&gt;0,"(As＋Ar×"&amp;AK784&amp;")σs＋2 Pfwl","(As＋Ar×"&amp;AK784&amp;")σs＋2 Pfwu")</f>
        <v>(As＋Ar×5)σs＋2 Pfwu</v>
      </c>
      <c r="R786" s="5" t="s">
        <v>89</v>
      </c>
      <c r="S786" s="5" t="s">
        <v>87</v>
      </c>
      <c r="T786" s="42">
        <f>AM773*AM774</f>
        <v>49140</v>
      </c>
      <c r="U786" s="42"/>
      <c r="V786" s="43"/>
      <c r="W786" s="43" t="s">
        <v>143</v>
      </c>
      <c r="X786" s="39">
        <f>R785*AK784</f>
        <v>1855</v>
      </c>
      <c r="Y786" s="39"/>
      <c r="Z786" s="39"/>
      <c r="AA786" s="5" t="s">
        <v>144</v>
      </c>
      <c r="AB786" s="14" t="s">
        <v>137</v>
      </c>
      <c r="AC786" s="108">
        <f>P770</f>
        <v>157.5</v>
      </c>
      <c r="AD786" s="108"/>
      <c r="AE786" s="108"/>
      <c r="AF786" s="14" t="s">
        <v>143</v>
      </c>
      <c r="AG786" s="95">
        <f>IF(O703&gt;0,AD886,AD869)</f>
        <v>49071.53011540727</v>
      </c>
      <c r="AH786" s="95"/>
      <c r="AI786" s="95"/>
      <c r="AJ786" s="95"/>
      <c r="AK786" s="14" t="s">
        <v>138</v>
      </c>
      <c r="AL786" s="14"/>
      <c r="AM786" s="5" t="s">
        <v>89</v>
      </c>
      <c r="AN786" s="129">
        <f>(T786+X786)*AC786+AG786*2</f>
        <v>8129855.560230815</v>
      </c>
      <c r="AO786" s="129"/>
      <c r="AP786" s="129"/>
      <c r="AQ786" s="129"/>
      <c r="AR786" s="129"/>
      <c r="AS786" s="129"/>
    </row>
    <row r="787" spans="9:31" ht="24.75" customHeight="1">
      <c r="I787" s="5" t="s">
        <v>200</v>
      </c>
      <c r="V787" s="5" t="str">
        <f>IF(O703&gt;0,"Pfwl","Pfwu")</f>
        <v>Pfwu</v>
      </c>
      <c r="X787" s="14" t="s">
        <v>183</v>
      </c>
      <c r="Y787" s="14"/>
      <c r="AA787" s="6"/>
      <c r="AB787" s="6"/>
      <c r="AC787" s="6"/>
      <c r="AD787" s="6"/>
      <c r="AE787" s="6"/>
    </row>
    <row r="788" spans="4:41" ht="24.75" customHeight="1">
      <c r="D788" s="5" t="s">
        <v>151</v>
      </c>
      <c r="F788" s="14" t="s">
        <v>152</v>
      </c>
      <c r="J788" s="5" t="s">
        <v>89</v>
      </c>
      <c r="K788" s="102">
        <f>AN786</f>
        <v>8129855.560230815</v>
      </c>
      <c r="L788" s="102"/>
      <c r="M788" s="102"/>
      <c r="N788" s="102"/>
      <c r="O788" s="102"/>
      <c r="P788" s="102"/>
      <c r="Q788" s="17" t="s">
        <v>88</v>
      </c>
      <c r="R788" s="89">
        <f>AA709</f>
        <v>96000</v>
      </c>
      <c r="S788" s="89"/>
      <c r="T788" s="89"/>
      <c r="U788" s="89"/>
      <c r="V788" s="8" t="s">
        <v>89</v>
      </c>
      <c r="W788" s="113">
        <f>ROUND(K788/R788,1)</f>
        <v>84.7</v>
      </c>
      <c r="X788" s="113"/>
      <c r="Y788" s="113"/>
      <c r="Z788" s="113"/>
      <c r="AA788" s="92" t="s">
        <v>43</v>
      </c>
      <c r="AB788" s="92"/>
      <c r="AC788" s="6"/>
      <c r="AD788" s="6"/>
      <c r="AE788" s="164">
        <v>83</v>
      </c>
      <c r="AF788" s="164"/>
      <c r="AG788" s="164"/>
      <c r="AH788" s="164"/>
      <c r="AI788" s="92" t="s">
        <v>5</v>
      </c>
      <c r="AJ788" s="92"/>
      <c r="AK788" s="92"/>
      <c r="AL788" s="92"/>
      <c r="AM788" s="92"/>
      <c r="AO788" s="5" t="str">
        <f>IF(W788&lt;=AE788,"O.K.","N.G.")</f>
        <v>N.G.</v>
      </c>
    </row>
    <row r="789" ht="24.75" customHeight="1">
      <c r="C789" s="5" t="s">
        <v>239</v>
      </c>
    </row>
    <row r="790" spans="4:34" ht="24.75" customHeight="1">
      <c r="D790" s="18" t="s">
        <v>194</v>
      </c>
      <c r="E790" s="18"/>
      <c r="F790" s="18"/>
      <c r="G790" s="18"/>
      <c r="H790" s="18"/>
      <c r="I790" s="18"/>
      <c r="J790" s="18"/>
      <c r="P790" s="15"/>
      <c r="Q790" s="102">
        <f>AN786</f>
        <v>8129855.560230815</v>
      </c>
      <c r="R790" s="102"/>
      <c r="S790" s="102"/>
      <c r="T790" s="102"/>
      <c r="U790" s="102"/>
      <c r="V790" s="102"/>
      <c r="W790" s="17" t="s">
        <v>88</v>
      </c>
      <c r="X790" s="108">
        <f>O708</f>
        <v>210</v>
      </c>
      <c r="Y790" s="108"/>
      <c r="Z790" s="108"/>
      <c r="AA790" s="108"/>
      <c r="AB790" s="8" t="s">
        <v>34</v>
      </c>
      <c r="AC790" s="89">
        <f>Q790/X790</f>
        <v>38713.597905861025</v>
      </c>
      <c r="AD790" s="89"/>
      <c r="AE790" s="89"/>
      <c r="AF790" s="89"/>
      <c r="AG790" s="92" t="s">
        <v>101</v>
      </c>
      <c r="AH790" s="92"/>
    </row>
    <row r="791" spans="4:27" ht="24.75" customHeight="1">
      <c r="D791" s="5" t="s">
        <v>240</v>
      </c>
      <c r="I791" s="165">
        <v>2</v>
      </c>
      <c r="J791" s="165"/>
      <c r="K791" s="165"/>
      <c r="L791" s="126">
        <v>80</v>
      </c>
      <c r="M791" s="126"/>
      <c r="N791" s="126"/>
      <c r="O791" s="163">
        <v>9</v>
      </c>
      <c r="P791" s="163"/>
      <c r="Q791" s="127">
        <v>630</v>
      </c>
      <c r="R791" s="127"/>
      <c r="S791" s="127"/>
      <c r="T791" s="127"/>
      <c r="U791" s="5" t="s">
        <v>31</v>
      </c>
      <c r="W791" s="89">
        <f>+L791*O791*I791</f>
        <v>1440</v>
      </c>
      <c r="X791" s="89"/>
      <c r="Y791" s="89"/>
      <c r="Z791" s="89"/>
      <c r="AA791" s="5" t="s">
        <v>101</v>
      </c>
    </row>
    <row r="792" spans="9:27" ht="24.75" customHeight="1">
      <c r="I792" s="165">
        <v>6</v>
      </c>
      <c r="J792" s="165"/>
      <c r="K792" s="165"/>
      <c r="L792" s="126">
        <v>680</v>
      </c>
      <c r="M792" s="126"/>
      <c r="N792" s="126"/>
      <c r="O792" s="163">
        <v>9</v>
      </c>
      <c r="P792" s="163"/>
      <c r="Q792" s="127">
        <f>Q791</f>
        <v>630</v>
      </c>
      <c r="R792" s="127"/>
      <c r="S792" s="127"/>
      <c r="T792" s="127"/>
      <c r="U792" s="5" t="s">
        <v>31</v>
      </c>
      <c r="W792" s="89">
        <f>+L792*O792*I792</f>
        <v>36720</v>
      </c>
      <c r="X792" s="89"/>
      <c r="Y792" s="89"/>
      <c r="Z792" s="89"/>
      <c r="AA792" s="5" t="s">
        <v>101</v>
      </c>
    </row>
    <row r="793" spans="9:28" ht="24.75" customHeight="1">
      <c r="I793" s="165">
        <v>1</v>
      </c>
      <c r="J793" s="165"/>
      <c r="K793" s="165"/>
      <c r="L793" s="126">
        <f>+AM774-10</f>
        <v>2330</v>
      </c>
      <c r="M793" s="126"/>
      <c r="N793" s="126"/>
      <c r="O793" s="163">
        <v>9</v>
      </c>
      <c r="P793" s="163"/>
      <c r="Q793" s="127">
        <f>Q792</f>
        <v>630</v>
      </c>
      <c r="R793" s="127"/>
      <c r="S793" s="127"/>
      <c r="T793" s="127"/>
      <c r="U793" s="19" t="s">
        <v>31</v>
      </c>
      <c r="V793" s="19"/>
      <c r="W793" s="105">
        <f>+L793*O793*I793</f>
        <v>20970</v>
      </c>
      <c r="X793" s="105"/>
      <c r="Y793" s="105"/>
      <c r="Z793" s="105"/>
      <c r="AA793" s="19" t="s">
        <v>101</v>
      </c>
      <c r="AB793" s="19"/>
    </row>
    <row r="794" spans="21:27" ht="24.75" customHeight="1">
      <c r="U794" s="5" t="s">
        <v>32</v>
      </c>
      <c r="W794" s="89">
        <f>+SUM(W791:W793)</f>
        <v>59130</v>
      </c>
      <c r="X794" s="89"/>
      <c r="Y794" s="89"/>
      <c r="Z794" s="89"/>
      <c r="AA794" s="5" t="s">
        <v>101</v>
      </c>
    </row>
    <row r="795" ht="24.75" customHeight="1">
      <c r="D795" s="5" t="s">
        <v>242</v>
      </c>
    </row>
    <row r="796" spans="5:65" ht="24.75" customHeight="1">
      <c r="E796" s="5" t="s">
        <v>156</v>
      </c>
      <c r="H796" s="5" t="s">
        <v>87</v>
      </c>
      <c r="I796" s="124">
        <f>+W794</f>
        <v>59130</v>
      </c>
      <c r="J796" s="124"/>
      <c r="K796" s="124"/>
      <c r="L796" s="5" t="s">
        <v>46</v>
      </c>
      <c r="M796" s="89">
        <f>+(+H709+3)</f>
        <v>25</v>
      </c>
      <c r="N796" s="89"/>
      <c r="O796" s="89"/>
      <c r="P796" s="5" t="s">
        <v>41</v>
      </c>
      <c r="Q796" s="89">
        <f>O792</f>
        <v>9</v>
      </c>
      <c r="R796" s="89"/>
      <c r="S796" s="89"/>
      <c r="T796" s="5" t="s">
        <v>41</v>
      </c>
      <c r="U796" s="125">
        <f>BA796</f>
        <v>14</v>
      </c>
      <c r="V796" s="125"/>
      <c r="W796" s="125"/>
      <c r="X796" s="5" t="s">
        <v>41</v>
      </c>
      <c r="Y796" s="122">
        <v>2</v>
      </c>
      <c r="Z796" s="122"/>
      <c r="AA796" s="122"/>
      <c r="AB796" s="5" t="s">
        <v>140</v>
      </c>
      <c r="AC796" s="80">
        <f>IF(AW785=1,ROUND((AB784+(AB784-(BA785^2/4/BG785)))*AB832,2),ROUND(AB784*BR785*AB832,2))</f>
        <v>371</v>
      </c>
      <c r="AD796" s="80"/>
      <c r="AE796" s="80"/>
      <c r="AF796" s="5" t="s">
        <v>41</v>
      </c>
      <c r="AG796" s="122">
        <f>AK784</f>
        <v>5</v>
      </c>
      <c r="AH796" s="122"/>
      <c r="AI796" s="122"/>
      <c r="AJ796" s="5" t="s">
        <v>139</v>
      </c>
      <c r="AO796" s="5" t="str">
        <f>IF(BA796=BJ796,"","( 第1列 )")</f>
        <v>( 第1列 )</v>
      </c>
      <c r="AU796" s="5" t="s">
        <v>255</v>
      </c>
      <c r="BA796" s="163">
        <v>14</v>
      </c>
      <c r="BB796" s="163"/>
      <c r="BD796" s="5" t="s">
        <v>256</v>
      </c>
      <c r="BJ796" s="163">
        <v>23</v>
      </c>
      <c r="BK796" s="163"/>
      <c r="BM796" s="1"/>
    </row>
    <row r="797" spans="3:24" ht="24.75" customHeight="1">
      <c r="C797" s="44"/>
      <c r="E797" s="44"/>
      <c r="G797" s="5" t="s">
        <v>34</v>
      </c>
      <c r="H797" s="89">
        <f>(I796-M796*Q796*U796*Y796-AC796*AG796)*1.1</f>
        <v>56072.50000000001</v>
      </c>
      <c r="I797" s="89"/>
      <c r="J797" s="89"/>
      <c r="K797" s="89"/>
      <c r="L797" s="5" t="str">
        <f>IF(H797&gt;AC790,"mm²  ＞  Asreq'd =","cm² ＜  Asreq'd =")</f>
        <v>mm²  ＞  Asreq'd =</v>
      </c>
      <c r="T797" s="89">
        <f>AC790</f>
        <v>38713.597905861025</v>
      </c>
      <c r="U797" s="89"/>
      <c r="V797" s="89"/>
      <c r="W797" s="89"/>
      <c r="X797" s="5" t="str">
        <f>IF(H797&gt;AC790,"mm²  O.K","mm²  N.G")</f>
        <v>mm²  O.K</v>
      </c>
    </row>
    <row r="798" spans="3:40" ht="24.75" customHeight="1">
      <c r="C798" s="44"/>
      <c r="D798" s="4" t="s">
        <v>243</v>
      </c>
      <c r="E798" s="4"/>
      <c r="F798" s="4"/>
      <c r="G798" s="4"/>
      <c r="H798" s="4"/>
      <c r="I798" s="4"/>
      <c r="J798" s="4"/>
      <c r="K798" s="4"/>
      <c r="P798" s="5" t="s">
        <v>89</v>
      </c>
      <c r="Q798" s="102">
        <f>AN786</f>
        <v>8129855.560230815</v>
      </c>
      <c r="R798" s="102"/>
      <c r="S798" s="102"/>
      <c r="T798" s="102"/>
      <c r="U798" s="102"/>
      <c r="V798" s="102"/>
      <c r="W798" s="17" t="s">
        <v>88</v>
      </c>
      <c r="X798" s="89">
        <f>H797</f>
        <v>56072.50000000001</v>
      </c>
      <c r="Y798" s="89"/>
      <c r="Z798" s="89"/>
      <c r="AA798" s="89"/>
      <c r="AB798" s="8" t="s">
        <v>34</v>
      </c>
      <c r="AC798" s="116">
        <f>Q798/X798</f>
        <v>144.98828410059858</v>
      </c>
      <c r="AD798" s="116"/>
      <c r="AE798" s="116"/>
      <c r="AF798" s="116"/>
      <c r="AG798" s="18" t="str">
        <f>IF(AC798&gt;O708,"N/㎟ ＞  σta ,  N.G","N/㎟ ＜  σta ,  O.K")</f>
        <v>N/㎟ ＜  σta ,  O.K</v>
      </c>
      <c r="AH798" s="18"/>
      <c r="AI798" s="18"/>
      <c r="AJ798" s="18"/>
      <c r="AK798" s="18"/>
      <c r="AL798" s="18"/>
      <c r="AM798" s="18"/>
      <c r="AN798" s="18"/>
    </row>
    <row r="799" spans="5:41" ht="24.75" customHeight="1">
      <c r="E799" s="5" t="s">
        <v>157</v>
      </c>
      <c r="H799" s="5" t="s">
        <v>87</v>
      </c>
      <c r="I799" s="124">
        <f>I796</f>
        <v>59130</v>
      </c>
      <c r="J799" s="124"/>
      <c r="K799" s="124"/>
      <c r="L799" s="5" t="s">
        <v>46</v>
      </c>
      <c r="M799" s="89">
        <f>M796</f>
        <v>25</v>
      </c>
      <c r="N799" s="89"/>
      <c r="O799" s="89"/>
      <c r="P799" s="5" t="s">
        <v>41</v>
      </c>
      <c r="Q799" s="89">
        <f>Q796</f>
        <v>9</v>
      </c>
      <c r="R799" s="89"/>
      <c r="S799" s="89"/>
      <c r="T799" s="5" t="s">
        <v>41</v>
      </c>
      <c r="U799" s="125">
        <f>BJ796</f>
        <v>23</v>
      </c>
      <c r="V799" s="125"/>
      <c r="W799" s="125"/>
      <c r="X799" s="5" t="s">
        <v>41</v>
      </c>
      <c r="Y799" s="122">
        <v>2</v>
      </c>
      <c r="Z799" s="122"/>
      <c r="AA799" s="122"/>
      <c r="AB799" s="5" t="s">
        <v>140</v>
      </c>
      <c r="AC799" s="80">
        <f>AC796</f>
        <v>371</v>
      </c>
      <c r="AD799" s="80"/>
      <c r="AE799" s="80"/>
      <c r="AF799" s="5" t="s">
        <v>41</v>
      </c>
      <c r="AG799" s="122">
        <f>AG796</f>
        <v>5</v>
      </c>
      <c r="AH799" s="122"/>
      <c r="AI799" s="122"/>
      <c r="AJ799" s="5" t="s">
        <v>139</v>
      </c>
      <c r="AO799" s="5" t="str">
        <f>IF(BA796=BJ796,"","( 第2列 )")</f>
        <v>( 第2列 )</v>
      </c>
    </row>
    <row r="800" spans="3:12" ht="24.75" customHeight="1">
      <c r="C800" s="44"/>
      <c r="E800" s="44"/>
      <c r="G800" s="5" t="s">
        <v>34</v>
      </c>
      <c r="H800" s="89">
        <f>(I799-M799*Q799*U799*Y799-AC799*AG799)*1.1</f>
        <v>51617.50000000001</v>
      </c>
      <c r="I800" s="89"/>
      <c r="J800" s="89"/>
      <c r="K800" s="89"/>
      <c r="L800" s="5" t="s">
        <v>101</v>
      </c>
    </row>
    <row r="801" spans="3:17" ht="24.75" customHeight="1">
      <c r="C801" s="44"/>
      <c r="D801" s="4" t="s">
        <v>244</v>
      </c>
      <c r="E801" s="4"/>
      <c r="F801" s="4"/>
      <c r="G801" s="4"/>
      <c r="H801" s="4"/>
      <c r="I801" s="4"/>
      <c r="J801" s="4"/>
      <c r="K801" s="4"/>
      <c r="Q801" s="5" t="str">
        <f>"("&amp;AE788&amp;" - "&amp;U796&amp;") / "&amp;AE788</f>
        <v>(83 - 14) / 83</v>
      </c>
    </row>
    <row r="802" spans="3:40" ht="24.75" customHeight="1">
      <c r="C802" s="44"/>
      <c r="D802" s="37"/>
      <c r="E802" s="37"/>
      <c r="F802" s="37"/>
      <c r="G802" s="37"/>
      <c r="H802" s="37"/>
      <c r="I802" s="37"/>
      <c r="J802" s="37"/>
      <c r="K802" s="5" t="s">
        <v>89</v>
      </c>
      <c r="L802" s="102">
        <f>Q798</f>
        <v>8129855.560230815</v>
      </c>
      <c r="M802" s="102"/>
      <c r="N802" s="102"/>
      <c r="O802" s="102"/>
      <c r="P802" s="102"/>
      <c r="Q802" s="102"/>
      <c r="R802" s="17" t="s">
        <v>88</v>
      </c>
      <c r="S802" s="89">
        <f>H800</f>
        <v>51617.50000000001</v>
      </c>
      <c r="T802" s="89"/>
      <c r="U802" s="89"/>
      <c r="V802" s="89"/>
      <c r="W802" s="5" t="s">
        <v>41</v>
      </c>
      <c r="X802" s="123">
        <f>(AE788-U796)/AE788</f>
        <v>0.8313253012048193</v>
      </c>
      <c r="Y802" s="123"/>
      <c r="Z802" s="123"/>
      <c r="AA802" s="8" t="s">
        <v>34</v>
      </c>
      <c r="AB802" s="116">
        <f>L802/S802*X802</f>
        <v>130.93533438001754</v>
      </c>
      <c r="AC802" s="116"/>
      <c r="AD802" s="116"/>
      <c r="AE802" s="116"/>
      <c r="AF802" s="18" t="str">
        <f>IF(AB802&gt;O708,"N/㎟ ＞  σta ,  N.G","N/㎟ ＜  σta ,  O.K")</f>
        <v>N/㎟ ＜  σta ,  O.K</v>
      </c>
      <c r="AG802" s="18"/>
      <c r="AH802" s="18"/>
      <c r="AI802" s="18"/>
      <c r="AJ802" s="18"/>
      <c r="AK802" s="18"/>
      <c r="AL802" s="18"/>
      <c r="AM802" s="18"/>
      <c r="AN802" s="36"/>
    </row>
    <row r="803" spans="3:17" ht="24.75" customHeight="1">
      <c r="C803" s="44"/>
      <c r="D803" s="37"/>
      <c r="E803" s="37"/>
      <c r="F803" s="37"/>
      <c r="G803" s="37"/>
      <c r="H803" s="37"/>
      <c r="I803" s="37"/>
      <c r="J803" s="37"/>
      <c r="L803" s="6"/>
      <c r="M803" s="6"/>
      <c r="N803" s="6"/>
      <c r="O803" s="6"/>
      <c r="P803" s="6"/>
      <c r="Q803" s="17"/>
    </row>
    <row r="804" ht="24.75" customHeight="1">
      <c r="C804" s="5" t="s">
        <v>192</v>
      </c>
    </row>
    <row r="805" ht="24.75" customHeight="1">
      <c r="C805" s="5" t="s">
        <v>193</v>
      </c>
    </row>
    <row r="806" spans="4:37" ht="24.75" customHeight="1">
      <c r="D806" s="4" t="s">
        <v>153</v>
      </c>
      <c r="E806" s="21"/>
      <c r="F806" s="21"/>
      <c r="G806" s="13"/>
      <c r="H806" s="13"/>
      <c r="I806" s="8"/>
      <c r="J806" s="120">
        <f>AN786</f>
        <v>8129855.560230815</v>
      </c>
      <c r="K806" s="120"/>
      <c r="L806" s="120"/>
      <c r="M806" s="120"/>
      <c r="N806" s="120"/>
      <c r="O806" s="120"/>
      <c r="P806" s="46" t="s">
        <v>88</v>
      </c>
      <c r="Q806" s="121">
        <f>AE788</f>
        <v>83</v>
      </c>
      <c r="R806" s="121"/>
      <c r="S806" s="121"/>
      <c r="T806" s="121"/>
      <c r="V806" s="8" t="s">
        <v>34</v>
      </c>
      <c r="W806" s="100">
        <f>J806/Q806</f>
        <v>97950.06699073271</v>
      </c>
      <c r="X806" s="100"/>
      <c r="Y806" s="100"/>
      <c r="Z806" s="100"/>
      <c r="AA806" s="18" t="s">
        <v>202</v>
      </c>
      <c r="AB806" s="8"/>
      <c r="AC806" s="8"/>
      <c r="AD806" s="18" t="str">
        <f>IF(W806&gt;AA709," ＞  ρa    N.G","＜ ρa    O.K")</f>
        <v> ＞  ρa    N.G</v>
      </c>
      <c r="AE806" s="8"/>
      <c r="AF806" s="8"/>
      <c r="AG806" s="8"/>
      <c r="AH806" s="8"/>
      <c r="AI806" s="8"/>
      <c r="AJ806" s="8"/>
      <c r="AK806" s="8"/>
    </row>
    <row r="807" spans="4:37" ht="24.75" customHeight="1">
      <c r="D807" s="4"/>
      <c r="E807" s="21"/>
      <c r="F807" s="21"/>
      <c r="G807" s="13"/>
      <c r="H807" s="13"/>
      <c r="I807" s="8"/>
      <c r="J807" s="45"/>
      <c r="K807" s="45"/>
      <c r="L807" s="45"/>
      <c r="M807" s="45"/>
      <c r="N807" s="45"/>
      <c r="O807" s="46"/>
      <c r="P807" s="35"/>
      <c r="Q807" s="35"/>
      <c r="R807" s="35"/>
      <c r="S807" s="35"/>
      <c r="U807" s="8"/>
      <c r="V807" s="22"/>
      <c r="W807" s="22"/>
      <c r="X807" s="22"/>
      <c r="Y807" s="22"/>
      <c r="Z807" s="18"/>
      <c r="AA807" s="8"/>
      <c r="AB807" s="8"/>
      <c r="AC807" s="18"/>
      <c r="AD807" s="8"/>
      <c r="AE807" s="8"/>
      <c r="AF807" s="8"/>
      <c r="AG807" s="8"/>
      <c r="AH807" s="8"/>
      <c r="AI807" s="8"/>
      <c r="AJ807" s="8"/>
      <c r="AK807" s="8"/>
    </row>
    <row r="808" spans="3:38" ht="24.75" customHeight="1">
      <c r="C808" s="5" t="s">
        <v>206</v>
      </c>
      <c r="D808" s="21"/>
      <c r="E808" s="21"/>
      <c r="F808" s="21"/>
      <c r="G808" s="8"/>
      <c r="H808" s="8"/>
      <c r="I808" s="8"/>
      <c r="U808" s="8"/>
      <c r="V808" s="22"/>
      <c r="W808" s="22"/>
      <c r="X808" s="22"/>
      <c r="Y808" s="22"/>
      <c r="Z808" s="22"/>
      <c r="AA808" s="8"/>
      <c r="AB808" s="8"/>
      <c r="AC808" s="8"/>
      <c r="AD808" s="8"/>
      <c r="AE808" s="8"/>
      <c r="AF808" s="8"/>
      <c r="AG808" s="8"/>
      <c r="AH808" s="8"/>
      <c r="AI808" s="8"/>
      <c r="AJ808" s="8"/>
      <c r="AK808" s="8"/>
      <c r="AL808" s="8"/>
    </row>
    <row r="809" spans="4:47" ht="24.75" customHeight="1">
      <c r="D809" s="5" t="s">
        <v>205</v>
      </c>
      <c r="AU809" s="23"/>
    </row>
    <row r="810" spans="5:47" ht="24.75" customHeight="1">
      <c r="E810" s="5" t="s">
        <v>211</v>
      </c>
      <c r="AU810" s="23"/>
    </row>
    <row r="811" ht="24.75" customHeight="1">
      <c r="D811" s="5" t="s">
        <v>7</v>
      </c>
    </row>
    <row r="812" spans="3:36" ht="24.75" customHeight="1">
      <c r="C812" s="106" t="s">
        <v>49</v>
      </c>
      <c r="D812" s="106"/>
      <c r="E812" s="106"/>
      <c r="G812" s="105">
        <f>O705</f>
        <v>489.28399952</v>
      </c>
      <c r="H812" s="105"/>
      <c r="I812" s="105"/>
      <c r="J812" s="19" t="s">
        <v>41</v>
      </c>
      <c r="K812" s="97">
        <v>1000000</v>
      </c>
      <c r="L812" s="97"/>
      <c r="M812" s="97"/>
      <c r="N812" s="97"/>
      <c r="P812" s="106" t="s">
        <v>47</v>
      </c>
      <c r="Q812" s="106"/>
      <c r="R812" s="122">
        <f>Q806</f>
        <v>83</v>
      </c>
      <c r="S812" s="122"/>
      <c r="T812" s="122"/>
      <c r="U812" s="92" t="s">
        <v>34</v>
      </c>
      <c r="V812" s="92"/>
      <c r="W812" s="102">
        <f>ROUND((G812*K812/(I813*K813))/R812,1)</f>
        <v>1339.8</v>
      </c>
      <c r="X812" s="102"/>
      <c r="Y812" s="102"/>
      <c r="Z812" s="102"/>
      <c r="AA812" s="92" t="str">
        <f>IF(W812&gt;AA709,"N/本   ＞ ρa   N.G.","N/本  ＜  ρa   O.K.")</f>
        <v>N/本  ＜  ρa   O.K.</v>
      </c>
      <c r="AB812" s="92"/>
      <c r="AC812" s="92"/>
      <c r="AD812" s="92"/>
      <c r="AE812" s="92"/>
      <c r="AF812" s="92"/>
      <c r="AG812" s="92"/>
      <c r="AH812" s="92"/>
      <c r="AI812" s="92"/>
      <c r="AJ812" s="92"/>
    </row>
    <row r="813" spans="3:36" ht="24.75" customHeight="1">
      <c r="C813" s="106"/>
      <c r="D813" s="106"/>
      <c r="E813" s="106"/>
      <c r="I813" s="8">
        <v>2</v>
      </c>
      <c r="J813" s="14" t="s">
        <v>41</v>
      </c>
      <c r="K813" s="24">
        <f>AM846</f>
        <v>2200</v>
      </c>
      <c r="L813" s="25"/>
      <c r="M813" s="25"/>
      <c r="P813" s="106"/>
      <c r="Q813" s="106"/>
      <c r="R813" s="122"/>
      <c r="S813" s="122"/>
      <c r="T813" s="122"/>
      <c r="U813" s="92"/>
      <c r="V813" s="92"/>
      <c r="W813" s="102"/>
      <c r="X813" s="102"/>
      <c r="Y813" s="102"/>
      <c r="Z813" s="102"/>
      <c r="AA813" s="92"/>
      <c r="AB813" s="92"/>
      <c r="AC813" s="92"/>
      <c r="AD813" s="92"/>
      <c r="AE813" s="92"/>
      <c r="AF813" s="92"/>
      <c r="AG813" s="92"/>
      <c r="AH813" s="92"/>
      <c r="AI813" s="92"/>
      <c r="AJ813" s="92"/>
    </row>
    <row r="815" spans="3:9" ht="24.75" customHeight="1">
      <c r="C815" s="5" t="s">
        <v>212</v>
      </c>
      <c r="I815" s="23"/>
    </row>
    <row r="816" spans="4:31" ht="24.75" customHeight="1">
      <c r="D816" s="5" t="s">
        <v>50</v>
      </c>
      <c r="P816" s="119">
        <f>W806</f>
        <v>97950.06699073271</v>
      </c>
      <c r="Q816" s="119"/>
      <c r="R816" s="119"/>
      <c r="S816" s="119"/>
      <c r="T816" s="5" t="s">
        <v>48</v>
      </c>
      <c r="U816" s="104">
        <f>+W812</f>
        <v>1339.8</v>
      </c>
      <c r="V816" s="104"/>
      <c r="W816" s="104"/>
      <c r="X816" s="104"/>
      <c r="Y816" s="5" t="s">
        <v>33</v>
      </c>
      <c r="AA816" s="100">
        <f>ROUND(SQRT(P816^2+U816^2),1)</f>
        <v>97959.2</v>
      </c>
      <c r="AB816" s="100"/>
      <c r="AC816" s="100"/>
      <c r="AD816" s="100"/>
      <c r="AE816" s="5" t="str">
        <f>IF(AA816&gt;$AA$10,"N/本  ＞  ρa ,  N.G","N/本  ＜  ρa ,  O.K")</f>
        <v>N/本  ＞  ρa ,  N.G</v>
      </c>
    </row>
    <row r="818" spans="3:29" ht="24.75" customHeight="1">
      <c r="C818" s="5" t="s">
        <v>195</v>
      </c>
      <c r="Z818" s="6"/>
      <c r="AA818" s="6"/>
      <c r="AB818" s="6"/>
      <c r="AC818" s="6"/>
    </row>
    <row r="819" spans="4:40" ht="24.75" customHeight="1">
      <c r="D819" s="5" t="s">
        <v>196</v>
      </c>
      <c r="L819" s="5" t="s">
        <v>158</v>
      </c>
      <c r="O819" s="5" t="s">
        <v>87</v>
      </c>
      <c r="P819" s="92">
        <f>AM774</f>
        <v>2340</v>
      </c>
      <c r="Q819" s="92"/>
      <c r="R819" s="92"/>
      <c r="S819" s="8" t="s">
        <v>140</v>
      </c>
      <c r="T819" s="89">
        <f>H709+3</f>
        <v>25</v>
      </c>
      <c r="U819" s="89"/>
      <c r="V819" s="89"/>
      <c r="W819" s="5" t="s">
        <v>137</v>
      </c>
      <c r="X819" s="90">
        <f>U796</f>
        <v>14</v>
      </c>
      <c r="Y819" s="90"/>
      <c r="Z819" s="5" t="s">
        <v>144</v>
      </c>
      <c r="AA819" s="5" t="s">
        <v>41</v>
      </c>
      <c r="AB819" s="90">
        <f>AM773</f>
        <v>21</v>
      </c>
      <c r="AC819" s="90"/>
      <c r="AD819" s="5" t="s">
        <v>41</v>
      </c>
      <c r="AE819" s="92">
        <v>1.1</v>
      </c>
      <c r="AF819" s="92"/>
      <c r="AG819" s="5" t="s">
        <v>89</v>
      </c>
      <c r="AH819" s="102">
        <f>(P819-T819*X819)*AB819*AE819</f>
        <v>45969.00000000001</v>
      </c>
      <c r="AI819" s="102"/>
      <c r="AJ819" s="102"/>
      <c r="AK819" s="102"/>
      <c r="AL819" s="5" t="s">
        <v>101</v>
      </c>
      <c r="AN819" s="5" t="str">
        <f>IF(BA796=BJ796,"","( 第1列 )")</f>
        <v>( 第1列 )</v>
      </c>
    </row>
    <row r="820" spans="12:40" ht="24.75" customHeight="1">
      <c r="L820" s="5" t="s">
        <v>159</v>
      </c>
      <c r="O820" s="5" t="s">
        <v>87</v>
      </c>
      <c r="P820" s="92">
        <f>P819</f>
        <v>2340</v>
      </c>
      <c r="Q820" s="92"/>
      <c r="R820" s="92"/>
      <c r="S820" s="8" t="s">
        <v>140</v>
      </c>
      <c r="T820" s="89">
        <f>T819</f>
        <v>25</v>
      </c>
      <c r="U820" s="89"/>
      <c r="V820" s="89"/>
      <c r="W820" s="5" t="s">
        <v>41</v>
      </c>
      <c r="X820" s="90">
        <f>U799</f>
        <v>23</v>
      </c>
      <c r="Y820" s="90"/>
      <c r="Z820" s="5" t="s">
        <v>144</v>
      </c>
      <c r="AA820" s="5" t="s">
        <v>41</v>
      </c>
      <c r="AB820" s="90">
        <f>AB819</f>
        <v>21</v>
      </c>
      <c r="AC820" s="90"/>
      <c r="AD820" s="5" t="s">
        <v>41</v>
      </c>
      <c r="AE820" s="92">
        <v>1.1</v>
      </c>
      <c r="AF820" s="92"/>
      <c r="AG820" s="5" t="s">
        <v>89</v>
      </c>
      <c r="AH820" s="102">
        <f>(P820-T820*X820)*AB820*AE820</f>
        <v>40771.5</v>
      </c>
      <c r="AI820" s="102"/>
      <c r="AJ820" s="102"/>
      <c r="AK820" s="102"/>
      <c r="AL820" s="5" t="s">
        <v>101</v>
      </c>
      <c r="AN820" s="5" t="str">
        <f>IF(BA796=BJ796,"","( 第2列 )")</f>
        <v>( 第2列 )</v>
      </c>
    </row>
    <row r="821" spans="4:38" ht="24.75" customHeight="1">
      <c r="D821" s="5" t="s">
        <v>198</v>
      </c>
      <c r="L821" s="5" t="s">
        <v>160</v>
      </c>
      <c r="O821" s="5" t="s">
        <v>87</v>
      </c>
      <c r="P821" s="92">
        <f>AB831</f>
        <v>150</v>
      </c>
      <c r="Q821" s="92"/>
      <c r="R821" s="92"/>
      <c r="S821" s="5" t="s">
        <v>41</v>
      </c>
      <c r="T821" s="90">
        <f>AB832</f>
        <v>14</v>
      </c>
      <c r="U821" s="90"/>
      <c r="V821" s="5" t="s">
        <v>140</v>
      </c>
      <c r="W821" s="112">
        <f>R785</f>
        <v>371</v>
      </c>
      <c r="X821" s="112"/>
      <c r="Y821" s="112"/>
      <c r="Z821" s="5" t="s">
        <v>144</v>
      </c>
      <c r="AA821" s="5" t="s">
        <v>41</v>
      </c>
      <c r="AB821" s="90">
        <f>AK784</f>
        <v>5</v>
      </c>
      <c r="AC821" s="90"/>
      <c r="AD821" s="5" t="s">
        <v>41</v>
      </c>
      <c r="AE821" s="92">
        <v>1.1</v>
      </c>
      <c r="AF821" s="92"/>
      <c r="AG821" s="5" t="s">
        <v>89</v>
      </c>
      <c r="AH821" s="102">
        <f>(P821*T821-W821)*AB821*AE821</f>
        <v>9509.5</v>
      </c>
      <c r="AI821" s="102"/>
      <c r="AJ821" s="102"/>
      <c r="AK821" s="102"/>
      <c r="AL821" s="5" t="s">
        <v>101</v>
      </c>
    </row>
    <row r="822" spans="4:43" ht="24.75" customHeight="1">
      <c r="D822" s="19" t="s">
        <v>21</v>
      </c>
      <c r="E822" s="19"/>
      <c r="F822" s="19"/>
      <c r="G822" s="19"/>
      <c r="H822" s="19"/>
      <c r="I822" s="19"/>
      <c r="J822" s="19"/>
      <c r="K822" s="19"/>
      <c r="L822" s="19" t="s">
        <v>161</v>
      </c>
      <c r="M822" s="19"/>
      <c r="N822" s="19"/>
      <c r="O822" s="19" t="s">
        <v>87</v>
      </c>
      <c r="P822" s="97">
        <f>L862/2</f>
        <v>13.13846339</v>
      </c>
      <c r="Q822" s="97"/>
      <c r="R822" s="97"/>
      <c r="S822" s="19" t="s">
        <v>41</v>
      </c>
      <c r="T822" s="117">
        <f>AM847</f>
        <v>12</v>
      </c>
      <c r="U822" s="117"/>
      <c r="V822" s="19" t="s">
        <v>144</v>
      </c>
      <c r="W822" s="19" t="s">
        <v>41</v>
      </c>
      <c r="X822" s="19">
        <v>2</v>
      </c>
      <c r="Y822" s="19"/>
      <c r="Z822" s="48"/>
      <c r="AA822" s="48"/>
      <c r="AB822" s="48"/>
      <c r="AC822" s="48"/>
      <c r="AD822" s="19"/>
      <c r="AE822" s="19"/>
      <c r="AF822" s="19"/>
      <c r="AG822" s="19" t="s">
        <v>89</v>
      </c>
      <c r="AH822" s="118">
        <f>P822*T822*X822</f>
        <v>315.32312136</v>
      </c>
      <c r="AI822" s="118"/>
      <c r="AJ822" s="118"/>
      <c r="AK822" s="118"/>
      <c r="AL822" s="19" t="s">
        <v>101</v>
      </c>
      <c r="AM822" s="19"/>
      <c r="AN822" s="19"/>
      <c r="AO822" s="19"/>
      <c r="AP822" s="19"/>
      <c r="AQ822" s="19"/>
    </row>
    <row r="823" spans="20:40" ht="24.75" customHeight="1">
      <c r="T823" s="28"/>
      <c r="U823" s="28"/>
      <c r="AE823" s="5" t="s">
        <v>162</v>
      </c>
      <c r="AH823" s="102">
        <f>AH819+AH821+AH822</f>
        <v>55793.82312136001</v>
      </c>
      <c r="AI823" s="102"/>
      <c r="AJ823" s="102"/>
      <c r="AK823" s="102"/>
      <c r="AL823" s="5" t="s">
        <v>101</v>
      </c>
      <c r="AN823" s="5" t="str">
        <f>IF(BA796=BJ796,"","( 第1列 )")</f>
        <v>( 第1列 )</v>
      </c>
    </row>
    <row r="824" spans="14:40" ht="24.75" customHeight="1">
      <c r="N824" s="6"/>
      <c r="O824" s="6"/>
      <c r="P824" s="6"/>
      <c r="Q824" s="6"/>
      <c r="T824" s="28"/>
      <c r="U824" s="28"/>
      <c r="Z824" s="6"/>
      <c r="AA824" s="6"/>
      <c r="AB824" s="6"/>
      <c r="AC824" s="6"/>
      <c r="AE824" s="5" t="s">
        <v>163</v>
      </c>
      <c r="AH824" s="102">
        <f>AH820+AH821+AH822</f>
        <v>50596.32312136</v>
      </c>
      <c r="AI824" s="102"/>
      <c r="AJ824" s="102"/>
      <c r="AK824" s="102"/>
      <c r="AL824" s="5" t="s">
        <v>101</v>
      </c>
      <c r="AN824" s="5" t="str">
        <f>IF(BA796=BJ796,"","( 第2列 )")</f>
        <v>( 第2列 )</v>
      </c>
    </row>
    <row r="825" spans="4:39" ht="24.75" customHeight="1">
      <c r="D825" s="5" t="s">
        <v>199</v>
      </c>
      <c r="J825" s="5" t="s">
        <v>164</v>
      </c>
      <c r="M825" s="49" t="s">
        <v>165</v>
      </c>
      <c r="N825" s="6"/>
      <c r="O825" s="6"/>
      <c r="P825" s="6"/>
      <c r="S825" s="102">
        <f>AN786</f>
        <v>8129855.560230815</v>
      </c>
      <c r="T825" s="102"/>
      <c r="U825" s="102"/>
      <c r="V825" s="102"/>
      <c r="W825" s="102"/>
      <c r="X825" s="102"/>
      <c r="Y825" s="17" t="s">
        <v>88</v>
      </c>
      <c r="Z825" s="102">
        <f>AH823</f>
        <v>55793.82312136001</v>
      </c>
      <c r="AA825" s="102"/>
      <c r="AB825" s="102"/>
      <c r="AC825" s="102"/>
      <c r="AD825" s="6" t="s">
        <v>89</v>
      </c>
      <c r="AE825" s="116">
        <f>S825/Z825</f>
        <v>145.71246610125908</v>
      </c>
      <c r="AF825" s="116"/>
      <c r="AG825" s="116"/>
      <c r="AH825" s="116"/>
      <c r="AI825" s="5" t="s">
        <v>145</v>
      </c>
      <c r="AM825" s="5" t="str">
        <f>IF(AE825&gt;O708,"＞  σta ,  N.G","＜  σta ,  O.K")</f>
        <v>＜  σta ,  O.K</v>
      </c>
    </row>
    <row r="826" spans="10:26" ht="24.75" customHeight="1">
      <c r="J826" s="5" t="s">
        <v>166</v>
      </c>
      <c r="M826" s="39" t="s">
        <v>167</v>
      </c>
      <c r="N826" s="25"/>
      <c r="O826" s="25"/>
      <c r="P826" s="50"/>
      <c r="Q826" s="25"/>
      <c r="R826" s="14" t="s">
        <v>41</v>
      </c>
      <c r="S826" s="49" t="str">
        <f>"("&amp;AE788&amp;" - "&amp;U796&amp;") / "&amp;AE788</f>
        <v>(83 - 14) / 83</v>
      </c>
      <c r="Y826" s="28"/>
      <c r="Z826" s="6"/>
    </row>
    <row r="827" spans="11:36" ht="24.75" customHeight="1">
      <c r="K827" s="38" t="s">
        <v>89</v>
      </c>
      <c r="L827" s="102">
        <f>S825</f>
        <v>8129855.560230815</v>
      </c>
      <c r="M827" s="102"/>
      <c r="N827" s="102"/>
      <c r="O827" s="102"/>
      <c r="P827" s="102"/>
      <c r="Q827" s="102"/>
      <c r="R827" s="17" t="s">
        <v>88</v>
      </c>
      <c r="S827" s="102">
        <f>AH824</f>
        <v>50596.32312136</v>
      </c>
      <c r="T827" s="102"/>
      <c r="U827" s="102"/>
      <c r="V827" s="102"/>
      <c r="W827" s="5" t="s">
        <v>41</v>
      </c>
      <c r="X827" s="51">
        <f>(AE788-U796)/AE788</f>
        <v>0.8313253012048193</v>
      </c>
      <c r="Y827" s="51"/>
      <c r="Z827" s="51"/>
      <c r="AA827" s="6" t="s">
        <v>89</v>
      </c>
      <c r="AB827" s="116">
        <f>X827*L827/S827</f>
        <v>133.5779796913213</v>
      </c>
      <c r="AC827" s="116"/>
      <c r="AD827" s="116"/>
      <c r="AE827" s="116"/>
      <c r="AF827" s="5" t="s">
        <v>145</v>
      </c>
      <c r="AJ827" s="5" t="str">
        <f>IF(AB827&gt;O708,"＞  σta ,  N.G","＜  σta ,  O.K")</f>
        <v>＜  σta ,  O.K</v>
      </c>
    </row>
    <row r="828" spans="2:11" ht="24.75" customHeight="1">
      <c r="B828" s="5" t="s">
        <v>197</v>
      </c>
      <c r="H828" s="27"/>
      <c r="K828" s="9"/>
    </row>
    <row r="829" spans="7:9" ht="24.75" customHeight="1">
      <c r="G829" s="27"/>
      <c r="I829" s="27"/>
    </row>
    <row r="830" spans="5:17" ht="24.75" customHeight="1">
      <c r="E830" s="166"/>
      <c r="F830" s="166"/>
      <c r="G830" s="166"/>
      <c r="K830" s="29"/>
      <c r="L830" s="29"/>
      <c r="M830" s="29"/>
      <c r="N830" s="166"/>
      <c r="Q830" s="30"/>
    </row>
    <row r="831" spans="17:31" ht="24.75" customHeight="1">
      <c r="Q831" s="30"/>
      <c r="U831" s="31"/>
      <c r="V831" s="31"/>
      <c r="X831" s="5" t="s">
        <v>185</v>
      </c>
      <c r="AB831" s="163">
        <v>150</v>
      </c>
      <c r="AC831" s="163"/>
      <c r="AD831" s="163"/>
      <c r="AE831" s="5" t="s">
        <v>84</v>
      </c>
    </row>
    <row r="832" spans="17:31" ht="24.75" customHeight="1">
      <c r="Q832" s="30"/>
      <c r="R832" s="30"/>
      <c r="S832" s="32"/>
      <c r="T832" s="32"/>
      <c r="U832" s="167"/>
      <c r="V832" s="33"/>
      <c r="X832" s="5" t="s">
        <v>186</v>
      </c>
      <c r="AB832" s="163">
        <v>14</v>
      </c>
      <c r="AC832" s="163"/>
      <c r="AD832" s="163"/>
      <c r="AE832" s="5" t="s">
        <v>84</v>
      </c>
    </row>
    <row r="833" spans="1:3" ht="24.75" customHeight="1">
      <c r="A833" s="53"/>
      <c r="B833" s="53"/>
      <c r="C833" s="53"/>
    </row>
    <row r="835" ht="24.75" customHeight="1">
      <c r="C835" s="5" t="s">
        <v>181</v>
      </c>
    </row>
    <row r="836" spans="4:42" ht="24.75" customHeight="1">
      <c r="D836" s="52" t="s">
        <v>16</v>
      </c>
      <c r="E836" s="53"/>
      <c r="F836" s="53"/>
      <c r="G836" s="53"/>
      <c r="H836" s="53"/>
      <c r="I836" s="53"/>
      <c r="J836" s="53"/>
      <c r="K836" s="53"/>
      <c r="M836" s="52" t="s">
        <v>146</v>
      </c>
      <c r="N836" s="53"/>
      <c r="O836" s="95">
        <f>+AB832</f>
        <v>14</v>
      </c>
      <c r="P836" s="95"/>
      <c r="Q836" s="14" t="s">
        <v>41</v>
      </c>
      <c r="R836" s="114">
        <f>+AB831</f>
        <v>150</v>
      </c>
      <c r="S836" s="114"/>
      <c r="T836" s="114"/>
      <c r="U836" s="14" t="s">
        <v>140</v>
      </c>
      <c r="V836" s="115">
        <f>R785</f>
        <v>371</v>
      </c>
      <c r="W836" s="115"/>
      <c r="X836" s="115"/>
      <c r="Y836" s="115"/>
      <c r="Z836" s="5" t="s">
        <v>89</v>
      </c>
      <c r="AA836" s="39">
        <f>O836*R836-V836</f>
        <v>1729</v>
      </c>
      <c r="AB836" s="39"/>
      <c r="AC836" s="39"/>
      <c r="AD836" s="39"/>
      <c r="AE836" s="18" t="s">
        <v>101</v>
      </c>
      <c r="AO836" s="8"/>
      <c r="AP836" s="8"/>
    </row>
    <row r="837" spans="4:51" ht="24.75" customHeight="1">
      <c r="D837" s="5" t="str">
        <f>IF(O703&gt;0,"n = An σl / ρa","n = An σu / ρa")</f>
        <v>n = An σu / ρa</v>
      </c>
      <c r="G837" s="27"/>
      <c r="I837" s="27"/>
      <c r="K837" s="9" t="s">
        <v>89</v>
      </c>
      <c r="L837" s="39">
        <f>AA836</f>
        <v>1729</v>
      </c>
      <c r="M837" s="39"/>
      <c r="N837" s="39"/>
      <c r="O837" s="39"/>
      <c r="P837" s="14" t="s">
        <v>41</v>
      </c>
      <c r="Q837" s="108">
        <f>AE825</f>
        <v>145.71246610125908</v>
      </c>
      <c r="R837" s="108"/>
      <c r="S837" s="108"/>
      <c r="T837" s="108"/>
      <c r="U837" s="17" t="s">
        <v>88</v>
      </c>
      <c r="V837" s="89">
        <f>R788</f>
        <v>96000</v>
      </c>
      <c r="W837" s="89"/>
      <c r="X837" s="89"/>
      <c r="Y837" s="89"/>
      <c r="AA837" s="8" t="s">
        <v>89</v>
      </c>
      <c r="AB837" s="113">
        <f>ROUND(L837*Q837/V837,1)</f>
        <v>2.6</v>
      </c>
      <c r="AC837" s="113"/>
      <c r="AD837" s="113"/>
      <c r="AE837" s="113"/>
      <c r="AF837" s="92" t="s">
        <v>43</v>
      </c>
      <c r="AG837" s="92"/>
      <c r="AH837" s="92"/>
      <c r="AI837" s="164">
        <v>5</v>
      </c>
      <c r="AJ837" s="164"/>
      <c r="AK837" s="164"/>
      <c r="AL837" s="170"/>
      <c r="AM837" s="8" t="s">
        <v>4</v>
      </c>
      <c r="AN837" s="8"/>
      <c r="AO837" s="8"/>
      <c r="AP837" s="5" t="str">
        <f>IF(AB837&lt;=AI837,"O.K.","N.G.")</f>
        <v>O.K.</v>
      </c>
      <c r="AW837" s="8"/>
      <c r="AY837" s="18"/>
    </row>
    <row r="838" ht="24.75" customHeight="1">
      <c r="C838" s="5" t="s">
        <v>239</v>
      </c>
    </row>
    <row r="839" spans="4:37" ht="24.75" customHeight="1">
      <c r="D839" s="92" t="s">
        <v>188</v>
      </c>
      <c r="E839" s="92"/>
      <c r="F839" s="92"/>
      <c r="G839" s="92"/>
      <c r="H839" s="92"/>
      <c r="I839" s="92"/>
      <c r="J839" s="92"/>
      <c r="K839" s="5" t="str">
        <f>IF(O703&gt;0,"An σl / σta","n = An σu / σta")</f>
        <v>n = An σu / σta</v>
      </c>
      <c r="Q839" s="5" t="s">
        <v>89</v>
      </c>
      <c r="R839" s="39">
        <f>AA836</f>
        <v>1729</v>
      </c>
      <c r="S839" s="39"/>
      <c r="T839" s="39"/>
      <c r="U839" s="39"/>
      <c r="V839" s="14" t="s">
        <v>41</v>
      </c>
      <c r="W839" s="108">
        <f>Q837</f>
        <v>145.71246610125908</v>
      </c>
      <c r="X839" s="108"/>
      <c r="Y839" s="108"/>
      <c r="Z839" s="108"/>
      <c r="AA839" s="17" t="s">
        <v>88</v>
      </c>
      <c r="AB839" s="89">
        <f>O708</f>
        <v>210</v>
      </c>
      <c r="AC839" s="89"/>
      <c r="AD839" s="89"/>
      <c r="AE839" s="89"/>
      <c r="AF839" s="5" t="s">
        <v>89</v>
      </c>
      <c r="AG839" s="89">
        <f>R839*W839/AB839</f>
        <v>1199.6993042336996</v>
      </c>
      <c r="AH839" s="89"/>
      <c r="AI839" s="89"/>
      <c r="AJ839" s="89"/>
      <c r="AK839" s="5" t="s">
        <v>101</v>
      </c>
    </row>
    <row r="840" spans="4:54" ht="24.75" customHeight="1">
      <c r="D840" s="5" t="s">
        <v>240</v>
      </c>
      <c r="I840" s="165">
        <v>2</v>
      </c>
      <c r="J840" s="165"/>
      <c r="K840" s="165"/>
      <c r="L840" s="126">
        <v>80</v>
      </c>
      <c r="M840" s="126"/>
      <c r="N840" s="126"/>
      <c r="O840" s="92">
        <v>9</v>
      </c>
      <c r="P840" s="92"/>
      <c r="Q840" s="127">
        <v>780</v>
      </c>
      <c r="R840" s="127"/>
      <c r="S840" s="127"/>
      <c r="T840" s="127"/>
      <c r="U840" s="5" t="s">
        <v>31</v>
      </c>
      <c r="W840" s="89">
        <f>+L840*O840*I840</f>
        <v>1440</v>
      </c>
      <c r="X840" s="89"/>
      <c r="Y840" s="89"/>
      <c r="Z840" s="89"/>
      <c r="AA840" s="5" t="s">
        <v>101</v>
      </c>
      <c r="AD840" s="5" t="str">
        <f>IF(W840&gt;=AG839,"O.K.","N.G.")</f>
        <v>O.K.</v>
      </c>
      <c r="AX840" s="23"/>
      <c r="AZ840" s="23"/>
      <c r="BB840" s="23"/>
    </row>
    <row r="841" spans="46:54" ht="24.75" customHeight="1">
      <c r="AT841" s="4"/>
      <c r="BB841" s="8"/>
    </row>
    <row r="842" spans="2:14" ht="24.75" customHeight="1">
      <c r="B842" s="5" t="s">
        <v>17</v>
      </c>
      <c r="K842" s="7"/>
      <c r="M842" s="9"/>
      <c r="N842" s="4"/>
    </row>
    <row r="843" spans="3:9" ht="24.75" customHeight="1">
      <c r="C843" s="4" t="s">
        <v>6</v>
      </c>
      <c r="I843" s="23"/>
    </row>
    <row r="844" spans="3:9" ht="24.75" customHeight="1">
      <c r="C844" s="18" t="s">
        <v>8</v>
      </c>
      <c r="I844" s="23"/>
    </row>
    <row r="846" spans="8:42" ht="24.75" customHeight="1">
      <c r="H846" s="25"/>
      <c r="P846" s="33"/>
      <c r="V846" s="54"/>
      <c r="W846" s="54"/>
      <c r="X846" s="54"/>
      <c r="Y846" s="54"/>
      <c r="Z846" s="54"/>
      <c r="AA846" s="54"/>
      <c r="AB846" s="54"/>
      <c r="AC846" s="54"/>
      <c r="AD846" s="54"/>
      <c r="AE846" s="54"/>
      <c r="AF846" s="5" t="s">
        <v>22</v>
      </c>
      <c r="AM846" s="171">
        <v>2200</v>
      </c>
      <c r="AN846" s="171"/>
      <c r="AO846" s="171"/>
      <c r="AP846" s="171"/>
    </row>
    <row r="847" spans="8:42" ht="24.75" customHeight="1">
      <c r="H847" s="25"/>
      <c r="L847" s="25"/>
      <c r="P847" s="172"/>
      <c r="Q847" s="173"/>
      <c r="V847" s="54"/>
      <c r="W847" s="54"/>
      <c r="X847" s="54"/>
      <c r="Y847" s="54"/>
      <c r="Z847" s="54"/>
      <c r="AA847" s="54"/>
      <c r="AB847" s="54"/>
      <c r="AC847" s="54"/>
      <c r="AD847" s="54"/>
      <c r="AE847" s="54"/>
      <c r="AF847" s="5" t="s">
        <v>23</v>
      </c>
      <c r="AM847" s="171">
        <v>12</v>
      </c>
      <c r="AN847" s="171"/>
      <c r="AO847" s="171"/>
      <c r="AP847" s="171"/>
    </row>
    <row r="848" spans="16:32" ht="24.75" customHeight="1">
      <c r="P848" s="33"/>
      <c r="V848" s="54"/>
      <c r="W848" s="54"/>
      <c r="X848" s="54"/>
      <c r="Y848" s="54"/>
      <c r="Z848" s="54"/>
      <c r="AA848" s="54"/>
      <c r="AB848" s="54"/>
      <c r="AC848" s="54"/>
      <c r="AD848" s="54"/>
      <c r="AE848" s="54"/>
      <c r="AF848" s="54"/>
    </row>
    <row r="849" spans="22:32" ht="24.75" customHeight="1">
      <c r="V849" s="54"/>
      <c r="W849" s="54"/>
      <c r="X849" s="54"/>
      <c r="Y849" s="54"/>
      <c r="Z849" s="54"/>
      <c r="AA849" s="54"/>
      <c r="AB849" s="54"/>
      <c r="AC849" s="54"/>
      <c r="AD849" s="54"/>
      <c r="AE849" s="54"/>
      <c r="AF849" s="54"/>
    </row>
    <row r="850" spans="16:25" ht="24.75" customHeight="1">
      <c r="P850" s="54"/>
      <c r="R850" s="25"/>
      <c r="Y850" s="25"/>
    </row>
    <row r="851" spans="9:46" ht="24.75" customHeight="1">
      <c r="I851" s="44"/>
      <c r="P851" s="54"/>
      <c r="R851" s="54"/>
      <c r="AT851" s="186"/>
    </row>
    <row r="852" spans="9:18" ht="24.75" customHeight="1">
      <c r="I852" s="44"/>
      <c r="P852" s="54"/>
      <c r="R852" s="54"/>
    </row>
    <row r="853" spans="9:32" ht="24.75" customHeight="1">
      <c r="I853" s="44"/>
      <c r="P853" s="54"/>
      <c r="W853" s="23"/>
      <c r="AF853" s="54"/>
    </row>
    <row r="854" spans="9:32" ht="24.75" customHeight="1">
      <c r="I854" s="44"/>
      <c r="W854" s="23"/>
      <c r="X854" s="31"/>
      <c r="Y854" s="31"/>
      <c r="Z854" s="31"/>
      <c r="AA854" s="31"/>
      <c r="AB854" s="31"/>
      <c r="AC854" s="31"/>
      <c r="AF854" s="54"/>
    </row>
    <row r="855" spans="16:29" ht="24.75" customHeight="1">
      <c r="P855" s="33"/>
      <c r="W855" s="23"/>
      <c r="X855" s="31"/>
      <c r="Y855" s="31"/>
      <c r="AC855" s="23"/>
    </row>
    <row r="856" spans="16:29" ht="24.75" customHeight="1">
      <c r="P856" s="172"/>
      <c r="Q856" s="173"/>
      <c r="W856" s="23"/>
      <c r="X856" s="31"/>
      <c r="Y856" s="31"/>
      <c r="AC856" s="23"/>
    </row>
    <row r="857" spans="16:29" ht="24.75" customHeight="1">
      <c r="P857" s="33"/>
      <c r="T857" s="31"/>
      <c r="U857" s="31"/>
      <c r="Y857" s="23"/>
      <c r="Z857" s="31"/>
      <c r="AA857" s="31"/>
      <c r="AB857" s="31"/>
      <c r="AC857" s="31"/>
    </row>
    <row r="858" spans="8:23" ht="24.75" customHeight="1">
      <c r="H858" s="25"/>
      <c r="L858" s="25"/>
      <c r="W858" s="23"/>
    </row>
    <row r="859" spans="4:23" ht="24.75" customHeight="1">
      <c r="D859" s="17" t="s">
        <v>227</v>
      </c>
      <c r="W859" s="23"/>
    </row>
    <row r="860" spans="4:24" ht="24.75" customHeight="1">
      <c r="D860" s="5" t="s">
        <v>24</v>
      </c>
      <c r="I860" s="53"/>
      <c r="J860" s="53"/>
      <c r="K860" s="53"/>
      <c r="L860" s="53"/>
      <c r="S860" s="112">
        <f>(P714/(P714+P770)*AM846)/COS(RADIANS(AG705))</f>
        <v>1102.5538535599974</v>
      </c>
      <c r="T860" s="112"/>
      <c r="U860" s="112"/>
      <c r="V860" s="5" t="s">
        <v>84</v>
      </c>
      <c r="X860" s="5" t="str">
        <f>IF(AG705=0,"","( 傾斜長さ )")</f>
        <v>( 傾斜長さ )</v>
      </c>
    </row>
    <row r="861" spans="4:20" ht="24.75" customHeight="1">
      <c r="D861" s="111" t="s">
        <v>168</v>
      </c>
      <c r="E861" s="111"/>
      <c r="F861" s="111"/>
      <c r="G861" s="55">
        <f>IF(O703&gt;0,P714,P770)</f>
        <v>157.5</v>
      </c>
      <c r="H861" s="56"/>
      <c r="I861" s="56"/>
      <c r="J861" s="56"/>
      <c r="K861" s="10" t="s">
        <v>218</v>
      </c>
      <c r="L861" s="10"/>
      <c r="P861" s="10"/>
      <c r="Q861" s="55"/>
      <c r="R861" s="56"/>
      <c r="S861" s="56"/>
      <c r="T861" s="56"/>
    </row>
    <row r="862" spans="4:24" ht="24.75" customHeight="1">
      <c r="D862" s="111" t="s">
        <v>117</v>
      </c>
      <c r="E862" s="111"/>
      <c r="F862" s="111"/>
      <c r="G862" s="111" t="s">
        <v>219</v>
      </c>
      <c r="H862" s="111"/>
      <c r="I862" s="111"/>
      <c r="J862" s="111"/>
      <c r="K862" s="111"/>
      <c r="L862" s="175">
        <v>26.27692678</v>
      </c>
      <c r="M862" s="175"/>
      <c r="N862" s="91"/>
      <c r="O862" s="58" t="s">
        <v>35</v>
      </c>
      <c r="P862" s="58"/>
      <c r="Q862" s="10" t="s">
        <v>34</v>
      </c>
      <c r="R862" s="55">
        <f>ROUND(G861*(S860-L862)/S860,3)</f>
        <v>153.746</v>
      </c>
      <c r="S862" s="56"/>
      <c r="T862" s="56"/>
      <c r="U862" s="56"/>
      <c r="V862" s="57"/>
      <c r="W862" s="10" t="s">
        <v>218</v>
      </c>
      <c r="X862" s="10"/>
    </row>
    <row r="863" spans="4:31" ht="24.75" customHeight="1">
      <c r="D863" s="111" t="s">
        <v>118</v>
      </c>
      <c r="E863" s="111"/>
      <c r="F863" s="111"/>
      <c r="G863" s="111" t="s">
        <v>219</v>
      </c>
      <c r="H863" s="111"/>
      <c r="I863" s="111"/>
      <c r="J863" s="111"/>
      <c r="K863" s="111"/>
      <c r="L863" s="175">
        <v>126.27692678</v>
      </c>
      <c r="M863" s="175"/>
      <c r="N863" s="91"/>
      <c r="O863" s="58" t="s">
        <v>35</v>
      </c>
      <c r="P863" s="58"/>
      <c r="Q863" s="10" t="s">
        <v>34</v>
      </c>
      <c r="R863" s="55">
        <f>ROUND(G861*(S860-L863)/S860,3)</f>
        <v>139.461</v>
      </c>
      <c r="S863" s="56"/>
      <c r="T863" s="56"/>
      <c r="U863" s="56"/>
      <c r="V863" s="57"/>
      <c r="W863" s="10" t="s">
        <v>218</v>
      </c>
      <c r="X863" s="10"/>
      <c r="Y863" s="10"/>
      <c r="Z863" s="55"/>
      <c r="AA863" s="56"/>
      <c r="AB863" s="56"/>
      <c r="AC863" s="56"/>
      <c r="AD863" s="57"/>
      <c r="AE863" s="10"/>
    </row>
    <row r="864" spans="4:31" ht="24.75" customHeight="1">
      <c r="D864" s="111" t="s">
        <v>119</v>
      </c>
      <c r="E864" s="111"/>
      <c r="F864" s="111"/>
      <c r="G864" s="111" t="s">
        <v>219</v>
      </c>
      <c r="H864" s="111"/>
      <c r="I864" s="111"/>
      <c r="J864" s="111"/>
      <c r="K864" s="111"/>
      <c r="L864" s="175">
        <v>226.27692678</v>
      </c>
      <c r="M864" s="175"/>
      <c r="N864" s="91"/>
      <c r="O864" s="58" t="s">
        <v>35</v>
      </c>
      <c r="P864" s="58"/>
      <c r="Q864" s="10" t="s">
        <v>34</v>
      </c>
      <c r="R864" s="55">
        <f>ROUND(G861*(S860-L864)/S860,3)</f>
        <v>125.176</v>
      </c>
      <c r="S864" s="56"/>
      <c r="T864" s="56"/>
      <c r="U864" s="56"/>
      <c r="V864" s="57"/>
      <c r="W864" s="10" t="s">
        <v>218</v>
      </c>
      <c r="X864" s="10"/>
      <c r="Y864" s="10"/>
      <c r="Z864" s="55"/>
      <c r="AA864" s="56"/>
      <c r="AB864" s="56"/>
      <c r="AC864" s="56"/>
      <c r="AD864" s="57"/>
      <c r="AE864" s="10"/>
    </row>
    <row r="865" spans="4:31" ht="24.75" customHeight="1">
      <c r="D865" s="111" t="s">
        <v>120</v>
      </c>
      <c r="E865" s="111"/>
      <c r="F865" s="111"/>
      <c r="G865" s="111" t="s">
        <v>219</v>
      </c>
      <c r="H865" s="111"/>
      <c r="I865" s="111"/>
      <c r="J865" s="111"/>
      <c r="K865" s="111"/>
      <c r="L865" s="175">
        <v>326.27692678</v>
      </c>
      <c r="M865" s="175"/>
      <c r="N865" s="91"/>
      <c r="O865" s="58" t="s">
        <v>35</v>
      </c>
      <c r="P865" s="58"/>
      <c r="Q865" s="10" t="s">
        <v>34</v>
      </c>
      <c r="R865" s="55">
        <f>ROUND(G861*(S860-L865)/S860,3)</f>
        <v>110.891</v>
      </c>
      <c r="S865" s="56"/>
      <c r="T865" s="56"/>
      <c r="U865" s="56"/>
      <c r="V865" s="57"/>
      <c r="W865" s="10" t="s">
        <v>218</v>
      </c>
      <c r="X865" s="10"/>
      <c r="Y865" s="10"/>
      <c r="Z865" s="55"/>
      <c r="AA865" s="56"/>
      <c r="AB865" s="56"/>
      <c r="AC865" s="56"/>
      <c r="AD865" s="57"/>
      <c r="AE865" s="10"/>
    </row>
    <row r="866" spans="4:31" ht="24.75" customHeight="1">
      <c r="D866" s="111" t="s">
        <v>121</v>
      </c>
      <c r="E866" s="111"/>
      <c r="F866" s="111"/>
      <c r="G866" s="111" t="s">
        <v>219</v>
      </c>
      <c r="H866" s="111"/>
      <c r="I866" s="111"/>
      <c r="J866" s="111"/>
      <c r="K866" s="111"/>
      <c r="L866" s="175">
        <v>426.27692678</v>
      </c>
      <c r="M866" s="175"/>
      <c r="N866" s="91"/>
      <c r="O866" s="58" t="s">
        <v>35</v>
      </c>
      <c r="P866" s="58"/>
      <c r="Q866" s="10" t="s">
        <v>34</v>
      </c>
      <c r="R866" s="55">
        <f>ROUND(G861*(S860-L866)/S860,3)</f>
        <v>96.606</v>
      </c>
      <c r="S866" s="56"/>
      <c r="T866" s="56"/>
      <c r="U866" s="56"/>
      <c r="V866" s="57"/>
      <c r="W866" s="10" t="s">
        <v>218</v>
      </c>
      <c r="X866" s="10"/>
      <c r="Y866" s="10"/>
      <c r="Z866" s="55"/>
      <c r="AA866" s="56"/>
      <c r="AB866" s="56"/>
      <c r="AC866" s="56"/>
      <c r="AD866" s="57"/>
      <c r="AE866" s="10"/>
    </row>
    <row r="867" spans="4:31" ht="24.75" customHeight="1">
      <c r="D867" s="111" t="s">
        <v>122</v>
      </c>
      <c r="E867" s="111"/>
      <c r="F867" s="111"/>
      <c r="G867" s="111" t="s">
        <v>219</v>
      </c>
      <c r="H867" s="111"/>
      <c r="I867" s="111"/>
      <c r="J867" s="111"/>
      <c r="K867" s="111"/>
      <c r="L867" s="175">
        <v>526.27692678</v>
      </c>
      <c r="M867" s="175"/>
      <c r="N867" s="91"/>
      <c r="O867" s="58" t="s">
        <v>35</v>
      </c>
      <c r="P867" s="58"/>
      <c r="Q867" s="10" t="s">
        <v>34</v>
      </c>
      <c r="R867" s="55">
        <f>ROUND(G861*(S860-L867)/S860,3)</f>
        <v>82.321</v>
      </c>
      <c r="S867" s="56"/>
      <c r="T867" s="56"/>
      <c r="U867" s="56"/>
      <c r="V867" s="57"/>
      <c r="W867" s="10" t="s">
        <v>218</v>
      </c>
      <c r="X867" s="10"/>
      <c r="Y867" s="10"/>
      <c r="Z867" s="55"/>
      <c r="AA867" s="56"/>
      <c r="AB867" s="56"/>
      <c r="AC867" s="56"/>
      <c r="AD867" s="57"/>
      <c r="AE867" s="10"/>
    </row>
    <row r="868" spans="4:25" ht="24.75" customHeight="1">
      <c r="D868" s="47"/>
      <c r="E868" s="47"/>
      <c r="F868" s="47"/>
      <c r="G868" s="47"/>
      <c r="H868" s="47"/>
      <c r="I868" s="47"/>
      <c r="J868" s="47"/>
      <c r="K868" s="47"/>
      <c r="L868" s="56"/>
      <c r="M868" s="56"/>
      <c r="N868" s="47"/>
      <c r="O868" s="47"/>
      <c r="P868" s="47"/>
      <c r="Q868" s="10"/>
      <c r="R868" s="55"/>
      <c r="S868" s="56"/>
      <c r="T868" s="56"/>
      <c r="U868" s="56"/>
      <c r="V868" s="57"/>
      <c r="W868" s="10"/>
      <c r="X868" s="10"/>
      <c r="Y868" s="10"/>
    </row>
    <row r="869" spans="4:36" ht="24.75" customHeight="1">
      <c r="D869" s="110" t="s">
        <v>169</v>
      </c>
      <c r="E869" s="110"/>
      <c r="F869" s="110"/>
      <c r="G869" s="110"/>
      <c r="H869" s="59" t="s">
        <v>87</v>
      </c>
      <c r="I869" s="107">
        <f>G861</f>
        <v>157.5</v>
      </c>
      <c r="J869" s="107"/>
      <c r="K869" s="107"/>
      <c r="L869" s="107"/>
      <c r="M869" s="14" t="s">
        <v>48</v>
      </c>
      <c r="N869" s="107">
        <f aca="true" t="shared" si="9" ref="N869:N874">R862</f>
        <v>153.746</v>
      </c>
      <c r="O869" s="107"/>
      <c r="P869" s="107"/>
      <c r="Q869" s="107"/>
      <c r="R869" s="60" t="s">
        <v>170</v>
      </c>
      <c r="S869" s="56"/>
      <c r="T869" s="56"/>
      <c r="U869" s="56"/>
      <c r="V869" s="108">
        <f>L862</f>
        <v>26.27692678</v>
      </c>
      <c r="W869" s="108"/>
      <c r="X869" s="108"/>
      <c r="Y869" s="14" t="s">
        <v>137</v>
      </c>
      <c r="Z869" s="108">
        <f>AM847</f>
        <v>12</v>
      </c>
      <c r="AA869" s="108"/>
      <c r="AB869" s="108"/>
      <c r="AC869" s="5" t="s">
        <v>89</v>
      </c>
      <c r="AD869" s="109">
        <f>(I869+N869)/2*V869*Z869</f>
        <v>49071.53011540727</v>
      </c>
      <c r="AE869" s="109"/>
      <c r="AF869" s="109"/>
      <c r="AG869" s="109"/>
      <c r="AH869" s="109"/>
      <c r="AI869" s="5" t="s">
        <v>113</v>
      </c>
      <c r="AJ869" s="5" t="s">
        <v>18</v>
      </c>
    </row>
    <row r="870" spans="4:46" ht="24.75" customHeight="1">
      <c r="D870" s="92" t="s">
        <v>228</v>
      </c>
      <c r="E870" s="92"/>
      <c r="F870" s="92"/>
      <c r="G870" s="92"/>
      <c r="H870" s="14" t="s">
        <v>87</v>
      </c>
      <c r="I870" s="107">
        <f>R862</f>
        <v>153.746</v>
      </c>
      <c r="J870" s="107"/>
      <c r="K870" s="107"/>
      <c r="L870" s="107"/>
      <c r="M870" s="14" t="s">
        <v>48</v>
      </c>
      <c r="N870" s="107">
        <f t="shared" si="9"/>
        <v>139.461</v>
      </c>
      <c r="O870" s="107"/>
      <c r="P870" s="107"/>
      <c r="Q870" s="107"/>
      <c r="R870" s="61" t="s">
        <v>171</v>
      </c>
      <c r="S870" s="36"/>
      <c r="T870" s="8">
        <v>2</v>
      </c>
      <c r="U870" s="62" t="s">
        <v>137</v>
      </c>
      <c r="V870" s="63">
        <f>L863-L862</f>
        <v>100</v>
      </c>
      <c r="W870" s="63"/>
      <c r="X870" s="63"/>
      <c r="Y870" s="64" t="s">
        <v>137</v>
      </c>
      <c r="Z870" s="24">
        <f>Z869</f>
        <v>12</v>
      </c>
      <c r="AA870" s="25"/>
      <c r="AB870" s="24"/>
      <c r="AC870" s="65" t="s">
        <v>47</v>
      </c>
      <c r="AD870" s="66">
        <v>2</v>
      </c>
      <c r="AE870" s="66"/>
      <c r="AF870" s="66"/>
      <c r="AG870" s="8" t="s">
        <v>34</v>
      </c>
      <c r="AH870" s="63">
        <f>ROUND(+(I870+N870)/T870*V870*Z870/AD870,1)</f>
        <v>87962.1</v>
      </c>
      <c r="AI870" s="63"/>
      <c r="AJ870" s="63"/>
      <c r="AK870" s="63"/>
      <c r="AL870" s="92" t="str">
        <f>IF(AH870&gt;+V837,"N/本  ＞  ρa   N.G.","N/本  ＜  ρa   O.K.")</f>
        <v>N/本  ＜  ρa   O.K.</v>
      </c>
      <c r="AM870" s="92"/>
      <c r="AN870" s="92"/>
      <c r="AO870" s="92"/>
      <c r="AP870" s="92"/>
      <c r="AQ870" s="92"/>
      <c r="AR870" s="92"/>
      <c r="AS870" s="92"/>
      <c r="AT870" s="92"/>
    </row>
    <row r="871" spans="4:46" ht="24.75" customHeight="1">
      <c r="D871" s="92" t="s">
        <v>250</v>
      </c>
      <c r="E871" s="92"/>
      <c r="F871" s="92"/>
      <c r="G871" s="92"/>
      <c r="H871" s="14" t="s">
        <v>87</v>
      </c>
      <c r="I871" s="107">
        <f>N870</f>
        <v>139.461</v>
      </c>
      <c r="J871" s="107"/>
      <c r="K871" s="107"/>
      <c r="L871" s="107"/>
      <c r="M871" s="14" t="s">
        <v>48</v>
      </c>
      <c r="N871" s="107">
        <f t="shared" si="9"/>
        <v>125.176</v>
      </c>
      <c r="O871" s="107"/>
      <c r="P871" s="107"/>
      <c r="Q871" s="107"/>
      <c r="R871" s="61" t="s">
        <v>171</v>
      </c>
      <c r="S871" s="36"/>
      <c r="T871" s="8">
        <v>2</v>
      </c>
      <c r="U871" s="62" t="s">
        <v>137</v>
      </c>
      <c r="V871" s="63">
        <f>(L864-L863)</f>
        <v>100</v>
      </c>
      <c r="W871" s="67"/>
      <c r="X871" s="24"/>
      <c r="Y871" s="64" t="s">
        <v>137</v>
      </c>
      <c r="Z871" s="24">
        <f>Z869</f>
        <v>12</v>
      </c>
      <c r="AA871" s="24"/>
      <c r="AB871" s="24"/>
      <c r="AC871" s="65" t="s">
        <v>47</v>
      </c>
      <c r="AD871" s="66">
        <v>2</v>
      </c>
      <c r="AE871" s="66"/>
      <c r="AF871" s="66"/>
      <c r="AG871" s="8" t="s">
        <v>34</v>
      </c>
      <c r="AH871" s="63">
        <f>ROUND(+(I871+N871)/T871*V871*Z871/AD871,1)</f>
        <v>79391.1</v>
      </c>
      <c r="AI871" s="63"/>
      <c r="AJ871" s="63"/>
      <c r="AK871" s="63"/>
      <c r="AL871" s="92" t="str">
        <f>IF(AH871&gt;+V837,"N/本  ＞  ρa   N.G.","N/本  ＜  ρa   O.K.")</f>
        <v>N/本  ＜  ρa   O.K.</v>
      </c>
      <c r="AM871" s="92"/>
      <c r="AN871" s="92"/>
      <c r="AO871" s="92"/>
      <c r="AP871" s="92"/>
      <c r="AQ871" s="92"/>
      <c r="AR871" s="92"/>
      <c r="AS871" s="92"/>
      <c r="AT871" s="92"/>
    </row>
    <row r="872" spans="4:46" ht="24.75" customHeight="1">
      <c r="D872" s="92" t="s">
        <v>251</v>
      </c>
      <c r="E872" s="92"/>
      <c r="F872" s="92"/>
      <c r="G872" s="92"/>
      <c r="H872" s="14" t="s">
        <v>87</v>
      </c>
      <c r="I872" s="107">
        <f>N871</f>
        <v>125.176</v>
      </c>
      <c r="J872" s="107"/>
      <c r="K872" s="107"/>
      <c r="L872" s="107"/>
      <c r="M872" s="14" t="s">
        <v>48</v>
      </c>
      <c r="N872" s="107">
        <f t="shared" si="9"/>
        <v>110.891</v>
      </c>
      <c r="O872" s="107"/>
      <c r="P872" s="107"/>
      <c r="Q872" s="107"/>
      <c r="R872" s="61" t="s">
        <v>171</v>
      </c>
      <c r="S872" s="36"/>
      <c r="T872" s="8">
        <v>2</v>
      </c>
      <c r="U872" s="62" t="s">
        <v>137</v>
      </c>
      <c r="V872" s="63">
        <f>(L865-L864)</f>
        <v>100</v>
      </c>
      <c r="W872" s="67"/>
      <c r="X872" s="24"/>
      <c r="Y872" s="64" t="s">
        <v>137</v>
      </c>
      <c r="Z872" s="24">
        <f>Z869</f>
        <v>12</v>
      </c>
      <c r="AA872" s="24"/>
      <c r="AB872" s="24"/>
      <c r="AC872" s="65" t="s">
        <v>47</v>
      </c>
      <c r="AD872" s="66">
        <v>2</v>
      </c>
      <c r="AE872" s="66"/>
      <c r="AF872" s="66"/>
      <c r="AG872" s="8" t="s">
        <v>34</v>
      </c>
      <c r="AH872" s="63">
        <f>ROUND(+(I872+N872)/T872*V872*Z872/AD872,1)</f>
        <v>70820.1</v>
      </c>
      <c r="AI872" s="63"/>
      <c r="AJ872" s="63"/>
      <c r="AK872" s="63"/>
      <c r="AL872" s="92" t="str">
        <f>IF(AH872&gt;+V837,"N/本  ＞  ρa   N.G.","N/本  ＜  ρa   O.K.")</f>
        <v>N/本  ＜  ρa   O.K.</v>
      </c>
      <c r="AM872" s="92"/>
      <c r="AN872" s="92"/>
      <c r="AO872" s="92"/>
      <c r="AP872" s="92"/>
      <c r="AQ872" s="92"/>
      <c r="AR872" s="92"/>
      <c r="AS872" s="92"/>
      <c r="AT872" s="92"/>
    </row>
    <row r="873" spans="4:46" ht="24.75" customHeight="1">
      <c r="D873" s="92" t="s">
        <v>252</v>
      </c>
      <c r="E873" s="92"/>
      <c r="F873" s="92"/>
      <c r="G873" s="92"/>
      <c r="H873" s="14" t="s">
        <v>87</v>
      </c>
      <c r="I873" s="107">
        <f>N872</f>
        <v>110.891</v>
      </c>
      <c r="J873" s="107"/>
      <c r="K873" s="107"/>
      <c r="L873" s="107"/>
      <c r="M873" s="14" t="s">
        <v>48</v>
      </c>
      <c r="N873" s="107">
        <f t="shared" si="9"/>
        <v>96.606</v>
      </c>
      <c r="O873" s="107"/>
      <c r="P873" s="107"/>
      <c r="Q873" s="107"/>
      <c r="R873" s="61" t="s">
        <v>171</v>
      </c>
      <c r="S873" s="36"/>
      <c r="T873" s="8">
        <v>2</v>
      </c>
      <c r="U873" s="62" t="s">
        <v>137</v>
      </c>
      <c r="V873" s="63">
        <f>(L866-L865)</f>
        <v>100</v>
      </c>
      <c r="W873" s="67"/>
      <c r="X873" s="24"/>
      <c r="Y873" s="64" t="s">
        <v>137</v>
      </c>
      <c r="Z873" s="24">
        <f>Z869</f>
        <v>12</v>
      </c>
      <c r="AA873" s="24"/>
      <c r="AB873" s="24"/>
      <c r="AC873" s="65" t="s">
        <v>47</v>
      </c>
      <c r="AD873" s="66">
        <v>2</v>
      </c>
      <c r="AE873" s="66"/>
      <c r="AF873" s="66"/>
      <c r="AG873" s="8" t="s">
        <v>34</v>
      </c>
      <c r="AH873" s="63">
        <f>ROUND(+(I873+N873)/T873*V873*Z873/AD873,1)</f>
        <v>62249.1</v>
      </c>
      <c r="AI873" s="63"/>
      <c r="AJ873" s="63"/>
      <c r="AK873" s="63"/>
      <c r="AL873" s="92" t="str">
        <f>IF(AH873&gt;+V837,"N/本  ＞  ρa   N.G.","N/本  ＜  ρa   O.K.")</f>
        <v>N/本  ＜  ρa   O.K.</v>
      </c>
      <c r="AM873" s="92"/>
      <c r="AN873" s="92"/>
      <c r="AO873" s="92"/>
      <c r="AP873" s="92"/>
      <c r="AQ873" s="92"/>
      <c r="AR873" s="92"/>
      <c r="AS873" s="92"/>
      <c r="AT873" s="92"/>
    </row>
    <row r="874" spans="4:46" ht="24.75" customHeight="1">
      <c r="D874" s="92" t="s">
        <v>253</v>
      </c>
      <c r="E874" s="92"/>
      <c r="F874" s="92"/>
      <c r="G874" s="92"/>
      <c r="H874" s="14" t="s">
        <v>87</v>
      </c>
      <c r="I874" s="107">
        <f>N873</f>
        <v>96.606</v>
      </c>
      <c r="J874" s="107"/>
      <c r="K874" s="107"/>
      <c r="L874" s="107"/>
      <c r="M874" s="14" t="s">
        <v>48</v>
      </c>
      <c r="N874" s="107">
        <f t="shared" si="9"/>
        <v>82.321</v>
      </c>
      <c r="O874" s="107"/>
      <c r="P874" s="107"/>
      <c r="Q874" s="107"/>
      <c r="R874" s="61" t="s">
        <v>171</v>
      </c>
      <c r="S874" s="36"/>
      <c r="T874" s="8">
        <v>2</v>
      </c>
      <c r="U874" s="62" t="s">
        <v>137</v>
      </c>
      <c r="V874" s="63">
        <f>(L867-L866)</f>
        <v>100.00000000000006</v>
      </c>
      <c r="W874" s="67"/>
      <c r="X874" s="24"/>
      <c r="Y874" s="64" t="s">
        <v>137</v>
      </c>
      <c r="Z874" s="24">
        <f>Z869</f>
        <v>12</v>
      </c>
      <c r="AA874" s="24"/>
      <c r="AB874" s="24"/>
      <c r="AC874" s="65" t="s">
        <v>47</v>
      </c>
      <c r="AD874" s="66">
        <v>2</v>
      </c>
      <c r="AE874" s="66"/>
      <c r="AF874" s="66"/>
      <c r="AG874" s="8" t="s">
        <v>34</v>
      </c>
      <c r="AH874" s="63">
        <f>ROUND(+(I874+N874)/T874*V874*Z874/AD874,1)</f>
        <v>53678.1</v>
      </c>
      <c r="AI874" s="63"/>
      <c r="AJ874" s="63"/>
      <c r="AK874" s="63"/>
      <c r="AL874" s="92" t="str">
        <f>IF(AH874&gt;+V837,"N/本  ＞  ρa   N.G.","N/本  ＜  ρa   O.K.")</f>
        <v>N/本  ＜  ρa   O.K.</v>
      </c>
      <c r="AM874" s="92"/>
      <c r="AN874" s="92"/>
      <c r="AO874" s="92"/>
      <c r="AP874" s="92"/>
      <c r="AQ874" s="92"/>
      <c r="AR874" s="92"/>
      <c r="AS874" s="92"/>
      <c r="AT874" s="92"/>
    </row>
    <row r="875" spans="4:25" ht="24.75" customHeight="1">
      <c r="D875" s="47"/>
      <c r="E875" s="47"/>
      <c r="F875" s="47"/>
      <c r="G875" s="47"/>
      <c r="H875" s="47"/>
      <c r="I875" s="47"/>
      <c r="J875" s="47"/>
      <c r="K875" s="47"/>
      <c r="L875" s="56"/>
      <c r="M875" s="56"/>
      <c r="N875" s="47"/>
      <c r="O875" s="47"/>
      <c r="P875" s="47"/>
      <c r="Q875" s="10"/>
      <c r="R875" s="55"/>
      <c r="S875" s="56"/>
      <c r="T875" s="56"/>
      <c r="U875" s="56"/>
      <c r="V875" s="57"/>
      <c r="W875" s="10"/>
      <c r="X875" s="10"/>
      <c r="Y875" s="10"/>
    </row>
    <row r="876" spans="4:23" ht="24.75" customHeight="1">
      <c r="D876" s="17" t="s">
        <v>229</v>
      </c>
      <c r="W876" s="23"/>
    </row>
    <row r="877" spans="4:24" ht="24.75" customHeight="1">
      <c r="D877" s="5" t="s">
        <v>19</v>
      </c>
      <c r="I877" s="53"/>
      <c r="J877" s="53"/>
      <c r="K877" s="53"/>
      <c r="L877" s="53"/>
      <c r="S877" s="112">
        <f>(P770/(P714+P770)*AM846)/COS(RADIANS(AG705))</f>
        <v>1102.5538535599974</v>
      </c>
      <c r="T877" s="112"/>
      <c r="U877" s="112"/>
      <c r="V877" s="5" t="s">
        <v>84</v>
      </c>
      <c r="X877" s="5" t="str">
        <f>IF(AG705=0,"","( 傾斜長さ )")</f>
        <v>( 傾斜長さ )</v>
      </c>
    </row>
    <row r="878" spans="4:22" ht="24.75" customHeight="1">
      <c r="D878" s="111" t="s">
        <v>172</v>
      </c>
      <c r="E878" s="111"/>
      <c r="F878" s="111"/>
      <c r="G878" s="55">
        <f>IF(O703&gt;0,P770,P714)</f>
        <v>157.5</v>
      </c>
      <c r="H878" s="56"/>
      <c r="I878" s="56"/>
      <c r="J878" s="56"/>
      <c r="K878" s="10" t="s">
        <v>218</v>
      </c>
      <c r="L878" s="10"/>
      <c r="P878" s="10"/>
      <c r="Q878" s="55"/>
      <c r="R878" s="56"/>
      <c r="S878" s="56"/>
      <c r="T878" s="56"/>
      <c r="U878" s="57"/>
      <c r="V878" s="10"/>
    </row>
    <row r="879" spans="4:24" ht="24.75" customHeight="1">
      <c r="D879" s="111" t="s">
        <v>117</v>
      </c>
      <c r="E879" s="111"/>
      <c r="F879" s="111"/>
      <c r="G879" s="111" t="s">
        <v>219</v>
      </c>
      <c r="H879" s="111"/>
      <c r="I879" s="111"/>
      <c r="J879" s="111"/>
      <c r="K879" s="111"/>
      <c r="L879" s="91">
        <f aca="true" t="shared" si="10" ref="L879:L884">L862</f>
        <v>26.27692678</v>
      </c>
      <c r="M879" s="91"/>
      <c r="N879" s="91"/>
      <c r="O879" s="58" t="s">
        <v>35</v>
      </c>
      <c r="P879" s="58"/>
      <c r="Q879" s="10" t="s">
        <v>34</v>
      </c>
      <c r="R879" s="55">
        <f>ROUND(G878*(S877-L879)/S877,3)</f>
        <v>153.746</v>
      </c>
      <c r="S879" s="56"/>
      <c r="T879" s="56"/>
      <c r="U879" s="56"/>
      <c r="V879" s="57"/>
      <c r="W879" s="10" t="s">
        <v>218</v>
      </c>
      <c r="X879" s="10"/>
    </row>
    <row r="880" spans="4:31" ht="24.75" customHeight="1">
      <c r="D880" s="111" t="s">
        <v>118</v>
      </c>
      <c r="E880" s="111"/>
      <c r="F880" s="111"/>
      <c r="G880" s="111" t="s">
        <v>219</v>
      </c>
      <c r="H880" s="111"/>
      <c r="I880" s="111"/>
      <c r="J880" s="111"/>
      <c r="K880" s="111"/>
      <c r="L880" s="91">
        <f t="shared" si="10"/>
        <v>126.27692678</v>
      </c>
      <c r="M880" s="91"/>
      <c r="N880" s="91"/>
      <c r="O880" s="58" t="s">
        <v>35</v>
      </c>
      <c r="P880" s="58"/>
      <c r="Q880" s="10" t="s">
        <v>34</v>
      </c>
      <c r="R880" s="55">
        <f>ROUND(G878*(S877-L880)/S877,3)</f>
        <v>139.461</v>
      </c>
      <c r="S880" s="56"/>
      <c r="T880" s="56"/>
      <c r="U880" s="56"/>
      <c r="V880" s="57"/>
      <c r="W880" s="10" t="s">
        <v>218</v>
      </c>
      <c r="X880" s="10"/>
      <c r="Y880" s="10"/>
      <c r="Z880" s="55"/>
      <c r="AA880" s="56"/>
      <c r="AB880" s="56"/>
      <c r="AC880" s="56"/>
      <c r="AD880" s="57"/>
      <c r="AE880" s="10"/>
    </row>
    <row r="881" spans="4:31" ht="24.75" customHeight="1">
      <c r="D881" s="111" t="s">
        <v>119</v>
      </c>
      <c r="E881" s="111"/>
      <c r="F881" s="111"/>
      <c r="G881" s="111" t="s">
        <v>219</v>
      </c>
      <c r="H881" s="111"/>
      <c r="I881" s="111"/>
      <c r="J881" s="111"/>
      <c r="K881" s="111"/>
      <c r="L881" s="91">
        <f t="shared" si="10"/>
        <v>226.27692678</v>
      </c>
      <c r="M881" s="91"/>
      <c r="N881" s="91"/>
      <c r="O881" s="58" t="s">
        <v>35</v>
      </c>
      <c r="P881" s="58"/>
      <c r="Q881" s="10" t="s">
        <v>34</v>
      </c>
      <c r="R881" s="55">
        <f>ROUND(G878*(S877-L881)/S877,3)</f>
        <v>125.176</v>
      </c>
      <c r="S881" s="56"/>
      <c r="T881" s="56"/>
      <c r="U881" s="56"/>
      <c r="V881" s="57"/>
      <c r="W881" s="10" t="s">
        <v>218</v>
      </c>
      <c r="X881" s="10"/>
      <c r="Y881" s="10"/>
      <c r="Z881" s="55"/>
      <c r="AA881" s="56"/>
      <c r="AB881" s="56"/>
      <c r="AC881" s="56"/>
      <c r="AD881" s="57"/>
      <c r="AE881" s="10"/>
    </row>
    <row r="882" spans="4:31" ht="24.75" customHeight="1">
      <c r="D882" s="111" t="s">
        <v>120</v>
      </c>
      <c r="E882" s="111"/>
      <c r="F882" s="111"/>
      <c r="G882" s="111" t="s">
        <v>219</v>
      </c>
      <c r="H882" s="111"/>
      <c r="I882" s="111"/>
      <c r="J882" s="111"/>
      <c r="K882" s="111"/>
      <c r="L882" s="91">
        <f t="shared" si="10"/>
        <v>326.27692678</v>
      </c>
      <c r="M882" s="91"/>
      <c r="N882" s="91"/>
      <c r="O882" s="58" t="s">
        <v>35</v>
      </c>
      <c r="P882" s="58"/>
      <c r="Q882" s="10" t="s">
        <v>34</v>
      </c>
      <c r="R882" s="55">
        <f>ROUND(G878*(S877-L882)/S877,3)</f>
        <v>110.891</v>
      </c>
      <c r="S882" s="56"/>
      <c r="T882" s="56"/>
      <c r="U882" s="56"/>
      <c r="V882" s="57"/>
      <c r="W882" s="10" t="s">
        <v>218</v>
      </c>
      <c r="X882" s="10"/>
      <c r="Y882" s="10"/>
      <c r="Z882" s="55"/>
      <c r="AA882" s="56"/>
      <c r="AB882" s="56"/>
      <c r="AC882" s="56"/>
      <c r="AD882" s="57"/>
      <c r="AE882" s="10"/>
    </row>
    <row r="883" spans="4:31" ht="24.75" customHeight="1">
      <c r="D883" s="111" t="s">
        <v>121</v>
      </c>
      <c r="E883" s="111"/>
      <c r="F883" s="111"/>
      <c r="G883" s="111" t="s">
        <v>219</v>
      </c>
      <c r="H883" s="111"/>
      <c r="I883" s="111"/>
      <c r="J883" s="111"/>
      <c r="K883" s="111"/>
      <c r="L883" s="91">
        <f t="shared" si="10"/>
        <v>426.27692678</v>
      </c>
      <c r="M883" s="91"/>
      <c r="N883" s="91"/>
      <c r="O883" s="58" t="s">
        <v>35</v>
      </c>
      <c r="P883" s="58"/>
      <c r="Q883" s="10" t="s">
        <v>34</v>
      </c>
      <c r="R883" s="55">
        <f>ROUND(G878*(S877-L883)/S877,3)</f>
        <v>96.606</v>
      </c>
      <c r="S883" s="56"/>
      <c r="T883" s="56"/>
      <c r="U883" s="56"/>
      <c r="V883" s="57"/>
      <c r="W883" s="10" t="s">
        <v>218</v>
      </c>
      <c r="X883" s="10"/>
      <c r="Y883" s="10"/>
      <c r="Z883" s="55"/>
      <c r="AA883" s="56"/>
      <c r="AB883" s="56"/>
      <c r="AC883" s="56"/>
      <c r="AD883" s="57"/>
      <c r="AE883" s="10"/>
    </row>
    <row r="884" spans="4:31" ht="24.75" customHeight="1">
      <c r="D884" s="111" t="s">
        <v>122</v>
      </c>
      <c r="E884" s="111"/>
      <c r="F884" s="111"/>
      <c r="G884" s="111" t="s">
        <v>219</v>
      </c>
      <c r="H884" s="111"/>
      <c r="I884" s="111"/>
      <c r="J884" s="111"/>
      <c r="K884" s="111"/>
      <c r="L884" s="91">
        <f t="shared" si="10"/>
        <v>526.27692678</v>
      </c>
      <c r="M884" s="91"/>
      <c r="N884" s="91"/>
      <c r="O884" s="58" t="s">
        <v>35</v>
      </c>
      <c r="P884" s="58"/>
      <c r="Q884" s="10" t="s">
        <v>34</v>
      </c>
      <c r="R884" s="55">
        <f>ROUND(G878*(S877-L884)/S877,3)</f>
        <v>82.321</v>
      </c>
      <c r="S884" s="56"/>
      <c r="T884" s="56"/>
      <c r="U884" s="56"/>
      <c r="V884" s="57"/>
      <c r="W884" s="10" t="s">
        <v>218</v>
      </c>
      <c r="X884" s="10"/>
      <c r="Y884" s="10"/>
      <c r="Z884" s="55"/>
      <c r="AA884" s="56"/>
      <c r="AB884" s="56"/>
      <c r="AC884" s="56"/>
      <c r="AD884" s="57"/>
      <c r="AE884" s="10"/>
    </row>
    <row r="885" spans="4:25" ht="24.75" customHeight="1">
      <c r="D885" s="47"/>
      <c r="E885" s="47"/>
      <c r="F885" s="47"/>
      <c r="G885" s="47"/>
      <c r="H885" s="47"/>
      <c r="I885" s="47"/>
      <c r="J885" s="47"/>
      <c r="K885" s="47"/>
      <c r="L885" s="56"/>
      <c r="M885" s="56"/>
      <c r="N885" s="47"/>
      <c r="O885" s="47"/>
      <c r="P885" s="47"/>
      <c r="Q885" s="10"/>
      <c r="R885" s="55"/>
      <c r="S885" s="56"/>
      <c r="T885" s="56"/>
      <c r="U885" s="56"/>
      <c r="V885" s="57"/>
      <c r="W885" s="10"/>
      <c r="X885" s="10"/>
      <c r="Y885" s="10"/>
    </row>
    <row r="886" spans="4:36" ht="24.75" customHeight="1">
      <c r="D886" s="110" t="s">
        <v>173</v>
      </c>
      <c r="E886" s="110"/>
      <c r="F886" s="110"/>
      <c r="G886" s="110"/>
      <c r="H886" s="59" t="s">
        <v>87</v>
      </c>
      <c r="I886" s="107">
        <f>G878</f>
        <v>157.5</v>
      </c>
      <c r="J886" s="107"/>
      <c r="K886" s="107"/>
      <c r="L886" s="107"/>
      <c r="M886" s="14" t="s">
        <v>48</v>
      </c>
      <c r="N886" s="107">
        <f aca="true" t="shared" si="11" ref="N886:N891">R879</f>
        <v>153.746</v>
      </c>
      <c r="O886" s="107"/>
      <c r="P886" s="107"/>
      <c r="Q886" s="107"/>
      <c r="R886" s="55" t="s">
        <v>136</v>
      </c>
      <c r="S886" s="56"/>
      <c r="T886" s="56"/>
      <c r="U886" s="56"/>
      <c r="V886" s="108">
        <f>L879</f>
        <v>26.27692678</v>
      </c>
      <c r="W886" s="108"/>
      <c r="X886" s="108"/>
      <c r="Y886" s="14" t="s">
        <v>137</v>
      </c>
      <c r="Z886" s="108">
        <f>AM847</f>
        <v>12</v>
      </c>
      <c r="AA886" s="108"/>
      <c r="AB886" s="108"/>
      <c r="AC886" s="5" t="s">
        <v>89</v>
      </c>
      <c r="AD886" s="109">
        <f>(I886+N886)/2*V886*Z886</f>
        <v>49071.53011540727</v>
      </c>
      <c r="AE886" s="109"/>
      <c r="AF886" s="109"/>
      <c r="AG886" s="109"/>
      <c r="AH886" s="109"/>
      <c r="AI886" s="5" t="s">
        <v>113</v>
      </c>
      <c r="AJ886" s="5" t="s">
        <v>20</v>
      </c>
    </row>
    <row r="887" spans="4:46" ht="24.75" customHeight="1">
      <c r="D887" s="92" t="s">
        <v>228</v>
      </c>
      <c r="E887" s="92"/>
      <c r="F887" s="92"/>
      <c r="G887" s="92"/>
      <c r="H887" s="14" t="s">
        <v>87</v>
      </c>
      <c r="I887" s="107">
        <f>R879</f>
        <v>153.746</v>
      </c>
      <c r="J887" s="107"/>
      <c r="K887" s="107"/>
      <c r="L887" s="107"/>
      <c r="M887" s="14" t="s">
        <v>48</v>
      </c>
      <c r="N887" s="107">
        <f t="shared" si="11"/>
        <v>139.461</v>
      </c>
      <c r="O887" s="107"/>
      <c r="P887" s="107"/>
      <c r="Q887" s="107"/>
      <c r="R887" s="68" t="s">
        <v>171</v>
      </c>
      <c r="S887" s="14"/>
      <c r="T887" s="8">
        <v>2</v>
      </c>
      <c r="U887" s="62" t="s">
        <v>137</v>
      </c>
      <c r="V887" s="63">
        <f>L880-L879</f>
        <v>100</v>
      </c>
      <c r="W887" s="63"/>
      <c r="X887" s="63"/>
      <c r="Y887" s="64" t="s">
        <v>137</v>
      </c>
      <c r="Z887" s="24">
        <f>Z886</f>
        <v>12</v>
      </c>
      <c r="AA887" s="25"/>
      <c r="AB887" s="24"/>
      <c r="AC887" s="65" t="s">
        <v>47</v>
      </c>
      <c r="AD887" s="66">
        <v>2</v>
      </c>
      <c r="AE887" s="66"/>
      <c r="AF887" s="66"/>
      <c r="AG887" s="8" t="s">
        <v>34</v>
      </c>
      <c r="AH887" s="63">
        <f>ROUND(+(I887+N887)/T887*V887*Z887/AD887,1)</f>
        <v>87962.1</v>
      </c>
      <c r="AI887" s="63"/>
      <c r="AJ887" s="63"/>
      <c r="AK887" s="63"/>
      <c r="AL887" s="92" t="str">
        <f>IF(AH887&gt;+V837,"N/本  ＞  ρa   N.G.","N/本  ＜  ρa   O.K.")</f>
        <v>N/本  ＜  ρa   O.K.</v>
      </c>
      <c r="AM887" s="92"/>
      <c r="AN887" s="92"/>
      <c r="AO887" s="92"/>
      <c r="AP887" s="92"/>
      <c r="AQ887" s="92"/>
      <c r="AR887" s="92"/>
      <c r="AS887" s="92"/>
      <c r="AT887" s="92"/>
    </row>
    <row r="888" spans="4:46" ht="24.75" customHeight="1">
      <c r="D888" s="92" t="s">
        <v>250</v>
      </c>
      <c r="E888" s="92"/>
      <c r="F888" s="92"/>
      <c r="G888" s="92"/>
      <c r="H888" s="14" t="s">
        <v>87</v>
      </c>
      <c r="I888" s="107">
        <f>N887</f>
        <v>139.461</v>
      </c>
      <c r="J888" s="107"/>
      <c r="K888" s="107"/>
      <c r="L888" s="107"/>
      <c r="M888" s="14" t="s">
        <v>48</v>
      </c>
      <c r="N888" s="107">
        <f t="shared" si="11"/>
        <v>125.176</v>
      </c>
      <c r="O888" s="107"/>
      <c r="P888" s="107"/>
      <c r="Q888" s="107"/>
      <c r="R888" s="68" t="s">
        <v>171</v>
      </c>
      <c r="S888" s="14"/>
      <c r="T888" s="8">
        <v>2</v>
      </c>
      <c r="U888" s="62" t="s">
        <v>137</v>
      </c>
      <c r="V888" s="63">
        <f>(L881-L880)</f>
        <v>100</v>
      </c>
      <c r="W888" s="67"/>
      <c r="X888" s="24"/>
      <c r="Y888" s="64" t="s">
        <v>137</v>
      </c>
      <c r="Z888" s="24">
        <f>Z886</f>
        <v>12</v>
      </c>
      <c r="AA888" s="24"/>
      <c r="AB888" s="24"/>
      <c r="AC888" s="65" t="s">
        <v>47</v>
      </c>
      <c r="AD888" s="66">
        <v>2</v>
      </c>
      <c r="AE888" s="66"/>
      <c r="AF888" s="66"/>
      <c r="AG888" s="8" t="s">
        <v>34</v>
      </c>
      <c r="AH888" s="63">
        <f>ROUND(+(I888+N888)/T888*V888*Z888/AD888,1)</f>
        <v>79391.1</v>
      </c>
      <c r="AI888" s="63"/>
      <c r="AJ888" s="63"/>
      <c r="AK888" s="63"/>
      <c r="AL888" s="92" t="str">
        <f>IF(AH888&gt;+V837,"N/本  ＞  ρa   N.G.","N/本  ＜  ρa   O.K.")</f>
        <v>N/本  ＜  ρa   O.K.</v>
      </c>
      <c r="AM888" s="92"/>
      <c r="AN888" s="92"/>
      <c r="AO888" s="92"/>
      <c r="AP888" s="92"/>
      <c r="AQ888" s="92"/>
      <c r="AR888" s="92"/>
      <c r="AS888" s="92"/>
      <c r="AT888" s="92"/>
    </row>
    <row r="889" spans="4:46" ht="24.75" customHeight="1">
      <c r="D889" s="92" t="s">
        <v>251</v>
      </c>
      <c r="E889" s="92"/>
      <c r="F889" s="92"/>
      <c r="G889" s="92"/>
      <c r="H889" s="14" t="s">
        <v>87</v>
      </c>
      <c r="I889" s="107">
        <f>N888</f>
        <v>125.176</v>
      </c>
      <c r="J889" s="107"/>
      <c r="K889" s="107"/>
      <c r="L889" s="107"/>
      <c r="M889" s="14" t="s">
        <v>48</v>
      </c>
      <c r="N889" s="107">
        <f t="shared" si="11"/>
        <v>110.891</v>
      </c>
      <c r="O889" s="107"/>
      <c r="P889" s="107"/>
      <c r="Q889" s="107"/>
      <c r="R889" s="68" t="s">
        <v>171</v>
      </c>
      <c r="S889" s="14"/>
      <c r="T889" s="8">
        <v>2</v>
      </c>
      <c r="U889" s="62" t="s">
        <v>137</v>
      </c>
      <c r="V889" s="63">
        <f>(L882-L881)</f>
        <v>100</v>
      </c>
      <c r="W889" s="67"/>
      <c r="X889" s="24"/>
      <c r="Y889" s="64" t="s">
        <v>137</v>
      </c>
      <c r="Z889" s="24">
        <f>Z886</f>
        <v>12</v>
      </c>
      <c r="AA889" s="24"/>
      <c r="AB889" s="24"/>
      <c r="AC889" s="65" t="s">
        <v>47</v>
      </c>
      <c r="AD889" s="66">
        <v>2</v>
      </c>
      <c r="AE889" s="66"/>
      <c r="AF889" s="66"/>
      <c r="AG889" s="8" t="s">
        <v>34</v>
      </c>
      <c r="AH889" s="63">
        <f>ROUND(+(I889+N889)/T889*V889*Z889/AD889,1)</f>
        <v>70820.1</v>
      </c>
      <c r="AI889" s="63"/>
      <c r="AJ889" s="63"/>
      <c r="AK889" s="63"/>
      <c r="AL889" s="92" t="str">
        <f>IF(AH889&gt;+V837,"N/本  ＞  ρa   N.G.","N/本  ＜  ρa   O.K.")</f>
        <v>N/本  ＜  ρa   O.K.</v>
      </c>
      <c r="AM889" s="92"/>
      <c r="AN889" s="92"/>
      <c r="AO889" s="92"/>
      <c r="AP889" s="92"/>
      <c r="AQ889" s="92"/>
      <c r="AR889" s="92"/>
      <c r="AS889" s="92"/>
      <c r="AT889" s="92"/>
    </row>
    <row r="890" spans="4:46" ht="24.75" customHeight="1">
      <c r="D890" s="92" t="s">
        <v>252</v>
      </c>
      <c r="E890" s="92"/>
      <c r="F890" s="92"/>
      <c r="G890" s="92"/>
      <c r="H890" s="14" t="s">
        <v>87</v>
      </c>
      <c r="I890" s="107">
        <f>N889</f>
        <v>110.891</v>
      </c>
      <c r="J890" s="107"/>
      <c r="K890" s="107"/>
      <c r="L890" s="107"/>
      <c r="M890" s="14" t="s">
        <v>48</v>
      </c>
      <c r="N890" s="107">
        <f t="shared" si="11"/>
        <v>96.606</v>
      </c>
      <c r="O890" s="107"/>
      <c r="P890" s="107"/>
      <c r="Q890" s="107"/>
      <c r="R890" s="68" t="s">
        <v>171</v>
      </c>
      <c r="S890" s="14"/>
      <c r="T890" s="8">
        <v>2</v>
      </c>
      <c r="U890" s="62" t="s">
        <v>137</v>
      </c>
      <c r="V890" s="63">
        <f>(L883-L882)</f>
        <v>100</v>
      </c>
      <c r="W890" s="67"/>
      <c r="X890" s="24"/>
      <c r="Y890" s="64" t="s">
        <v>137</v>
      </c>
      <c r="Z890" s="24">
        <f>Z886</f>
        <v>12</v>
      </c>
      <c r="AA890" s="24"/>
      <c r="AB890" s="24"/>
      <c r="AC890" s="65" t="s">
        <v>47</v>
      </c>
      <c r="AD890" s="66">
        <v>2</v>
      </c>
      <c r="AE890" s="66"/>
      <c r="AF890" s="66"/>
      <c r="AG890" s="8" t="s">
        <v>34</v>
      </c>
      <c r="AH890" s="63">
        <f>ROUND(+(I890+N890)/T890*V890*Z890/AD890,1)</f>
        <v>62249.1</v>
      </c>
      <c r="AI890" s="63"/>
      <c r="AJ890" s="63"/>
      <c r="AK890" s="63"/>
      <c r="AL890" s="92" t="str">
        <f>IF(AH890&gt;+V837,"N/本  ＞  ρa   N.G.","N/本  ＜  ρa   O.K.")</f>
        <v>N/本  ＜  ρa   O.K.</v>
      </c>
      <c r="AM890" s="92"/>
      <c r="AN890" s="92"/>
      <c r="AO890" s="92"/>
      <c r="AP890" s="92"/>
      <c r="AQ890" s="92"/>
      <c r="AR890" s="92"/>
      <c r="AS890" s="92"/>
      <c r="AT890" s="92"/>
    </row>
    <row r="891" spans="4:46" ht="24.75" customHeight="1">
      <c r="D891" s="92" t="s">
        <v>253</v>
      </c>
      <c r="E891" s="92"/>
      <c r="F891" s="92"/>
      <c r="G891" s="92"/>
      <c r="H891" s="14" t="s">
        <v>87</v>
      </c>
      <c r="I891" s="107">
        <f>N890</f>
        <v>96.606</v>
      </c>
      <c r="J891" s="107"/>
      <c r="K891" s="107"/>
      <c r="L891" s="107"/>
      <c r="M891" s="14" t="s">
        <v>48</v>
      </c>
      <c r="N891" s="107">
        <f t="shared" si="11"/>
        <v>82.321</v>
      </c>
      <c r="O891" s="107"/>
      <c r="P891" s="107"/>
      <c r="Q891" s="107"/>
      <c r="R891" s="68" t="s">
        <v>171</v>
      </c>
      <c r="S891" s="14"/>
      <c r="T891" s="8">
        <v>2</v>
      </c>
      <c r="U891" s="62" t="s">
        <v>137</v>
      </c>
      <c r="V891" s="63">
        <f>(L884-L883)</f>
        <v>100.00000000000006</v>
      </c>
      <c r="W891" s="67"/>
      <c r="X891" s="24"/>
      <c r="Y891" s="64" t="s">
        <v>137</v>
      </c>
      <c r="Z891" s="24">
        <f>Z886</f>
        <v>12</v>
      </c>
      <c r="AA891" s="24"/>
      <c r="AB891" s="24"/>
      <c r="AC891" s="65" t="s">
        <v>47</v>
      </c>
      <c r="AD891" s="66">
        <v>2</v>
      </c>
      <c r="AE891" s="66"/>
      <c r="AF891" s="66"/>
      <c r="AG891" s="8" t="s">
        <v>34</v>
      </c>
      <c r="AH891" s="63">
        <f>ROUND(+(I891+N891)/T891*V891*Z891/AD891,1)</f>
        <v>53678.1</v>
      </c>
      <c r="AI891" s="63"/>
      <c r="AJ891" s="63"/>
      <c r="AK891" s="63"/>
      <c r="AL891" s="92" t="str">
        <f>IF(AH891&gt;+V837,"N/本  ＞  ρa   N.G.","N/本  ＜  ρa   O.K.")</f>
        <v>N/本  ＜  ρa   O.K.</v>
      </c>
      <c r="AM891" s="92"/>
      <c r="AN891" s="92"/>
      <c r="AO891" s="92"/>
      <c r="AP891" s="92"/>
      <c r="AQ891" s="92"/>
      <c r="AR891" s="92"/>
      <c r="AS891" s="92"/>
      <c r="AT891" s="92"/>
    </row>
    <row r="892" spans="4:25" ht="24.75" customHeight="1">
      <c r="D892" s="47"/>
      <c r="E892" s="47"/>
      <c r="F892" s="47"/>
      <c r="G892" s="47"/>
      <c r="H892" s="47"/>
      <c r="I892" s="47"/>
      <c r="J892" s="47"/>
      <c r="K892" s="47"/>
      <c r="L892" s="56"/>
      <c r="M892" s="56"/>
      <c r="N892" s="47"/>
      <c r="O892" s="47"/>
      <c r="P892" s="47"/>
      <c r="Q892" s="10"/>
      <c r="R892" s="55"/>
      <c r="S892" s="56"/>
      <c r="T892" s="56"/>
      <c r="U892" s="56"/>
      <c r="V892" s="57"/>
      <c r="W892" s="10"/>
      <c r="X892" s="10"/>
      <c r="Y892" s="10"/>
    </row>
    <row r="893" spans="3:47" ht="24.75" customHeight="1">
      <c r="C893" s="18" t="s">
        <v>9</v>
      </c>
      <c r="I893" s="23"/>
      <c r="AU893" s="23"/>
    </row>
    <row r="894" spans="4:47" ht="24.75" customHeight="1">
      <c r="D894" s="5" t="s">
        <v>26</v>
      </c>
      <c r="AU894" s="23"/>
    </row>
    <row r="895" spans="4:47" ht="24.75" customHeight="1">
      <c r="D895" s="5" t="s">
        <v>27</v>
      </c>
      <c r="AU895" s="23"/>
    </row>
    <row r="896" spans="5:47" ht="24.75" customHeight="1">
      <c r="E896" s="5" t="s">
        <v>125</v>
      </c>
      <c r="AU896" s="23"/>
    </row>
    <row r="897" ht="24.75" customHeight="1">
      <c r="D897" s="5" t="s">
        <v>7</v>
      </c>
    </row>
    <row r="898" spans="3:42" ht="24.75" customHeight="1">
      <c r="C898" s="106" t="s">
        <v>49</v>
      </c>
      <c r="D898" s="106"/>
      <c r="E898" s="106"/>
      <c r="G898" s="105">
        <f>ABS(O704)</f>
        <v>1707.04694356</v>
      </c>
      <c r="H898" s="105"/>
      <c r="I898" s="105"/>
      <c r="J898" s="19" t="s">
        <v>41</v>
      </c>
      <c r="K898" s="132">
        <v>1000</v>
      </c>
      <c r="L898" s="132"/>
      <c r="M898" s="132"/>
      <c r="N898" s="92" t="s">
        <v>48</v>
      </c>
      <c r="O898" s="92"/>
      <c r="P898" s="105">
        <f>ABS(O705)</f>
        <v>489.28399952</v>
      </c>
      <c r="Q898" s="105"/>
      <c r="R898" s="105"/>
      <c r="S898" s="19" t="s">
        <v>41</v>
      </c>
      <c r="T898" s="97">
        <v>100000</v>
      </c>
      <c r="U898" s="97"/>
      <c r="V898" s="97"/>
      <c r="W898" s="97"/>
      <c r="Y898" s="106" t="s">
        <v>47</v>
      </c>
      <c r="Z898" s="106"/>
      <c r="AA898" s="122">
        <v>44</v>
      </c>
      <c r="AB898" s="122"/>
      <c r="AC898" s="122"/>
      <c r="AD898" s="92" t="s">
        <v>34</v>
      </c>
      <c r="AE898" s="92"/>
      <c r="AF898" s="102">
        <f>ROUND((G898*K898/J899+P898*T898/(R899*T899))/AA898,1)</f>
        <v>19645.4</v>
      </c>
      <c r="AG898" s="102"/>
      <c r="AH898" s="102"/>
      <c r="AI898" s="102"/>
      <c r="AJ898" s="103" t="str">
        <f>IF(AF898&gt;+M826,"N/本   ＞ ρa","N/本  ＜  ρa")</f>
        <v>N/本  ＜  ρa</v>
      </c>
      <c r="AK898" s="103"/>
      <c r="AL898" s="103"/>
      <c r="AM898" s="103"/>
      <c r="AN898" s="103"/>
      <c r="AO898" s="103"/>
      <c r="AP898" s="103"/>
    </row>
    <row r="899" spans="3:42" ht="24.75" customHeight="1">
      <c r="C899" s="106"/>
      <c r="D899" s="106"/>
      <c r="E899" s="106"/>
      <c r="J899" s="8">
        <v>2</v>
      </c>
      <c r="N899" s="92"/>
      <c r="O899" s="92"/>
      <c r="R899" s="8">
        <v>2</v>
      </c>
      <c r="S899" s="14" t="s">
        <v>41</v>
      </c>
      <c r="T899" s="24">
        <f>(AG703+AN703)/2*1000</f>
        <v>2250</v>
      </c>
      <c r="U899" s="25"/>
      <c r="V899" s="25"/>
      <c r="Y899" s="106"/>
      <c r="Z899" s="106"/>
      <c r="AA899" s="122"/>
      <c r="AB899" s="122"/>
      <c r="AC899" s="122"/>
      <c r="AD899" s="92"/>
      <c r="AE899" s="92"/>
      <c r="AF899" s="102"/>
      <c r="AG899" s="102"/>
      <c r="AH899" s="102"/>
      <c r="AI899" s="102"/>
      <c r="AJ899" s="103"/>
      <c r="AK899" s="103"/>
      <c r="AL899" s="103"/>
      <c r="AM899" s="103"/>
      <c r="AN899" s="103"/>
      <c r="AO899" s="103"/>
      <c r="AP899" s="103"/>
    </row>
    <row r="901" spans="3:9" ht="24.75" customHeight="1">
      <c r="C901" s="5" t="s">
        <v>10</v>
      </c>
      <c r="I901" s="23"/>
    </row>
    <row r="902" spans="4:31" ht="24.75" customHeight="1">
      <c r="D902" s="5" t="s">
        <v>50</v>
      </c>
      <c r="P902" s="104">
        <f>ROUND(MAX(AH870:AH874,AH887:AH891),1)</f>
        <v>87962.1</v>
      </c>
      <c r="Q902" s="104"/>
      <c r="R902" s="104"/>
      <c r="S902" s="104"/>
      <c r="T902" s="5" t="s">
        <v>48</v>
      </c>
      <c r="U902" s="104">
        <f>+AF898</f>
        <v>19645.4</v>
      </c>
      <c r="V902" s="104"/>
      <c r="W902" s="104"/>
      <c r="X902" s="104"/>
      <c r="Y902" s="5" t="s">
        <v>33</v>
      </c>
      <c r="AA902" s="100">
        <f>ROUND(SQRT(P902^2+U902^2),1)</f>
        <v>90129.2</v>
      </c>
      <c r="AB902" s="100"/>
      <c r="AC902" s="100"/>
      <c r="AD902" s="100"/>
      <c r="AE902" s="5" t="str">
        <f>IF(AA902&gt;$AA$10,"N/本  ＞  ρa ,  N.G","N/本  ＜  ρa ,  O.K")</f>
        <v>N/本  ＜  ρa ,  O.K</v>
      </c>
    </row>
    <row r="903" spans="3:9" ht="24.75" customHeight="1">
      <c r="C903" s="18" t="s">
        <v>245</v>
      </c>
      <c r="I903" s="23"/>
    </row>
    <row r="904" ht="24.75" customHeight="1">
      <c r="D904" s="5" t="s">
        <v>25</v>
      </c>
    </row>
    <row r="905" spans="4:30" ht="24.75" customHeight="1">
      <c r="D905" s="92" t="s">
        <v>214</v>
      </c>
      <c r="E905" s="92"/>
      <c r="F905" s="92"/>
      <c r="G905" s="132">
        <f>+AM847</f>
        <v>12</v>
      </c>
      <c r="H905" s="132"/>
      <c r="I905" s="132"/>
      <c r="J905" s="19" t="s">
        <v>41</v>
      </c>
      <c r="K905" s="176">
        <f>IF(AG705=0,M907&amp;"³",M907)</f>
        <v>2205.1077071199948</v>
      </c>
      <c r="L905" s="176"/>
      <c r="M905" s="176"/>
      <c r="N905" s="103" t="str">
        <f>IF(AG705=0,""," × ( "&amp;ROUND(M907,1)&amp;"²cos²"&amp;ROUND(AG705,2)&amp;" + "&amp;ROUND(I907,1)&amp;"²sin²"&amp;ROUND(AG705,2)&amp;" )")</f>
        <v> × ( 2205.1²cos²3.9 + 12²sin²3.9 )</v>
      </c>
      <c r="O905" s="103"/>
      <c r="P905" s="103"/>
      <c r="Q905" s="103"/>
      <c r="R905" s="103"/>
      <c r="S905" s="103"/>
      <c r="T905" s="103"/>
      <c r="U905" s="103"/>
      <c r="V905" s="103"/>
      <c r="W905" s="103"/>
      <c r="X905" s="103"/>
      <c r="Y905" s="103"/>
      <c r="Z905" s="103"/>
      <c r="AA905" s="103"/>
      <c r="AB905" s="103"/>
      <c r="AC905" s="103"/>
      <c r="AD905" s="103"/>
    </row>
    <row r="906" spans="4:30" ht="24.75" customHeight="1">
      <c r="D906" s="92"/>
      <c r="E906" s="92"/>
      <c r="F906" s="92"/>
      <c r="I906" s="92">
        <v>12</v>
      </c>
      <c r="J906" s="92"/>
      <c r="K906" s="92"/>
      <c r="N906" s="103"/>
      <c r="O906" s="103"/>
      <c r="P906" s="103"/>
      <c r="Q906" s="103"/>
      <c r="R906" s="103"/>
      <c r="S906" s="103"/>
      <c r="T906" s="103"/>
      <c r="U906" s="103"/>
      <c r="V906" s="103"/>
      <c r="W906" s="103"/>
      <c r="X906" s="103"/>
      <c r="Y906" s="103"/>
      <c r="Z906" s="103"/>
      <c r="AA906" s="103"/>
      <c r="AB906" s="103"/>
      <c r="AC906" s="103"/>
      <c r="AD906" s="103"/>
    </row>
    <row r="907" spans="4:42" ht="24.75" customHeight="1">
      <c r="D907" s="8"/>
      <c r="E907" s="8"/>
      <c r="F907" s="8"/>
      <c r="G907" s="92" t="s">
        <v>48</v>
      </c>
      <c r="H907" s="92"/>
      <c r="I907" s="124">
        <f>+G905</f>
        <v>12</v>
      </c>
      <c r="J907" s="124"/>
      <c r="K907" s="92" t="s">
        <v>36</v>
      </c>
      <c r="L907" s="92"/>
      <c r="M907" s="100">
        <f>AM846/COS(RADIANS(AG705))</f>
        <v>2205.1077071199948</v>
      </c>
      <c r="N907" s="100"/>
      <c r="O907" s="100"/>
      <c r="P907" s="100"/>
      <c r="Q907" s="92" t="s">
        <v>37</v>
      </c>
      <c r="R907" s="92"/>
      <c r="S907" s="80">
        <f>AM846/2</f>
        <v>1100</v>
      </c>
      <c r="T907" s="80"/>
      <c r="U907" s="80"/>
      <c r="V907" s="80"/>
      <c r="W907" s="92" t="s">
        <v>46</v>
      </c>
      <c r="X907" s="80">
        <f>ROUND(Q926,2)</f>
        <v>1107.62</v>
      </c>
      <c r="Y907" s="80"/>
      <c r="Z907" s="80"/>
      <c r="AA907" s="80"/>
      <c r="AB907" s="92" t="s">
        <v>38</v>
      </c>
      <c r="AC907" s="92"/>
      <c r="AD907" s="92"/>
      <c r="AE907" s="90">
        <f>I907*M907/12*((M907*COS(RADIANS(AG705)))^2+(I907*SIN(RADIANS(AG705)))^2)+I907*M907*(S907-X907)^2</f>
        <v>10674259230.84815</v>
      </c>
      <c r="AF907" s="90"/>
      <c r="AG907" s="90"/>
      <c r="AH907" s="90"/>
      <c r="AI907" s="90"/>
      <c r="AJ907" s="90"/>
      <c r="AK907" s="92" t="s">
        <v>224</v>
      </c>
      <c r="AL907" s="92"/>
      <c r="AM907" s="28"/>
      <c r="AN907" s="28"/>
      <c r="AO907" s="8"/>
      <c r="AP907" s="8"/>
    </row>
    <row r="908" spans="4:42" ht="24.75" customHeight="1">
      <c r="D908" s="8"/>
      <c r="E908" s="8"/>
      <c r="F908" s="8"/>
      <c r="G908" s="92"/>
      <c r="H908" s="92"/>
      <c r="I908" s="124"/>
      <c r="J908" s="124"/>
      <c r="K908" s="92"/>
      <c r="L908" s="92"/>
      <c r="M908" s="100"/>
      <c r="N908" s="100"/>
      <c r="O908" s="100"/>
      <c r="P908" s="100"/>
      <c r="Q908" s="92"/>
      <c r="R908" s="92"/>
      <c r="S908" s="80"/>
      <c r="T908" s="80"/>
      <c r="U908" s="80"/>
      <c r="V908" s="80"/>
      <c r="W908" s="92"/>
      <c r="X908" s="80"/>
      <c r="Y908" s="80"/>
      <c r="Z908" s="80"/>
      <c r="AA908" s="80"/>
      <c r="AB908" s="92"/>
      <c r="AC908" s="92"/>
      <c r="AD908" s="92"/>
      <c r="AE908" s="90"/>
      <c r="AF908" s="90"/>
      <c r="AG908" s="90"/>
      <c r="AH908" s="90"/>
      <c r="AI908" s="90"/>
      <c r="AJ908" s="90"/>
      <c r="AK908" s="92"/>
      <c r="AL908" s="92"/>
      <c r="AM908" s="28"/>
      <c r="AN908" s="28"/>
      <c r="AO908" s="8"/>
      <c r="AP908" s="8"/>
    </row>
    <row r="909" spans="4:42" ht="24.75" customHeight="1">
      <c r="D909" s="8"/>
      <c r="E909" s="8"/>
      <c r="F909" s="8"/>
      <c r="I909" s="8"/>
      <c r="J909" s="8"/>
      <c r="K909" s="8"/>
      <c r="N909" s="8"/>
      <c r="O909" s="8"/>
      <c r="P909" s="9"/>
      <c r="W909" s="8"/>
      <c r="AK909" s="7"/>
      <c r="AL909" s="7"/>
      <c r="AM909" s="7"/>
      <c r="AN909" s="7"/>
      <c r="AO909" s="8"/>
      <c r="AP909" s="8"/>
    </row>
    <row r="910" spans="4:23" ht="24.75" customHeight="1">
      <c r="D910" s="5" t="s">
        <v>28</v>
      </c>
      <c r="W910" s="8"/>
    </row>
    <row r="911" spans="4:33" ht="24.75" customHeight="1">
      <c r="D911" s="92" t="s">
        <v>215</v>
      </c>
      <c r="E911" s="92"/>
      <c r="F911" s="92"/>
      <c r="G911" s="92"/>
      <c r="H911" s="97" t="s">
        <v>209</v>
      </c>
      <c r="I911" s="97"/>
      <c r="J911" s="97"/>
      <c r="K911" s="92" t="s">
        <v>34</v>
      </c>
      <c r="L911" s="92"/>
      <c r="M911" s="100">
        <f>AA913</f>
        <v>5645.98087424</v>
      </c>
      <c r="N911" s="100"/>
      <c r="O911" s="100"/>
      <c r="P911" s="100"/>
      <c r="Q911" s="92" t="s">
        <v>41</v>
      </c>
      <c r="R911" s="92"/>
      <c r="S911" s="101">
        <f>+AE907</f>
        <v>10674259230.84815</v>
      </c>
      <c r="T911" s="101"/>
      <c r="U911" s="101"/>
      <c r="V911" s="101"/>
      <c r="W911" s="101"/>
      <c r="X911" s="101"/>
      <c r="Y911" s="92" t="s">
        <v>34</v>
      </c>
      <c r="Z911" s="92"/>
      <c r="AA911" s="89">
        <f>+M911*S911/S912</f>
        <v>414.0786529437725</v>
      </c>
      <c r="AB911" s="89"/>
      <c r="AC911" s="89"/>
      <c r="AD911" s="89"/>
      <c r="AE911" s="92" t="s">
        <v>103</v>
      </c>
      <c r="AF911" s="92"/>
      <c r="AG911" s="18"/>
    </row>
    <row r="912" spans="4:33" ht="24.75" customHeight="1">
      <c r="D912" s="92"/>
      <c r="E912" s="92"/>
      <c r="F912" s="92"/>
      <c r="G912" s="92"/>
      <c r="H912" s="92" t="s">
        <v>51</v>
      </c>
      <c r="I912" s="92"/>
      <c r="J912" s="92"/>
      <c r="K912" s="92"/>
      <c r="L912" s="92"/>
      <c r="M912" s="100"/>
      <c r="N912" s="100"/>
      <c r="O912" s="100"/>
      <c r="P912" s="100"/>
      <c r="Q912" s="92"/>
      <c r="R912" s="92"/>
      <c r="S912" s="99">
        <f>+U914</f>
        <v>145544000000</v>
      </c>
      <c r="T912" s="99"/>
      <c r="U912" s="99"/>
      <c r="V912" s="99"/>
      <c r="W912" s="99"/>
      <c r="X912" s="99"/>
      <c r="Y912" s="92"/>
      <c r="Z912" s="92"/>
      <c r="AA912" s="89"/>
      <c r="AB912" s="89"/>
      <c r="AC912" s="89"/>
      <c r="AD912" s="89"/>
      <c r="AE912" s="92"/>
      <c r="AF912" s="92"/>
      <c r="AG912" s="18"/>
    </row>
    <row r="913" spans="4:31" ht="24.75" customHeight="1">
      <c r="D913" s="5" t="s">
        <v>216</v>
      </c>
      <c r="I913" s="23"/>
      <c r="AA913" s="89">
        <f>ABS(O703)</f>
        <v>5645.98087424</v>
      </c>
      <c r="AB913" s="89"/>
      <c r="AC913" s="89"/>
      <c r="AD913" s="89"/>
      <c r="AE913" s="5" t="s">
        <v>111</v>
      </c>
    </row>
    <row r="914" spans="4:31" ht="24.75" customHeight="1">
      <c r="D914" s="5" t="s">
        <v>52</v>
      </c>
      <c r="G914" s="5" t="s">
        <v>29</v>
      </c>
      <c r="I914" s="23"/>
      <c r="S914" s="5" t="s">
        <v>53</v>
      </c>
      <c r="U914" s="99">
        <v>145544000000</v>
      </c>
      <c r="V914" s="99"/>
      <c r="W914" s="99"/>
      <c r="X914" s="99"/>
      <c r="Y914" s="99"/>
      <c r="Z914" s="99"/>
      <c r="AA914" s="5" t="s">
        <v>224</v>
      </c>
      <c r="AB914" s="8"/>
      <c r="AC914" s="8"/>
      <c r="AD914" s="41"/>
      <c r="AE914" s="41"/>
    </row>
    <row r="915" spans="9:35" ht="24.75" customHeight="1">
      <c r="I915" s="23"/>
      <c r="T915" s="22"/>
      <c r="U915" s="22"/>
      <c r="V915" s="22"/>
      <c r="W915" s="22"/>
      <c r="X915" s="22"/>
      <c r="AA915" s="69"/>
      <c r="AB915" s="8"/>
      <c r="AC915" s="8"/>
      <c r="AD915" s="41"/>
      <c r="AE915" s="41"/>
      <c r="AF915" s="41"/>
      <c r="AG915" s="41"/>
      <c r="AH915" s="8"/>
      <c r="AI915" s="8"/>
    </row>
    <row r="916" spans="4:35" ht="24.75" customHeight="1">
      <c r="D916" s="97" t="s">
        <v>246</v>
      </c>
      <c r="E916" s="97"/>
      <c r="F916" s="97"/>
      <c r="G916" s="97"/>
      <c r="H916" s="97"/>
      <c r="I916" s="97"/>
      <c r="J916" s="97"/>
      <c r="K916" s="97"/>
      <c r="L916" s="97"/>
      <c r="M916" s="97"/>
      <c r="N916" s="41"/>
      <c r="O916" s="41"/>
      <c r="P916" s="41"/>
      <c r="Q916" s="8"/>
      <c r="R916" s="8"/>
      <c r="S916" s="22"/>
      <c r="T916" s="22"/>
      <c r="U916" s="22"/>
      <c r="V916" s="22"/>
      <c r="W916" s="22"/>
      <c r="X916" s="8"/>
      <c r="Y916" s="8"/>
      <c r="Z916" s="69"/>
      <c r="AA916" s="69"/>
      <c r="AB916" s="8"/>
      <c r="AC916" s="8"/>
      <c r="AD916" s="41"/>
      <c r="AE916" s="41"/>
      <c r="AF916" s="41"/>
      <c r="AG916" s="41"/>
      <c r="AH916" s="8"/>
      <c r="AI916" s="8"/>
    </row>
    <row r="917" spans="4:42" ht="24.75" customHeight="1" thickBot="1">
      <c r="D917" s="77"/>
      <c r="E917" s="75"/>
      <c r="F917" s="75"/>
      <c r="G917" s="75"/>
      <c r="H917" s="75"/>
      <c r="I917" s="75"/>
      <c r="J917" s="75"/>
      <c r="K917" s="75"/>
      <c r="L917" s="75"/>
      <c r="M917" s="74" t="s">
        <v>230</v>
      </c>
      <c r="N917" s="74"/>
      <c r="O917" s="74"/>
      <c r="P917" s="74"/>
      <c r="Q917" s="74"/>
      <c r="R917" s="74"/>
      <c r="S917" s="73" t="s">
        <v>104</v>
      </c>
      <c r="T917" s="73"/>
      <c r="U917" s="73"/>
      <c r="V917" s="73"/>
      <c r="W917" s="73"/>
      <c r="X917" s="73"/>
      <c r="Y917" s="74" t="s">
        <v>231</v>
      </c>
      <c r="Z917" s="74"/>
      <c r="AA917" s="74"/>
      <c r="AB917" s="74"/>
      <c r="AC917" s="74"/>
      <c r="AD917" s="74"/>
      <c r="AE917" s="74" t="s">
        <v>232</v>
      </c>
      <c r="AF917" s="74"/>
      <c r="AG917" s="74"/>
      <c r="AH917" s="74"/>
      <c r="AI917" s="74"/>
      <c r="AJ917" s="74"/>
      <c r="AK917" s="75" t="s">
        <v>233</v>
      </c>
      <c r="AL917" s="75"/>
      <c r="AM917" s="75"/>
      <c r="AN917" s="75"/>
      <c r="AO917" s="75"/>
      <c r="AP917" s="76"/>
    </row>
    <row r="918" spans="4:42" ht="24.75" customHeight="1" thickBot="1" thickTop="1">
      <c r="D918" s="177">
        <v>2</v>
      </c>
      <c r="E918" s="178"/>
      <c r="F918" s="178"/>
      <c r="G918" s="179">
        <v>2180</v>
      </c>
      <c r="H918" s="179"/>
      <c r="I918" s="179"/>
      <c r="J918" s="179"/>
      <c r="K918" s="180">
        <v>9</v>
      </c>
      <c r="L918" s="181"/>
      <c r="M918" s="73">
        <f>+G918*K918*D918</f>
        <v>39240</v>
      </c>
      <c r="N918" s="73"/>
      <c r="O918" s="73"/>
      <c r="P918" s="73"/>
      <c r="Q918" s="73"/>
      <c r="R918" s="73"/>
      <c r="S918" s="78" t="s">
        <v>55</v>
      </c>
      <c r="T918" s="78"/>
      <c r="U918" s="78"/>
      <c r="V918" s="78"/>
      <c r="W918" s="78"/>
      <c r="X918" s="78"/>
      <c r="Y918" s="79" t="s">
        <v>55</v>
      </c>
      <c r="Z918" s="79"/>
      <c r="AA918" s="79"/>
      <c r="AB918" s="79"/>
      <c r="AC918" s="79"/>
      <c r="AD918" s="79"/>
      <c r="AE918" s="79" t="s">
        <v>55</v>
      </c>
      <c r="AF918" s="79"/>
      <c r="AG918" s="79"/>
      <c r="AH918" s="79"/>
      <c r="AI918" s="79"/>
      <c r="AJ918" s="79"/>
      <c r="AK918" s="182">
        <f>K918*G918/12*((G918*COS(RADIANS(AG705)))^2+(K918*SIN(RADIANS(AG705)))^2)*D918</f>
        <v>15468440160.32391</v>
      </c>
      <c r="AL918" s="182"/>
      <c r="AM918" s="182"/>
      <c r="AN918" s="182"/>
      <c r="AO918" s="182"/>
      <c r="AP918" s="183"/>
    </row>
    <row r="919" spans="4:42" ht="24.75" customHeight="1" thickTop="1">
      <c r="D919" s="86" t="s">
        <v>56</v>
      </c>
      <c r="E919" s="97"/>
      <c r="F919" s="97"/>
      <c r="G919" s="97"/>
      <c r="H919" s="97"/>
      <c r="I919" s="97"/>
      <c r="J919" s="97"/>
      <c r="K919" s="97"/>
      <c r="L919" s="97"/>
      <c r="M919" s="87">
        <f>SUM(M918:R918)</f>
        <v>39240</v>
      </c>
      <c r="N919" s="87"/>
      <c r="O919" s="87"/>
      <c r="P919" s="87"/>
      <c r="Q919" s="87"/>
      <c r="R919" s="87"/>
      <c r="S919" s="88"/>
      <c r="T919" s="88"/>
      <c r="U919" s="88"/>
      <c r="V919" s="88"/>
      <c r="W919" s="88"/>
      <c r="X919" s="88"/>
      <c r="Y919" s="81"/>
      <c r="Z919" s="81"/>
      <c r="AA919" s="81"/>
      <c r="AB919" s="81"/>
      <c r="AC919" s="81"/>
      <c r="AD919" s="81"/>
      <c r="AE919" s="81">
        <f>SUM(AE918:AJ918)</f>
        <v>0</v>
      </c>
      <c r="AF919" s="81"/>
      <c r="AG919" s="81"/>
      <c r="AH919" s="81"/>
      <c r="AI919" s="81"/>
      <c r="AJ919" s="81"/>
      <c r="AK919" s="82">
        <f>SUM(AK918:AP918)</f>
        <v>15468440160.32391</v>
      </c>
      <c r="AL919" s="82"/>
      <c r="AM919" s="82"/>
      <c r="AN919" s="82"/>
      <c r="AO919" s="82"/>
      <c r="AP919" s="83"/>
    </row>
    <row r="920" spans="4:31" ht="24.75" customHeight="1">
      <c r="D920" s="5" t="s">
        <v>39</v>
      </c>
      <c r="K920" s="84">
        <f>+AK919</f>
        <v>15468440160.32391</v>
      </c>
      <c r="L920" s="84"/>
      <c r="M920" s="84"/>
      <c r="N920" s="84"/>
      <c r="O920" s="84"/>
      <c r="P920" s="84"/>
      <c r="Q920" s="5" t="s">
        <v>48</v>
      </c>
      <c r="R920" s="85">
        <f>+AE919</f>
        <v>0</v>
      </c>
      <c r="S920" s="85"/>
      <c r="T920" s="85"/>
      <c r="U920" s="85"/>
      <c r="V920" s="85"/>
      <c r="W920" s="85"/>
      <c r="X920" s="5" t="s">
        <v>89</v>
      </c>
      <c r="Y920" s="84">
        <f>+K920+R920</f>
        <v>15468440160.32391</v>
      </c>
      <c r="Z920" s="84"/>
      <c r="AA920" s="84"/>
      <c r="AB920" s="84"/>
      <c r="AC920" s="84"/>
      <c r="AD920" s="84"/>
      <c r="AE920" s="5" t="s">
        <v>224</v>
      </c>
    </row>
    <row r="921" spans="4:37" ht="24.75" customHeight="1">
      <c r="D921" s="5" t="s">
        <v>57</v>
      </c>
      <c r="G921" s="90">
        <f>+Y920</f>
        <v>15468440160.32391</v>
      </c>
      <c r="H921" s="90"/>
      <c r="I921" s="90"/>
      <c r="J921" s="90"/>
      <c r="K921" s="90"/>
      <c r="L921" s="90"/>
      <c r="M921" s="5" t="s">
        <v>48</v>
      </c>
      <c r="N921" s="80">
        <f>+M919</f>
        <v>39240</v>
      </c>
      <c r="O921" s="80"/>
      <c r="P921" s="80"/>
      <c r="Q921" s="80"/>
      <c r="R921" s="5" t="s">
        <v>37</v>
      </c>
      <c r="T921" s="80">
        <f>AM846/2</f>
        <v>1100</v>
      </c>
      <c r="U921" s="80"/>
      <c r="V921" s="80"/>
      <c r="W921" s="80"/>
      <c r="X921" s="5" t="s">
        <v>46</v>
      </c>
      <c r="Y921" s="80">
        <f>ROUND(Q926,2)</f>
        <v>1107.62</v>
      </c>
      <c r="Z921" s="80"/>
      <c r="AA921" s="80"/>
      <c r="AB921" s="80"/>
      <c r="AC921" s="5" t="s">
        <v>38</v>
      </c>
      <c r="AE921" s="99">
        <f>+G921+N921*(T921-Y921)^2</f>
        <v>15470718607.37991</v>
      </c>
      <c r="AF921" s="99"/>
      <c r="AG921" s="99"/>
      <c r="AH921" s="99"/>
      <c r="AI921" s="99"/>
      <c r="AJ921" s="99"/>
      <c r="AK921" s="5" t="s">
        <v>224</v>
      </c>
    </row>
    <row r="922" spans="4:34" ht="24.75" customHeight="1">
      <c r="D922" s="5" t="s">
        <v>58</v>
      </c>
      <c r="G922" s="5" t="s">
        <v>234</v>
      </c>
      <c r="AD922" s="6"/>
      <c r="AE922" s="6"/>
      <c r="AF922" s="6"/>
      <c r="AG922" s="6"/>
      <c r="AH922" s="6"/>
    </row>
    <row r="923" spans="7:34" ht="24.75" customHeight="1">
      <c r="G923" s="22"/>
      <c r="H923" s="22"/>
      <c r="I923" s="22"/>
      <c r="J923" s="22"/>
      <c r="K923" s="22"/>
      <c r="M923" s="41"/>
      <c r="N923" s="41"/>
      <c r="O923" s="41"/>
      <c r="P923" s="41"/>
      <c r="S923" s="41"/>
      <c r="T923" s="41"/>
      <c r="U923" s="41"/>
      <c r="V923" s="41"/>
      <c r="X923" s="41"/>
      <c r="Y923" s="41"/>
      <c r="Z923" s="41"/>
      <c r="AA923" s="41"/>
      <c r="AD923" s="6"/>
      <c r="AE923" s="6"/>
      <c r="AF923" s="6"/>
      <c r="AG923" s="6"/>
      <c r="AH923" s="6"/>
    </row>
    <row r="924" spans="4:29" ht="24.75" customHeight="1">
      <c r="D924" s="5" t="s">
        <v>235</v>
      </c>
      <c r="I924" s="8"/>
      <c r="J924" s="8"/>
      <c r="K924" s="8"/>
      <c r="L924" s="8"/>
      <c r="M924" s="41"/>
      <c r="N924" s="41"/>
      <c r="O924" s="41"/>
      <c r="P924" s="41"/>
      <c r="Q924" s="8"/>
      <c r="R924" s="8"/>
      <c r="S924" s="22"/>
      <c r="T924" s="22"/>
      <c r="U924" s="22"/>
      <c r="V924" s="22"/>
      <c r="W924" s="22"/>
      <c r="X924" s="8"/>
      <c r="Y924" s="8"/>
      <c r="Z924" s="69"/>
      <c r="AA924" s="69"/>
      <c r="AB924" s="8"/>
      <c r="AC924" s="8"/>
    </row>
    <row r="925" spans="4:9" ht="24.75" customHeight="1">
      <c r="D925" s="5" t="s">
        <v>236</v>
      </c>
      <c r="I925" s="23"/>
    </row>
    <row r="926" spans="5:21" ht="24.75" customHeight="1">
      <c r="E926" s="5" t="s">
        <v>59</v>
      </c>
      <c r="H926" s="150">
        <v>-1134.375935823</v>
      </c>
      <c r="I926" s="150"/>
      <c r="J926" s="150"/>
      <c r="K926" s="150"/>
      <c r="L926" s="70" t="s">
        <v>102</v>
      </c>
      <c r="N926" s="70" t="s">
        <v>60</v>
      </c>
      <c r="Q926" s="89">
        <f>(AM846+AM718+AM773)+H926</f>
        <v>1107.624064177</v>
      </c>
      <c r="R926" s="89"/>
      <c r="S926" s="89"/>
      <c r="T926" s="89"/>
      <c r="U926" s="70" t="s">
        <v>102</v>
      </c>
    </row>
    <row r="927" spans="4:15" ht="24.75" customHeight="1">
      <c r="D927" s="5" t="s">
        <v>237</v>
      </c>
      <c r="G927" s="23"/>
      <c r="O927" s="5" t="s">
        <v>238</v>
      </c>
    </row>
    <row r="928" spans="4:45" ht="24.75" customHeight="1">
      <c r="D928" s="92" t="s">
        <v>123</v>
      </c>
      <c r="E928" s="92"/>
      <c r="F928" s="92"/>
      <c r="G928" s="97" t="s">
        <v>114</v>
      </c>
      <c r="H928" s="97"/>
      <c r="I928" s="97"/>
      <c r="J928" s="92" t="s">
        <v>61</v>
      </c>
      <c r="K928" s="92"/>
      <c r="L928" s="92"/>
      <c r="M928" s="92" t="s">
        <v>34</v>
      </c>
      <c r="N928" s="98">
        <f>+AA911</f>
        <v>414.0786529437725</v>
      </c>
      <c r="O928" s="98"/>
      <c r="P928" s="98"/>
      <c r="Q928" s="98"/>
      <c r="R928" s="98"/>
      <c r="S928" s="19" t="s">
        <v>41</v>
      </c>
      <c r="T928" s="97">
        <f>10^6</f>
        <v>1000000</v>
      </c>
      <c r="U928" s="97"/>
      <c r="V928" s="97"/>
      <c r="W928" s="95" t="s">
        <v>41</v>
      </c>
      <c r="X928" s="95"/>
      <c r="Y928" s="96">
        <f>+H926</f>
        <v>-1134.375935823</v>
      </c>
      <c r="Z928" s="96"/>
      <c r="AA928" s="96"/>
      <c r="AB928" s="96"/>
      <c r="AC928" s="96"/>
      <c r="AD928" s="92" t="s">
        <v>34</v>
      </c>
      <c r="AE928" s="96">
        <f>+N928*T928/O929*Y928</f>
        <v>-30.3619289677566</v>
      </c>
      <c r="AF928" s="96"/>
      <c r="AG928" s="96"/>
      <c r="AH928" s="96"/>
      <c r="AI928" s="96"/>
      <c r="AJ928" s="92" t="str">
        <f>IF(O703&gt;0,IF(ABS(AE928)&gt;Z708,"N/㎟  ＞   σca ,    N.G","N/㎟  ＜   σca ,    O.K"),IF(ABS(AE928)&gt;O708,"N/㎟  ＞   σta ,    N.G","N/㎟  ＜   σta ,    O.K"))</f>
        <v>N/㎟  ＜   σta ,    O.K</v>
      </c>
      <c r="AK928" s="92"/>
      <c r="AL928" s="92"/>
      <c r="AM928" s="92"/>
      <c r="AN928" s="92"/>
      <c r="AO928" s="92"/>
      <c r="AP928" s="92"/>
      <c r="AQ928" s="92"/>
      <c r="AR928" s="92"/>
      <c r="AS928" s="92"/>
    </row>
    <row r="929" spans="4:45" ht="24.75" customHeight="1">
      <c r="D929" s="92"/>
      <c r="E929" s="92"/>
      <c r="F929" s="92"/>
      <c r="G929" s="93" t="s">
        <v>62</v>
      </c>
      <c r="H929" s="93"/>
      <c r="I929" s="93"/>
      <c r="J929" s="92"/>
      <c r="K929" s="92"/>
      <c r="L929" s="92"/>
      <c r="M929" s="92"/>
      <c r="O929" s="94">
        <f>+AE921</f>
        <v>15470718607.37991</v>
      </c>
      <c r="P929" s="94"/>
      <c r="Q929" s="94"/>
      <c r="R929" s="94"/>
      <c r="S929" s="94"/>
      <c r="T929" s="94"/>
      <c r="U929" s="94"/>
      <c r="W929" s="95"/>
      <c r="X929" s="95"/>
      <c r="Y929" s="96"/>
      <c r="Z929" s="96"/>
      <c r="AA929" s="96"/>
      <c r="AB929" s="96"/>
      <c r="AC929" s="96"/>
      <c r="AD929" s="92"/>
      <c r="AE929" s="96"/>
      <c r="AF929" s="96"/>
      <c r="AG929" s="96"/>
      <c r="AH929" s="96"/>
      <c r="AI929" s="96"/>
      <c r="AJ929" s="92"/>
      <c r="AK929" s="92"/>
      <c r="AL929" s="92"/>
      <c r="AM929" s="92"/>
      <c r="AN929" s="92"/>
      <c r="AO929" s="92"/>
      <c r="AP929" s="92"/>
      <c r="AQ929" s="92"/>
      <c r="AR929" s="92"/>
      <c r="AS929" s="92"/>
    </row>
    <row r="930" spans="4:45" ht="24.75" customHeight="1">
      <c r="D930" s="92" t="s">
        <v>124</v>
      </c>
      <c r="E930" s="92"/>
      <c r="F930" s="92"/>
      <c r="G930" s="97" t="s">
        <v>114</v>
      </c>
      <c r="H930" s="97"/>
      <c r="I930" s="97"/>
      <c r="J930" s="92" t="s">
        <v>63</v>
      </c>
      <c r="K930" s="92"/>
      <c r="L930" s="92"/>
      <c r="M930" s="92" t="s">
        <v>34</v>
      </c>
      <c r="N930" s="98">
        <f>+N928</f>
        <v>414.0786529437725</v>
      </c>
      <c r="O930" s="98"/>
      <c r="P930" s="98"/>
      <c r="Q930" s="98"/>
      <c r="R930" s="98"/>
      <c r="S930" s="19" t="s">
        <v>41</v>
      </c>
      <c r="T930" s="97">
        <f>10^6</f>
        <v>1000000</v>
      </c>
      <c r="U930" s="97"/>
      <c r="V930" s="97"/>
      <c r="W930" s="95" t="s">
        <v>41</v>
      </c>
      <c r="X930" s="95"/>
      <c r="Y930" s="96">
        <f>+Q926</f>
        <v>1107.624064177</v>
      </c>
      <c r="Z930" s="96"/>
      <c r="AA930" s="96"/>
      <c r="AB930" s="96"/>
      <c r="AC930" s="96"/>
      <c r="AD930" s="92" t="s">
        <v>34</v>
      </c>
      <c r="AE930" s="96">
        <f>+N930*T930/O931*Y930</f>
        <v>29.645906702985</v>
      </c>
      <c r="AF930" s="96"/>
      <c r="AG930" s="96"/>
      <c r="AH930" s="96"/>
      <c r="AI930" s="96"/>
      <c r="AJ930" s="92" t="str">
        <f>IF(O703&gt;0,IF(ABS(AE930)&gt;O708,"N/㎟  ＞   σta ,    N.G","N/㎟  ＜   σta ,    O.K"),IF(ABS(AE930)&gt;Z708,"N/㎟  ＞   σca ,    N.G","N/㎟  ＜   σca ,    O.K"))</f>
        <v>N/㎟  ＜   σca ,    O.K</v>
      </c>
      <c r="AK930" s="92"/>
      <c r="AL930" s="92"/>
      <c r="AM930" s="92"/>
      <c r="AN930" s="92"/>
      <c r="AO930" s="92"/>
      <c r="AP930" s="92"/>
      <c r="AQ930" s="92"/>
      <c r="AR930" s="92"/>
      <c r="AS930" s="92"/>
    </row>
    <row r="931" spans="4:45" ht="24.75" customHeight="1">
      <c r="D931" s="92"/>
      <c r="E931" s="92"/>
      <c r="F931" s="92"/>
      <c r="G931" s="93" t="s">
        <v>62</v>
      </c>
      <c r="H931" s="93"/>
      <c r="I931" s="93"/>
      <c r="J931" s="92"/>
      <c r="K931" s="92"/>
      <c r="L931" s="92"/>
      <c r="M931" s="92"/>
      <c r="O931" s="94">
        <f>+O929</f>
        <v>15470718607.37991</v>
      </c>
      <c r="P931" s="94"/>
      <c r="Q931" s="94"/>
      <c r="R931" s="94"/>
      <c r="S931" s="94"/>
      <c r="T931" s="94"/>
      <c r="U931" s="94"/>
      <c r="W931" s="95"/>
      <c r="X931" s="95"/>
      <c r="Y931" s="96"/>
      <c r="Z931" s="96"/>
      <c r="AA931" s="96"/>
      <c r="AB931" s="96"/>
      <c r="AC931" s="96"/>
      <c r="AD931" s="92"/>
      <c r="AE931" s="96"/>
      <c r="AF931" s="96"/>
      <c r="AG931" s="96"/>
      <c r="AH931" s="96"/>
      <c r="AI931" s="96"/>
      <c r="AJ931" s="92"/>
      <c r="AK931" s="92"/>
      <c r="AL931" s="92"/>
      <c r="AM931" s="92"/>
      <c r="AN931" s="92"/>
      <c r="AO931" s="92"/>
      <c r="AP931" s="92"/>
      <c r="AQ931" s="92"/>
      <c r="AR931" s="92"/>
      <c r="AS931" s="92"/>
    </row>
    <row r="932" spans="4:32" ht="24.75" customHeight="1">
      <c r="D932" s="8"/>
      <c r="E932" s="8"/>
      <c r="G932" s="53"/>
      <c r="H932" s="53"/>
      <c r="I932" s="53"/>
      <c r="J932" s="53"/>
      <c r="K932" s="53"/>
      <c r="M932" s="53"/>
      <c r="N932" s="53"/>
      <c r="O932" s="53"/>
      <c r="P932" s="53"/>
      <c r="Q932" s="53"/>
      <c r="S932" s="53"/>
      <c r="T932" s="53"/>
      <c r="U932" s="53"/>
      <c r="V932" s="53"/>
      <c r="W932" s="53"/>
      <c r="X932" s="25"/>
      <c r="Y932" s="25"/>
      <c r="Z932" s="25"/>
      <c r="AA932" s="25"/>
      <c r="AB932" s="25"/>
      <c r="AC932" s="25"/>
      <c r="AD932" s="25"/>
      <c r="AE932" s="25"/>
      <c r="AF932" s="25"/>
    </row>
    <row r="935" spans="1:2" ht="24.75" customHeight="1">
      <c r="A935" s="4"/>
      <c r="B935" s="145" t="s">
        <v>271</v>
      </c>
    </row>
    <row r="936" spans="3:43" ht="24.75" customHeight="1">
      <c r="C936" s="5" t="s">
        <v>207</v>
      </c>
      <c r="O936" s="146">
        <v>5635.88545608</v>
      </c>
      <c r="P936" s="146"/>
      <c r="Q936" s="146"/>
      <c r="R936" s="146"/>
      <c r="S936" s="146"/>
      <c r="T936" s="5" t="s">
        <v>111</v>
      </c>
      <c r="Z936" s="5" t="s">
        <v>12</v>
      </c>
      <c r="AE936" s="5" t="s">
        <v>105</v>
      </c>
      <c r="AG936" s="146">
        <v>2.4</v>
      </c>
      <c r="AH936" s="146"/>
      <c r="AI936" s="146"/>
      <c r="AJ936" s="5" t="s">
        <v>106</v>
      </c>
      <c r="AL936" s="5" t="s">
        <v>107</v>
      </c>
      <c r="AN936" s="146">
        <v>2.1</v>
      </c>
      <c r="AO936" s="146"/>
      <c r="AP936" s="146"/>
      <c r="AQ936" s="5" t="s">
        <v>106</v>
      </c>
    </row>
    <row r="937" spans="3:36" ht="24.75" customHeight="1">
      <c r="C937" s="5" t="s">
        <v>208</v>
      </c>
      <c r="O937" s="146">
        <v>1189.7727808</v>
      </c>
      <c r="P937" s="146"/>
      <c r="Q937" s="146"/>
      <c r="R937" s="146"/>
      <c r="S937" s="146"/>
      <c r="T937" s="5" t="s">
        <v>112</v>
      </c>
      <c r="Z937" s="5" t="s">
        <v>13</v>
      </c>
      <c r="AE937" s="5" t="s">
        <v>108</v>
      </c>
      <c r="AG937" s="146">
        <v>2.2</v>
      </c>
      <c r="AH937" s="146"/>
      <c r="AI937" s="146"/>
      <c r="AJ937" s="5" t="s">
        <v>106</v>
      </c>
    </row>
    <row r="938" spans="3:36" ht="24.75" customHeight="1">
      <c r="C938" s="5" t="s">
        <v>174</v>
      </c>
      <c r="J938" s="53"/>
      <c r="K938" s="53"/>
      <c r="L938" s="53"/>
      <c r="M938" s="53"/>
      <c r="N938" s="53"/>
      <c r="O938" s="146">
        <v>344.42750016</v>
      </c>
      <c r="P938" s="146"/>
      <c r="Q938" s="146"/>
      <c r="R938" s="146"/>
      <c r="S938" s="146"/>
      <c r="T938" s="5" t="s">
        <v>111</v>
      </c>
      <c r="Z938" s="5" t="s">
        <v>14</v>
      </c>
      <c r="AE938" s="147" t="s">
        <v>109</v>
      </c>
      <c r="AF938" s="147"/>
      <c r="AG938" s="148">
        <f>DEGREES(ATAN((AG936-AN936)/2/AG937))</f>
        <v>3.900493742381888</v>
      </c>
      <c r="AH938" s="148"/>
      <c r="AI938" s="148"/>
      <c r="AJ938" s="149" t="s">
        <v>110</v>
      </c>
    </row>
    <row r="939" spans="3:28" ht="24.75" customHeight="1">
      <c r="C939" s="5" t="s">
        <v>175</v>
      </c>
      <c r="O939" s="150">
        <v>-35.417099384</v>
      </c>
      <c r="P939" s="150"/>
      <c r="Q939" s="150"/>
      <c r="R939" s="150"/>
      <c r="S939" s="150"/>
      <c r="T939" s="5" t="s">
        <v>218</v>
      </c>
      <c r="AB939" s="151" t="s">
        <v>11</v>
      </c>
    </row>
    <row r="940" spans="3:47" ht="24.75" customHeight="1">
      <c r="C940" s="5" t="s">
        <v>176</v>
      </c>
      <c r="O940" s="150">
        <v>37.983402917</v>
      </c>
      <c r="P940" s="150"/>
      <c r="Q940" s="150"/>
      <c r="R940" s="150"/>
      <c r="S940" s="150"/>
      <c r="T940" s="5" t="s">
        <v>218</v>
      </c>
      <c r="AU940" s="152"/>
    </row>
    <row r="941" spans="3:85" ht="24.75" customHeight="1">
      <c r="C941" s="5" t="s">
        <v>177</v>
      </c>
      <c r="F941" s="153" t="s">
        <v>266</v>
      </c>
      <c r="G941" s="153"/>
      <c r="H941" s="153"/>
      <c r="I941" s="153"/>
      <c r="J941" s="145" t="s">
        <v>257</v>
      </c>
      <c r="L941" s="5" t="s">
        <v>148</v>
      </c>
      <c r="O941" s="102">
        <f>HLOOKUP(F941,AX942:CJ945,AU942,FALSE)</f>
        <v>210</v>
      </c>
      <c r="P941" s="102"/>
      <c r="Q941" s="102"/>
      <c r="R941" s="102"/>
      <c r="S941" s="5" t="s">
        <v>218</v>
      </c>
      <c r="W941" s="5" t="s">
        <v>149</v>
      </c>
      <c r="Z941" s="150">
        <v>210</v>
      </c>
      <c r="AA941" s="150"/>
      <c r="AB941" s="150"/>
      <c r="AC941" s="150"/>
      <c r="AD941" s="5" t="s">
        <v>218</v>
      </c>
      <c r="AH941" s="5" t="s">
        <v>150</v>
      </c>
      <c r="AK941" s="102">
        <f>HLOOKUP(F941,AX947:CJ950,AU947,FALSE)</f>
        <v>120</v>
      </c>
      <c r="AL941" s="102"/>
      <c r="AM941" s="102"/>
      <c r="AN941" s="102"/>
      <c r="AO941" s="5" t="s">
        <v>218</v>
      </c>
      <c r="AU941" s="143" t="s">
        <v>220</v>
      </c>
      <c r="AV941" s="143"/>
      <c r="AW941" s="143"/>
      <c r="AX941" s="143"/>
      <c r="AY941" s="143"/>
      <c r="AZ941" s="143"/>
      <c r="BA941" s="143"/>
      <c r="BB941" s="143"/>
      <c r="BC941" s="143"/>
      <c r="BD941" s="143"/>
      <c r="BE941" s="143"/>
      <c r="BF941" s="152"/>
      <c r="BG941" s="152"/>
      <c r="BH941" s="152"/>
      <c r="BI941" s="152"/>
      <c r="BJ941" s="152"/>
      <c r="BK941" s="152"/>
      <c r="BL941" s="152"/>
      <c r="BM941" s="152"/>
      <c r="BN941" s="152"/>
      <c r="BO941" s="152"/>
      <c r="BP941" s="152"/>
      <c r="BQ941" s="152"/>
      <c r="BR941" s="152"/>
      <c r="BS941" s="152"/>
      <c r="BT941" s="152"/>
      <c r="BU941" s="152"/>
      <c r="BV941" s="152"/>
      <c r="BW941" s="152"/>
      <c r="BX941" s="152"/>
      <c r="BY941" s="152"/>
      <c r="BZ941" s="152"/>
      <c r="CA941" s="152"/>
      <c r="CB941" s="152"/>
      <c r="CC941" s="152"/>
      <c r="CD941" s="152"/>
      <c r="CE941" s="152"/>
      <c r="CF941" s="152"/>
      <c r="CG941" s="152"/>
    </row>
    <row r="942" spans="3:88" ht="24.75" customHeight="1">
      <c r="C942" s="5" t="s">
        <v>189</v>
      </c>
      <c r="H942" s="154">
        <v>22</v>
      </c>
      <c r="I942" s="154"/>
      <c r="J942" s="154"/>
      <c r="K942" s="155" t="s">
        <v>267</v>
      </c>
      <c r="L942" s="156">
        <v>10</v>
      </c>
      <c r="M942" s="156"/>
      <c r="N942" s="156"/>
      <c r="O942" s="5" t="s">
        <v>40</v>
      </c>
      <c r="R942" s="124">
        <f>IF(H942=20,IF(L942=10,39000,31000),IF(H942=22,IF(L942=10,48000,39000),IF(H942=24,IF(L942=10,56000,45000),"確認希望")))</f>
        <v>48000</v>
      </c>
      <c r="S942" s="124"/>
      <c r="T942" s="124"/>
      <c r="U942" s="5" t="s">
        <v>41</v>
      </c>
      <c r="V942" s="144">
        <v>2</v>
      </c>
      <c r="W942" s="144"/>
      <c r="X942" s="144"/>
      <c r="Y942" s="144"/>
      <c r="Z942" s="8" t="s">
        <v>34</v>
      </c>
      <c r="AA942" s="92">
        <f>+R942*V942</f>
        <v>96000</v>
      </c>
      <c r="AB942" s="92"/>
      <c r="AC942" s="92"/>
      <c r="AD942" s="5" t="s">
        <v>113</v>
      </c>
      <c r="AU942" s="135">
        <f>IF(AM951&lt;=40,2,IF(AM951&lt;=75,3,4))</f>
        <v>2</v>
      </c>
      <c r="AV942" s="136"/>
      <c r="AW942" s="137"/>
      <c r="AX942" s="138" t="s">
        <v>91</v>
      </c>
      <c r="AY942" s="139"/>
      <c r="AZ942" s="140"/>
      <c r="BA942" s="138" t="s">
        <v>92</v>
      </c>
      <c r="BB942" s="139"/>
      <c r="BC942" s="140"/>
      <c r="BD942" s="138" t="s">
        <v>93</v>
      </c>
      <c r="BE942" s="139"/>
      <c r="BF942" s="140"/>
      <c r="BG942" s="138" t="s">
        <v>132</v>
      </c>
      <c r="BH942" s="139"/>
      <c r="BI942" s="140"/>
      <c r="BJ942" s="138" t="s">
        <v>90</v>
      </c>
      <c r="BK942" s="139"/>
      <c r="BL942" s="140"/>
      <c r="BM942" s="157" t="s">
        <v>133</v>
      </c>
      <c r="BN942" s="158"/>
      <c r="BO942" s="159"/>
      <c r="BP942" s="138" t="s">
        <v>94</v>
      </c>
      <c r="BQ942" s="139"/>
      <c r="BR942" s="140"/>
      <c r="BS942" s="138" t="s">
        <v>95</v>
      </c>
      <c r="BT942" s="139"/>
      <c r="BU942" s="140"/>
      <c r="BV942" s="138" t="s">
        <v>96</v>
      </c>
      <c r="BW942" s="139"/>
      <c r="BX942" s="140"/>
      <c r="BY942" s="157" t="s">
        <v>134</v>
      </c>
      <c r="BZ942" s="158"/>
      <c r="CA942" s="159"/>
      <c r="CB942" s="138" t="s">
        <v>97</v>
      </c>
      <c r="CC942" s="139"/>
      <c r="CD942" s="140"/>
      <c r="CE942" s="138" t="s">
        <v>98</v>
      </c>
      <c r="CF942" s="139"/>
      <c r="CG942" s="140"/>
      <c r="CH942" s="157" t="s">
        <v>135</v>
      </c>
      <c r="CI942" s="158"/>
      <c r="CJ942" s="159"/>
    </row>
    <row r="943" spans="10:88" ht="24.75" customHeight="1">
      <c r="J943" s="160"/>
      <c r="AU943" s="161">
        <v>40</v>
      </c>
      <c r="AV943" s="161"/>
      <c r="AW943" s="161"/>
      <c r="AX943" s="135">
        <v>140</v>
      </c>
      <c r="AY943" s="136"/>
      <c r="AZ943" s="137"/>
      <c r="BA943" s="135">
        <f>AX943</f>
        <v>140</v>
      </c>
      <c r="BB943" s="136"/>
      <c r="BC943" s="137"/>
      <c r="BD943" s="135">
        <f>AX943</f>
        <v>140</v>
      </c>
      <c r="BE943" s="136"/>
      <c r="BF943" s="137"/>
      <c r="BG943" s="135">
        <v>140</v>
      </c>
      <c r="BH943" s="136"/>
      <c r="BI943" s="137"/>
      <c r="BJ943" s="135">
        <v>185</v>
      </c>
      <c r="BK943" s="136"/>
      <c r="BL943" s="137"/>
      <c r="BM943" s="135">
        <f>BJ943</f>
        <v>185</v>
      </c>
      <c r="BN943" s="136"/>
      <c r="BO943" s="137"/>
      <c r="BP943" s="135">
        <v>210</v>
      </c>
      <c r="BQ943" s="136"/>
      <c r="BR943" s="137"/>
      <c r="BS943" s="135">
        <f>BP943</f>
        <v>210</v>
      </c>
      <c r="BT943" s="136"/>
      <c r="BU943" s="137"/>
      <c r="BV943" s="135">
        <f>BP943</f>
        <v>210</v>
      </c>
      <c r="BW943" s="136"/>
      <c r="BX943" s="137"/>
      <c r="BY943" s="135">
        <v>210</v>
      </c>
      <c r="BZ943" s="136"/>
      <c r="CA943" s="137"/>
      <c r="CB943" s="135">
        <v>255</v>
      </c>
      <c r="CC943" s="136"/>
      <c r="CD943" s="137"/>
      <c r="CE943" s="135">
        <f>CB943</f>
        <v>255</v>
      </c>
      <c r="CF943" s="136"/>
      <c r="CG943" s="137"/>
      <c r="CH943" s="135">
        <f>CE943</f>
        <v>255</v>
      </c>
      <c r="CI943" s="136"/>
      <c r="CJ943" s="137"/>
    </row>
    <row r="944" spans="2:88" ht="24.75" customHeight="1">
      <c r="B944" s="5" t="s">
        <v>0</v>
      </c>
      <c r="I944" s="92" t="str">
        <f>IF(O936&gt;0,"(上フランジ)","(下フランジ)")</f>
        <v>(上フランジ)</v>
      </c>
      <c r="J944" s="92"/>
      <c r="K944" s="92"/>
      <c r="L944" s="92"/>
      <c r="M944" s="92"/>
      <c r="N944" s="92"/>
      <c r="O944" s="5" t="s">
        <v>249</v>
      </c>
      <c r="AU944" s="162" t="s">
        <v>99</v>
      </c>
      <c r="AV944" s="162"/>
      <c r="AW944" s="162"/>
      <c r="AX944" s="135">
        <v>125</v>
      </c>
      <c r="AY944" s="136"/>
      <c r="AZ944" s="137"/>
      <c r="BA944" s="135">
        <f>AX944</f>
        <v>125</v>
      </c>
      <c r="BB944" s="136"/>
      <c r="BC944" s="137"/>
      <c r="BD944" s="135">
        <f>AX944</f>
        <v>125</v>
      </c>
      <c r="BE944" s="136"/>
      <c r="BF944" s="137"/>
      <c r="BG944" s="135">
        <v>140</v>
      </c>
      <c r="BH944" s="136"/>
      <c r="BI944" s="137"/>
      <c r="BJ944" s="135">
        <v>175</v>
      </c>
      <c r="BK944" s="136"/>
      <c r="BL944" s="137"/>
      <c r="BM944" s="135">
        <f>BM943</f>
        <v>185</v>
      </c>
      <c r="BN944" s="136"/>
      <c r="BO944" s="137"/>
      <c r="BP944" s="135">
        <v>200</v>
      </c>
      <c r="BQ944" s="136"/>
      <c r="BR944" s="137"/>
      <c r="BS944" s="135">
        <f>BP944</f>
        <v>200</v>
      </c>
      <c r="BT944" s="136"/>
      <c r="BU944" s="137"/>
      <c r="BV944" s="135">
        <f>BP944</f>
        <v>200</v>
      </c>
      <c r="BW944" s="136"/>
      <c r="BX944" s="137"/>
      <c r="BY944" s="135">
        <v>210</v>
      </c>
      <c r="BZ944" s="136"/>
      <c r="CA944" s="137"/>
      <c r="CB944" s="135">
        <v>245</v>
      </c>
      <c r="CC944" s="136"/>
      <c r="CD944" s="137"/>
      <c r="CE944" s="135">
        <f>CB944</f>
        <v>245</v>
      </c>
      <c r="CF944" s="136"/>
      <c r="CG944" s="137"/>
      <c r="CH944" s="135">
        <f>CH943</f>
        <v>255</v>
      </c>
      <c r="CI944" s="136"/>
      <c r="CJ944" s="137"/>
    </row>
    <row r="945" spans="3:88" ht="24.75" customHeight="1">
      <c r="C945" s="5" t="s">
        <v>115</v>
      </c>
      <c r="E945" s="142">
        <f>IF(O936&gt;0,ABS(O939),ABS(O940))</f>
        <v>35.417099384</v>
      </c>
      <c r="F945" s="142"/>
      <c r="G945" s="142"/>
      <c r="H945" s="142"/>
      <c r="I945" s="142"/>
      <c r="J945" s="142"/>
      <c r="K945" s="5" t="str">
        <f>+T939</f>
        <v>N/㎟</v>
      </c>
      <c r="AU945" s="162" t="s">
        <v>100</v>
      </c>
      <c r="AV945" s="162"/>
      <c r="AW945" s="162"/>
      <c r="AX945" s="135">
        <v>125</v>
      </c>
      <c r="AY945" s="136"/>
      <c r="AZ945" s="137"/>
      <c r="BA945" s="135">
        <f>AX945</f>
        <v>125</v>
      </c>
      <c r="BB945" s="136"/>
      <c r="BC945" s="137"/>
      <c r="BD945" s="135">
        <f>AX945</f>
        <v>125</v>
      </c>
      <c r="BE945" s="136"/>
      <c r="BF945" s="137"/>
      <c r="BG945" s="135">
        <v>140</v>
      </c>
      <c r="BH945" s="136"/>
      <c r="BI945" s="137"/>
      <c r="BJ945" s="135">
        <v>175</v>
      </c>
      <c r="BK945" s="136"/>
      <c r="BL945" s="137"/>
      <c r="BM945" s="135">
        <f>BM943</f>
        <v>185</v>
      </c>
      <c r="BN945" s="136"/>
      <c r="BO945" s="137"/>
      <c r="BP945" s="135">
        <v>195</v>
      </c>
      <c r="BQ945" s="136"/>
      <c r="BR945" s="137"/>
      <c r="BS945" s="135">
        <f>BP945</f>
        <v>195</v>
      </c>
      <c r="BT945" s="136"/>
      <c r="BU945" s="137"/>
      <c r="BV945" s="135">
        <f>BP945</f>
        <v>195</v>
      </c>
      <c r="BW945" s="136"/>
      <c r="BX945" s="137"/>
      <c r="BY945" s="135">
        <v>210</v>
      </c>
      <c r="BZ945" s="136"/>
      <c r="CA945" s="137"/>
      <c r="CB945" s="135">
        <v>240</v>
      </c>
      <c r="CC945" s="136"/>
      <c r="CD945" s="137"/>
      <c r="CE945" s="135">
        <f>CB945</f>
        <v>240</v>
      </c>
      <c r="CF945" s="136"/>
      <c r="CG945" s="137"/>
      <c r="CH945" s="135">
        <f>CH943</f>
        <v>255</v>
      </c>
      <c r="CI945" s="136"/>
      <c r="CJ945" s="137"/>
    </row>
    <row r="946" spans="3:54" ht="24.75" customHeight="1">
      <c r="C946" s="5" t="s">
        <v>116</v>
      </c>
      <c r="E946" s="130">
        <v>0.75</v>
      </c>
      <c r="F946" s="130"/>
      <c r="G946" s="130"/>
      <c r="H946" s="130"/>
      <c r="I946" s="5" t="s">
        <v>41</v>
      </c>
      <c r="J946" s="102">
        <f>Z941</f>
        <v>210</v>
      </c>
      <c r="K946" s="102"/>
      <c r="L946" s="102"/>
      <c r="M946" s="5" t="s">
        <v>34</v>
      </c>
      <c r="N946" s="89">
        <f>+E946*J946</f>
        <v>157.5</v>
      </c>
      <c r="O946" s="89"/>
      <c r="P946" s="89"/>
      <c r="Q946" s="89"/>
      <c r="R946" s="5" t="str">
        <f>+K945</f>
        <v>N/㎟</v>
      </c>
      <c r="T946" s="10"/>
      <c r="U946" s="11"/>
      <c r="V946" s="12" t="s">
        <v>178</v>
      </c>
      <c r="AU946" s="141" t="s">
        <v>221</v>
      </c>
      <c r="AV946" s="141"/>
      <c r="AW946" s="141"/>
      <c r="AX946" s="141"/>
      <c r="AY946" s="141"/>
      <c r="AZ946" s="141"/>
      <c r="BA946" s="141"/>
      <c r="BB946" s="141"/>
    </row>
    <row r="947" spans="3:88" ht="24.75" customHeight="1">
      <c r="C947" s="5" t="s">
        <v>247</v>
      </c>
      <c r="L947" s="5" t="str">
        <f>IF(O936&gt;0,"σu","σl")</f>
        <v>σu</v>
      </c>
      <c r="N947" s="5" t="s">
        <v>179</v>
      </c>
      <c r="P947" s="89">
        <f>+MAX(E945,N946)</f>
        <v>157.5</v>
      </c>
      <c r="Q947" s="89"/>
      <c r="R947" s="89"/>
      <c r="S947" s="89"/>
      <c r="T947" s="5" t="s">
        <v>222</v>
      </c>
      <c r="AU947" s="135">
        <f>AU942</f>
        <v>2</v>
      </c>
      <c r="AV947" s="136"/>
      <c r="AW947" s="137"/>
      <c r="AX947" s="138" t="s">
        <v>91</v>
      </c>
      <c r="AY947" s="139"/>
      <c r="AZ947" s="140"/>
      <c r="BA947" s="138" t="s">
        <v>92</v>
      </c>
      <c r="BB947" s="139"/>
      <c r="BC947" s="140"/>
      <c r="BD947" s="138" t="s">
        <v>93</v>
      </c>
      <c r="BE947" s="139"/>
      <c r="BF947" s="140"/>
      <c r="BG947" s="138" t="s">
        <v>132</v>
      </c>
      <c r="BH947" s="139"/>
      <c r="BI947" s="140"/>
      <c r="BJ947" s="138" t="s">
        <v>90</v>
      </c>
      <c r="BK947" s="139"/>
      <c r="BL947" s="140"/>
      <c r="BM947" s="157" t="s">
        <v>133</v>
      </c>
      <c r="BN947" s="158"/>
      <c r="BO947" s="159"/>
      <c r="BP947" s="138" t="s">
        <v>94</v>
      </c>
      <c r="BQ947" s="139"/>
      <c r="BR947" s="140"/>
      <c r="BS947" s="138" t="s">
        <v>95</v>
      </c>
      <c r="BT947" s="139"/>
      <c r="BU947" s="140"/>
      <c r="BV947" s="138" t="s">
        <v>96</v>
      </c>
      <c r="BW947" s="139"/>
      <c r="BX947" s="140"/>
      <c r="BY947" s="157" t="s">
        <v>134</v>
      </c>
      <c r="BZ947" s="158"/>
      <c r="CA947" s="159"/>
      <c r="CB947" s="138" t="s">
        <v>97</v>
      </c>
      <c r="CC947" s="139"/>
      <c r="CD947" s="140"/>
      <c r="CE947" s="138" t="s">
        <v>98</v>
      </c>
      <c r="CF947" s="139"/>
      <c r="CG947" s="140"/>
      <c r="CH947" s="157" t="s">
        <v>135</v>
      </c>
      <c r="CI947" s="158"/>
      <c r="CJ947" s="159"/>
    </row>
    <row r="948" spans="7:88" ht="24.75" customHeight="1">
      <c r="G948" s="9"/>
      <c r="AU948" s="161">
        <v>40</v>
      </c>
      <c r="AV948" s="161"/>
      <c r="AW948" s="161"/>
      <c r="AX948" s="135">
        <v>80</v>
      </c>
      <c r="AY948" s="136"/>
      <c r="AZ948" s="137"/>
      <c r="BA948" s="135">
        <f>AX948</f>
        <v>80</v>
      </c>
      <c r="BB948" s="136"/>
      <c r="BC948" s="137"/>
      <c r="BD948" s="135">
        <f>AX948</f>
        <v>80</v>
      </c>
      <c r="BE948" s="136"/>
      <c r="BF948" s="137"/>
      <c r="BG948" s="135">
        <v>80</v>
      </c>
      <c r="BH948" s="136"/>
      <c r="BI948" s="137"/>
      <c r="BJ948" s="135">
        <v>105</v>
      </c>
      <c r="BK948" s="136"/>
      <c r="BL948" s="137"/>
      <c r="BM948" s="135">
        <v>105</v>
      </c>
      <c r="BN948" s="136"/>
      <c r="BO948" s="137"/>
      <c r="BP948" s="135">
        <v>120</v>
      </c>
      <c r="BQ948" s="136"/>
      <c r="BR948" s="137"/>
      <c r="BS948" s="135">
        <f>BP948</f>
        <v>120</v>
      </c>
      <c r="BT948" s="136"/>
      <c r="BU948" s="137"/>
      <c r="BV948" s="135">
        <f>BP948</f>
        <v>120</v>
      </c>
      <c r="BW948" s="136"/>
      <c r="BX948" s="137"/>
      <c r="BY948" s="135">
        <v>120</v>
      </c>
      <c r="BZ948" s="136"/>
      <c r="CA948" s="137"/>
      <c r="CB948" s="135">
        <v>145</v>
      </c>
      <c r="CC948" s="136"/>
      <c r="CD948" s="137"/>
      <c r="CE948" s="135">
        <f>CB948</f>
        <v>145</v>
      </c>
      <c r="CF948" s="136"/>
      <c r="CG948" s="137"/>
      <c r="CH948" s="135">
        <v>145</v>
      </c>
      <c r="CI948" s="136"/>
      <c r="CJ948" s="137"/>
    </row>
    <row r="949" spans="7:88" ht="24.75" customHeight="1">
      <c r="G949" s="9"/>
      <c r="AU949" s="162" t="s">
        <v>99</v>
      </c>
      <c r="AV949" s="162"/>
      <c r="AW949" s="162"/>
      <c r="AX949" s="135">
        <v>75</v>
      </c>
      <c r="AY949" s="136"/>
      <c r="AZ949" s="137"/>
      <c r="BA949" s="135">
        <f>AX949</f>
        <v>75</v>
      </c>
      <c r="BB949" s="136"/>
      <c r="BC949" s="137"/>
      <c r="BD949" s="135">
        <f>AX949</f>
        <v>75</v>
      </c>
      <c r="BE949" s="136"/>
      <c r="BF949" s="137"/>
      <c r="BG949" s="135">
        <v>80</v>
      </c>
      <c r="BH949" s="136"/>
      <c r="BI949" s="137"/>
      <c r="BJ949" s="135">
        <v>100</v>
      </c>
      <c r="BK949" s="136"/>
      <c r="BL949" s="137"/>
      <c r="BM949" s="135">
        <v>105</v>
      </c>
      <c r="BN949" s="136"/>
      <c r="BO949" s="137"/>
      <c r="BP949" s="135">
        <v>115</v>
      </c>
      <c r="BQ949" s="136"/>
      <c r="BR949" s="137"/>
      <c r="BS949" s="135">
        <f>BP949</f>
        <v>115</v>
      </c>
      <c r="BT949" s="136"/>
      <c r="BU949" s="137"/>
      <c r="BV949" s="135">
        <f>BP949</f>
        <v>115</v>
      </c>
      <c r="BW949" s="136"/>
      <c r="BX949" s="137"/>
      <c r="BY949" s="135">
        <v>120</v>
      </c>
      <c r="BZ949" s="136"/>
      <c r="CA949" s="137"/>
      <c r="CB949" s="135">
        <v>140</v>
      </c>
      <c r="CC949" s="136"/>
      <c r="CD949" s="137"/>
      <c r="CE949" s="135">
        <f>CB949</f>
        <v>140</v>
      </c>
      <c r="CF949" s="136"/>
      <c r="CG949" s="137"/>
      <c r="CH949" s="135">
        <v>145</v>
      </c>
      <c r="CI949" s="136"/>
      <c r="CJ949" s="137"/>
    </row>
    <row r="950" spans="7:88" ht="24.75" customHeight="1">
      <c r="G950" s="9"/>
      <c r="AU950" s="162" t="s">
        <v>100</v>
      </c>
      <c r="AV950" s="162"/>
      <c r="AW950" s="162"/>
      <c r="AX950" s="135">
        <v>75</v>
      </c>
      <c r="AY950" s="136"/>
      <c r="AZ950" s="137"/>
      <c r="BA950" s="135">
        <f>AX950</f>
        <v>75</v>
      </c>
      <c r="BB950" s="136"/>
      <c r="BC950" s="137"/>
      <c r="BD950" s="135">
        <f>AX950</f>
        <v>75</v>
      </c>
      <c r="BE950" s="136"/>
      <c r="BF950" s="137"/>
      <c r="BG950" s="135">
        <v>80</v>
      </c>
      <c r="BH950" s="136"/>
      <c r="BI950" s="137"/>
      <c r="BJ950" s="135">
        <v>100</v>
      </c>
      <c r="BK950" s="136"/>
      <c r="BL950" s="137"/>
      <c r="BM950" s="135">
        <v>105</v>
      </c>
      <c r="BN950" s="136"/>
      <c r="BO950" s="137"/>
      <c r="BP950" s="135">
        <v>110</v>
      </c>
      <c r="BQ950" s="136"/>
      <c r="BR950" s="137"/>
      <c r="BS950" s="135">
        <f>BP950</f>
        <v>110</v>
      </c>
      <c r="BT950" s="136"/>
      <c r="BU950" s="137"/>
      <c r="BV950" s="135">
        <f>BP950</f>
        <v>110</v>
      </c>
      <c r="BW950" s="136"/>
      <c r="BX950" s="137"/>
      <c r="BY950" s="135">
        <v>120</v>
      </c>
      <c r="BZ950" s="136"/>
      <c r="CA950" s="137"/>
      <c r="CB950" s="135">
        <v>135</v>
      </c>
      <c r="CC950" s="136"/>
      <c r="CD950" s="137"/>
      <c r="CE950" s="135">
        <f>CB950</f>
        <v>135</v>
      </c>
      <c r="CF950" s="136"/>
      <c r="CG950" s="137"/>
      <c r="CH950" s="135">
        <v>145</v>
      </c>
      <c r="CI950" s="136"/>
      <c r="CJ950" s="137"/>
    </row>
    <row r="951" spans="7:41" ht="24.75" customHeight="1">
      <c r="G951" s="9"/>
      <c r="AH951" s="5" t="s">
        <v>180</v>
      </c>
      <c r="AM951" s="163">
        <v>21</v>
      </c>
      <c r="AN951" s="163"/>
      <c r="AO951" s="5" t="s">
        <v>84</v>
      </c>
    </row>
    <row r="952" spans="34:42" ht="24.75" customHeight="1">
      <c r="AH952" s="5" t="s">
        <v>217</v>
      </c>
      <c r="AM952" s="163">
        <v>2640</v>
      </c>
      <c r="AN952" s="163"/>
      <c r="AO952" s="163"/>
      <c r="AP952" s="4" t="s">
        <v>84</v>
      </c>
    </row>
    <row r="953" spans="34:43" ht="24.75" customHeight="1">
      <c r="AH953" s="5" t="s">
        <v>210</v>
      </c>
      <c r="AO953" s="163">
        <v>120</v>
      </c>
      <c r="AP953" s="163"/>
      <c r="AQ953" s="5" t="s">
        <v>84</v>
      </c>
    </row>
    <row r="954" spans="34:38" ht="24.75" customHeight="1">
      <c r="AH954" s="5" t="s">
        <v>201</v>
      </c>
      <c r="AL954" s="5" t="s">
        <v>223</v>
      </c>
    </row>
    <row r="959" ht="24.75" customHeight="1">
      <c r="C959" s="5" t="s">
        <v>181</v>
      </c>
    </row>
    <row r="960" spans="4:40" ht="24.75" customHeight="1">
      <c r="D960" s="5" t="s">
        <v>182</v>
      </c>
      <c r="I960" s="5" t="str">
        <f>IF(O936&gt;0,"Asσs ＋ 2 Pfwu","Asσs ＋ 2 Pfwl")</f>
        <v>Asσs ＋ 2 Pfwu</v>
      </c>
      <c r="P960" s="5" t="s">
        <v>89</v>
      </c>
      <c r="Q960" s="95">
        <f>+AM951</f>
        <v>21</v>
      </c>
      <c r="R960" s="95"/>
      <c r="S960" s="14" t="s">
        <v>41</v>
      </c>
      <c r="T960" s="114">
        <f>+AM952</f>
        <v>2640</v>
      </c>
      <c r="U960" s="114"/>
      <c r="V960" s="114"/>
      <c r="W960" s="14" t="s">
        <v>41</v>
      </c>
      <c r="X960" s="108">
        <f>P947</f>
        <v>157.5</v>
      </c>
      <c r="Y960" s="108"/>
      <c r="Z960" s="108"/>
      <c r="AA960" s="14" t="s">
        <v>143</v>
      </c>
      <c r="AB960" s="95">
        <f>IF(O936&gt;0,AD1102,AD1119)</f>
        <v>49071.53011540727</v>
      </c>
      <c r="AC960" s="95"/>
      <c r="AD960" s="95"/>
      <c r="AE960" s="95"/>
      <c r="AF960" s="14" t="s">
        <v>138</v>
      </c>
      <c r="AG960" s="14"/>
      <c r="AH960" s="5" t="s">
        <v>89</v>
      </c>
      <c r="AI960" s="102">
        <f>Q960*T960*X960+AB960*2</f>
        <v>8829943.060230814</v>
      </c>
      <c r="AJ960" s="102"/>
      <c r="AK960" s="102"/>
      <c r="AL960" s="102"/>
      <c r="AM960" s="102"/>
      <c r="AN960" s="5" t="s">
        <v>113</v>
      </c>
    </row>
    <row r="961" spans="9:31" ht="24.75" customHeight="1">
      <c r="I961" s="5" t="s">
        <v>200</v>
      </c>
      <c r="V961" s="5" t="str">
        <f>IF(O936&gt;0,"Pfwu","Pfwl")</f>
        <v>Pfwu</v>
      </c>
      <c r="X961" s="14" t="s">
        <v>183</v>
      </c>
      <c r="Y961" s="14"/>
      <c r="AA961" s="6"/>
      <c r="AB961" s="6"/>
      <c r="AC961" s="6"/>
      <c r="AD961" s="6"/>
      <c r="AE961" s="6"/>
    </row>
    <row r="962" spans="4:41" ht="24.75" customHeight="1">
      <c r="D962" s="5" t="s">
        <v>151</v>
      </c>
      <c r="F962" s="14" t="s">
        <v>152</v>
      </c>
      <c r="J962" s="5" t="s">
        <v>89</v>
      </c>
      <c r="K962" s="102">
        <f>AI960</f>
        <v>8829943.060230814</v>
      </c>
      <c r="L962" s="102"/>
      <c r="M962" s="102"/>
      <c r="N962" s="102"/>
      <c r="O962" s="102"/>
      <c r="P962" s="17" t="s">
        <v>88</v>
      </c>
      <c r="Q962" s="89">
        <f>+AA942</f>
        <v>96000</v>
      </c>
      <c r="R962" s="89"/>
      <c r="S962" s="89"/>
      <c r="T962" s="89"/>
      <c r="U962" s="8" t="s">
        <v>30</v>
      </c>
      <c r="V962" s="113">
        <f>ROUNDUP(K962/Q962,1)</f>
        <v>92</v>
      </c>
      <c r="W962" s="113"/>
      <c r="X962" s="113"/>
      <c r="Y962" s="113"/>
      <c r="AA962" s="92" t="s">
        <v>43</v>
      </c>
      <c r="AB962" s="92"/>
      <c r="AC962" s="6"/>
      <c r="AE962" s="164">
        <v>80</v>
      </c>
      <c r="AF962" s="164"/>
      <c r="AG962" s="164"/>
      <c r="AH962" s="164"/>
      <c r="AI962" s="92" t="s">
        <v>5</v>
      </c>
      <c r="AJ962" s="92"/>
      <c r="AK962" s="92"/>
      <c r="AL962" s="92"/>
      <c r="AM962" s="92"/>
      <c r="AO962" s="5" t="str">
        <f>IF(V962&lt;=AE962,"O.K.","N.G.")</f>
        <v>N.G.</v>
      </c>
    </row>
    <row r="963" ht="24.75" customHeight="1">
      <c r="C963" s="5" t="s">
        <v>239</v>
      </c>
    </row>
    <row r="964" spans="4:33" ht="24.75" customHeight="1">
      <c r="D964" s="18" t="s">
        <v>184</v>
      </c>
      <c r="E964" s="18"/>
      <c r="F964" s="18"/>
      <c r="G964" s="18"/>
      <c r="H964" s="18"/>
      <c r="I964" s="18"/>
      <c r="J964" s="18"/>
      <c r="P964" s="15"/>
      <c r="Q964" s="102">
        <f>AI960</f>
        <v>8829943.060230814</v>
      </c>
      <c r="R964" s="102"/>
      <c r="S964" s="102"/>
      <c r="T964" s="102"/>
      <c r="U964" s="102"/>
      <c r="V964" s="17" t="s">
        <v>88</v>
      </c>
      <c r="W964" s="108">
        <f>Z941</f>
        <v>210</v>
      </c>
      <c r="X964" s="108"/>
      <c r="Y964" s="108"/>
      <c r="Z964" s="108"/>
      <c r="AA964" s="8" t="s">
        <v>34</v>
      </c>
      <c r="AB964" s="89">
        <f>Q964/W964</f>
        <v>42047.34790586102</v>
      </c>
      <c r="AC964" s="89"/>
      <c r="AD964" s="89"/>
      <c r="AE964" s="89"/>
      <c r="AF964" s="92" t="s">
        <v>101</v>
      </c>
      <c r="AG964" s="92"/>
    </row>
    <row r="965" spans="4:27" ht="24.75" customHeight="1">
      <c r="D965" s="5" t="s">
        <v>240</v>
      </c>
      <c r="I965" s="165">
        <v>2</v>
      </c>
      <c r="J965" s="165"/>
      <c r="K965" s="165"/>
      <c r="L965" s="126">
        <v>80</v>
      </c>
      <c r="M965" s="126"/>
      <c r="N965" s="126"/>
      <c r="O965" s="163">
        <v>9</v>
      </c>
      <c r="P965" s="163"/>
      <c r="Q965" s="127">
        <v>630</v>
      </c>
      <c r="R965" s="127"/>
      <c r="S965" s="127"/>
      <c r="T965" s="127"/>
      <c r="U965" s="5" t="s">
        <v>31</v>
      </c>
      <c r="W965" s="89">
        <f>+L965*O965*I965</f>
        <v>1440</v>
      </c>
      <c r="X965" s="89"/>
      <c r="Y965" s="89"/>
      <c r="Z965" s="89"/>
      <c r="AA965" s="5" t="s">
        <v>101</v>
      </c>
    </row>
    <row r="966" spans="9:45" ht="24.75" customHeight="1">
      <c r="I966" s="165">
        <v>6</v>
      </c>
      <c r="J966" s="165"/>
      <c r="K966" s="165"/>
      <c r="L966" s="126">
        <v>280</v>
      </c>
      <c r="M966" s="126"/>
      <c r="N966" s="126"/>
      <c r="O966" s="163">
        <v>9</v>
      </c>
      <c r="P966" s="163"/>
      <c r="Q966" s="127">
        <f>Q965</f>
        <v>630</v>
      </c>
      <c r="R966" s="127"/>
      <c r="S966" s="127"/>
      <c r="T966" s="127"/>
      <c r="U966" s="5" t="s">
        <v>31</v>
      </c>
      <c r="W966" s="89">
        <f>+L966*O966*I966</f>
        <v>15120</v>
      </c>
      <c r="X966" s="89"/>
      <c r="Y966" s="89"/>
      <c r="Z966" s="89"/>
      <c r="AA966" s="5" t="s">
        <v>101</v>
      </c>
      <c r="AR966" s="18"/>
      <c r="AS966" s="18"/>
    </row>
    <row r="967" spans="9:28" ht="24.75" customHeight="1">
      <c r="I967" s="165">
        <v>1</v>
      </c>
      <c r="J967" s="165"/>
      <c r="K967" s="165"/>
      <c r="L967" s="126">
        <f>+AM952-10</f>
        <v>2630</v>
      </c>
      <c r="M967" s="126"/>
      <c r="N967" s="126"/>
      <c r="O967" s="163">
        <v>9</v>
      </c>
      <c r="P967" s="163"/>
      <c r="Q967" s="127">
        <f>Q966</f>
        <v>630</v>
      </c>
      <c r="R967" s="127"/>
      <c r="S967" s="127"/>
      <c r="T967" s="127"/>
      <c r="U967" s="19" t="s">
        <v>31</v>
      </c>
      <c r="V967" s="19"/>
      <c r="W967" s="105">
        <f>+L967*O967*I967</f>
        <v>23670</v>
      </c>
      <c r="X967" s="105"/>
      <c r="Y967" s="105"/>
      <c r="Z967" s="105"/>
      <c r="AA967" s="19" t="s">
        <v>101</v>
      </c>
      <c r="AB967" s="19"/>
    </row>
    <row r="968" spans="21:39" ht="24.75" customHeight="1">
      <c r="U968" s="5" t="s">
        <v>32</v>
      </c>
      <c r="W968" s="89">
        <f>+SUM(W965:W967)</f>
        <v>40230</v>
      </c>
      <c r="X968" s="89"/>
      <c r="Y968" s="89"/>
      <c r="Z968" s="89"/>
      <c r="AA968" s="92" t="str">
        <f>IF(W968&gt;AB964,"mm² ＞  Asreq'd =","mm² ＜   Asreq'd =")</f>
        <v>mm² ＜   Asreq'd =</v>
      </c>
      <c r="AB968" s="92"/>
      <c r="AC968" s="92"/>
      <c r="AD968" s="92"/>
      <c r="AE968" s="92"/>
      <c r="AF968" s="92"/>
      <c r="AG968" s="92"/>
      <c r="AH968" s="92"/>
      <c r="AI968" s="89">
        <f>+AB964</f>
        <v>42047.34790586102</v>
      </c>
      <c r="AJ968" s="89"/>
      <c r="AK968" s="89"/>
      <c r="AL968" s="89"/>
      <c r="AM968" s="5" t="str">
        <f>IF(W968&gt;AB964,"mm² O.K","mm² N.G")</f>
        <v>mm² N.G</v>
      </c>
    </row>
    <row r="969" spans="4:38" ht="24.75" customHeight="1">
      <c r="D969" s="4" t="s">
        <v>241</v>
      </c>
      <c r="E969" s="4"/>
      <c r="F969" s="4"/>
      <c r="G969" s="4"/>
      <c r="H969" s="4"/>
      <c r="I969" s="4"/>
      <c r="J969" s="4"/>
      <c r="K969" s="4"/>
      <c r="O969" s="5" t="s">
        <v>89</v>
      </c>
      <c r="P969" s="102">
        <f>AI960</f>
        <v>8829943.060230814</v>
      </c>
      <c r="Q969" s="102"/>
      <c r="R969" s="102"/>
      <c r="S969" s="102"/>
      <c r="T969" s="102"/>
      <c r="U969" s="17" t="s">
        <v>88</v>
      </c>
      <c r="V969" s="89">
        <f>W968</f>
        <v>40230</v>
      </c>
      <c r="W969" s="89"/>
      <c r="X969" s="89"/>
      <c r="Y969" s="89"/>
      <c r="Z969" s="8" t="s">
        <v>34</v>
      </c>
      <c r="AA969" s="134">
        <f>P969/V969</f>
        <v>219.48652896422604</v>
      </c>
      <c r="AB969" s="134"/>
      <c r="AC969" s="134"/>
      <c r="AD969" s="134"/>
      <c r="AE969" s="134"/>
      <c r="AF969" s="18" t="str">
        <f>IF(AA969&gt;Z941,"N/㎟ ＞  σca , N.G","N/㎟＜  σca , O.K")</f>
        <v>N/㎟ ＞  σca , N.G</v>
      </c>
      <c r="AG969" s="18"/>
      <c r="AH969" s="18"/>
      <c r="AI969" s="18"/>
      <c r="AJ969" s="18"/>
      <c r="AK969" s="18"/>
      <c r="AL969" s="18"/>
    </row>
    <row r="970" spans="4:44" ht="24.75" customHeight="1">
      <c r="D970" s="21"/>
      <c r="E970" s="21"/>
      <c r="F970" s="21"/>
      <c r="G970" s="21"/>
      <c r="H970" s="21"/>
      <c r="I970" s="21"/>
      <c r="J970" s="21"/>
      <c r="K970" s="21"/>
      <c r="W970" s="8"/>
      <c r="X970" s="20"/>
      <c r="Y970" s="20"/>
      <c r="Z970" s="20"/>
      <c r="AA970" s="20"/>
      <c r="AR970" s="18"/>
    </row>
    <row r="971" ht="24.75" customHeight="1">
      <c r="C971" s="5" t="s">
        <v>192</v>
      </c>
    </row>
    <row r="972" spans="3:23" ht="24.75" customHeight="1">
      <c r="C972" s="5" t="s">
        <v>193</v>
      </c>
      <c r="M972" s="13"/>
      <c r="N972" s="13"/>
      <c r="O972" s="14"/>
      <c r="P972" s="15"/>
      <c r="Q972" s="15"/>
      <c r="R972" s="15"/>
      <c r="S972" s="14"/>
      <c r="T972" s="16"/>
      <c r="U972" s="16"/>
      <c r="V972" s="16"/>
      <c r="W972" s="16"/>
    </row>
    <row r="973" spans="4:38" ht="24.75" customHeight="1">
      <c r="D973" s="4" t="s">
        <v>153</v>
      </c>
      <c r="E973" s="21"/>
      <c r="F973" s="21"/>
      <c r="G973" s="13"/>
      <c r="H973" s="13"/>
      <c r="I973" s="8"/>
      <c r="J973" s="102">
        <f>AI960</f>
        <v>8829943.060230814</v>
      </c>
      <c r="K973" s="102"/>
      <c r="L973" s="102"/>
      <c r="M973" s="102"/>
      <c r="N973" s="102"/>
      <c r="O973" s="17" t="s">
        <v>88</v>
      </c>
      <c r="P973" s="133">
        <f>+AE962</f>
        <v>80</v>
      </c>
      <c r="Q973" s="133"/>
      <c r="R973" s="133"/>
      <c r="S973" s="133"/>
      <c r="U973" s="8" t="s">
        <v>34</v>
      </c>
      <c r="V973" s="100">
        <f>J973/P973</f>
        <v>110374.28825288518</v>
      </c>
      <c r="W973" s="100"/>
      <c r="X973" s="100"/>
      <c r="Y973" s="100"/>
      <c r="Z973" s="100"/>
      <c r="AA973" s="18" t="s">
        <v>202</v>
      </c>
      <c r="AB973" s="8"/>
      <c r="AC973" s="8"/>
      <c r="AD973" s="18" t="str">
        <f>IF(V973&gt;AA942," ＞  ρa    N.G","＜ ρa    O.K")</f>
        <v> ＞  ρa    N.G</v>
      </c>
      <c r="AE973" s="8"/>
      <c r="AF973" s="8"/>
      <c r="AG973" s="8"/>
      <c r="AH973" s="8"/>
      <c r="AI973" s="8"/>
      <c r="AJ973" s="8"/>
      <c r="AK973" s="8"/>
      <c r="AL973" s="8"/>
    </row>
    <row r="974" spans="3:38" ht="24.75" customHeight="1">
      <c r="C974" s="14"/>
      <c r="D974" s="34"/>
      <c r="E974" s="34"/>
      <c r="F974" s="34"/>
      <c r="G974" s="13"/>
      <c r="H974" s="13"/>
      <c r="I974" s="13"/>
      <c r="J974" s="14"/>
      <c r="K974" s="14"/>
      <c r="L974" s="14"/>
      <c r="M974" s="35"/>
      <c r="N974" s="35"/>
      <c r="O974" s="35"/>
      <c r="P974" s="35"/>
      <c r="Q974" s="14"/>
      <c r="R974" s="14"/>
      <c r="S974" s="14"/>
      <c r="T974" s="14"/>
      <c r="U974" s="13"/>
      <c r="V974" s="71"/>
      <c r="W974" s="71"/>
      <c r="X974" s="71"/>
      <c r="Y974" s="71"/>
      <c r="Z974" s="71"/>
      <c r="AA974" s="13"/>
      <c r="AB974" s="13"/>
      <c r="AC974" s="13"/>
      <c r="AD974" s="13"/>
      <c r="AE974" s="13"/>
      <c r="AF974" s="13"/>
      <c r="AG974" s="13"/>
      <c r="AH974" s="13"/>
      <c r="AI974" s="13"/>
      <c r="AJ974" s="13"/>
      <c r="AK974" s="13"/>
      <c r="AL974" s="8"/>
    </row>
    <row r="975" spans="3:38" ht="24.75" customHeight="1">
      <c r="C975" s="5" t="s">
        <v>206</v>
      </c>
      <c r="D975" s="21"/>
      <c r="E975" s="21"/>
      <c r="F975" s="21"/>
      <c r="G975" s="8"/>
      <c r="H975" s="8"/>
      <c r="I975" s="8"/>
      <c r="U975" s="8"/>
      <c r="V975" s="22"/>
      <c r="W975" s="22"/>
      <c r="X975" s="22"/>
      <c r="Y975" s="22"/>
      <c r="Z975" s="22"/>
      <c r="AA975" s="8"/>
      <c r="AB975" s="8"/>
      <c r="AC975" s="8"/>
      <c r="AD975" s="8"/>
      <c r="AE975" s="8"/>
      <c r="AF975" s="8"/>
      <c r="AG975" s="8"/>
      <c r="AH975" s="8"/>
      <c r="AI975" s="8"/>
      <c r="AJ975" s="8"/>
      <c r="AK975" s="8"/>
      <c r="AL975" s="8"/>
    </row>
    <row r="976" spans="4:47" ht="24.75" customHeight="1">
      <c r="D976" s="5" t="s">
        <v>205</v>
      </c>
      <c r="AU976" s="23"/>
    </row>
    <row r="977" spans="5:47" ht="24.75" customHeight="1">
      <c r="E977" s="5" t="s">
        <v>211</v>
      </c>
      <c r="AU977" s="23"/>
    </row>
    <row r="978" ht="24.75" customHeight="1">
      <c r="D978" s="5" t="s">
        <v>7</v>
      </c>
    </row>
    <row r="979" spans="3:36" ht="24.75" customHeight="1">
      <c r="C979" s="106" t="s">
        <v>49</v>
      </c>
      <c r="D979" s="106"/>
      <c r="E979" s="106"/>
      <c r="G979" s="105">
        <f>O938</f>
        <v>344.42750016</v>
      </c>
      <c r="H979" s="105"/>
      <c r="I979" s="105"/>
      <c r="J979" s="19" t="s">
        <v>41</v>
      </c>
      <c r="K979" s="97">
        <v>1000000</v>
      </c>
      <c r="L979" s="97"/>
      <c r="M979" s="97"/>
      <c r="N979" s="97"/>
      <c r="P979" s="106" t="s">
        <v>47</v>
      </c>
      <c r="Q979" s="106"/>
      <c r="R979" s="122">
        <f>P973</f>
        <v>80</v>
      </c>
      <c r="S979" s="122"/>
      <c r="T979" s="122"/>
      <c r="U979" s="92" t="s">
        <v>34</v>
      </c>
      <c r="V979" s="92"/>
      <c r="W979" s="102">
        <f>ROUND((G979*K979/(I980*K980))/R979,1)</f>
        <v>978.5</v>
      </c>
      <c r="X979" s="102"/>
      <c r="Y979" s="102"/>
      <c r="Z979" s="102"/>
      <c r="AA979" s="92" t="str">
        <f>IF(W979&gt;AA942,"N/本   ＞ ρa   N.G.","N/本  ＜  ρa   O.K.")</f>
        <v>N/本  ＜  ρa   O.K.</v>
      </c>
      <c r="AB979" s="92"/>
      <c r="AC979" s="92"/>
      <c r="AD979" s="92"/>
      <c r="AE979" s="92"/>
      <c r="AF979" s="92"/>
      <c r="AG979" s="92"/>
      <c r="AH979" s="92"/>
      <c r="AI979" s="92"/>
      <c r="AJ979" s="92"/>
    </row>
    <row r="980" spans="3:36" ht="24.75" customHeight="1">
      <c r="C980" s="106"/>
      <c r="D980" s="106"/>
      <c r="E980" s="106"/>
      <c r="I980" s="8">
        <v>2</v>
      </c>
      <c r="J980" s="14" t="s">
        <v>41</v>
      </c>
      <c r="K980" s="24">
        <f>AM1079</f>
        <v>2200</v>
      </c>
      <c r="L980" s="25"/>
      <c r="M980" s="25"/>
      <c r="P980" s="106"/>
      <c r="Q980" s="106"/>
      <c r="R980" s="122"/>
      <c r="S980" s="122"/>
      <c r="T980" s="122"/>
      <c r="U980" s="92"/>
      <c r="V980" s="92"/>
      <c r="W980" s="102"/>
      <c r="X980" s="102"/>
      <c r="Y980" s="102"/>
      <c r="Z980" s="102"/>
      <c r="AA980" s="92"/>
      <c r="AB980" s="92"/>
      <c r="AC980" s="92"/>
      <c r="AD980" s="92"/>
      <c r="AE980" s="92"/>
      <c r="AF980" s="92"/>
      <c r="AG980" s="92"/>
      <c r="AH980" s="92"/>
      <c r="AI980" s="92"/>
      <c r="AJ980" s="92"/>
    </row>
    <row r="982" spans="3:9" ht="24.75" customHeight="1">
      <c r="C982" s="5" t="s">
        <v>212</v>
      </c>
      <c r="I982" s="23"/>
    </row>
    <row r="983" spans="4:31" ht="24.75" customHeight="1">
      <c r="D983" s="5" t="s">
        <v>50</v>
      </c>
      <c r="P983" s="119">
        <f>V973</f>
        <v>110374.28825288518</v>
      </c>
      <c r="Q983" s="119"/>
      <c r="R983" s="119"/>
      <c r="S983" s="119"/>
      <c r="T983" s="5" t="s">
        <v>48</v>
      </c>
      <c r="U983" s="104">
        <f>+W979</f>
        <v>978.5</v>
      </c>
      <c r="V983" s="104"/>
      <c r="W983" s="104"/>
      <c r="X983" s="104"/>
      <c r="Y983" s="5" t="s">
        <v>33</v>
      </c>
      <c r="AA983" s="100">
        <f>ROUND(SQRT(P983^2+U983^2),1)</f>
        <v>110378.6</v>
      </c>
      <c r="AB983" s="100"/>
      <c r="AC983" s="100"/>
      <c r="AD983" s="100"/>
      <c r="AE983" s="5" t="str">
        <f>IF(AA983&gt;$AA$10,"N/本  ＞  ρa ,  N.G","N/本  ＜  ρa ,  O.K")</f>
        <v>N/本  ＞  ρa ,  N.G</v>
      </c>
    </row>
    <row r="984" spans="16:30" ht="24.75" customHeight="1">
      <c r="P984" s="26"/>
      <c r="Q984" s="26"/>
      <c r="R984" s="26"/>
      <c r="S984" s="26"/>
      <c r="U984" s="26"/>
      <c r="V984" s="26"/>
      <c r="W984" s="26"/>
      <c r="X984" s="26"/>
      <c r="AA984" s="9"/>
      <c r="AB984" s="9"/>
      <c r="AC984" s="9"/>
      <c r="AD984" s="9"/>
    </row>
    <row r="985" spans="2:11" ht="24.75" customHeight="1">
      <c r="B985" s="5" t="s">
        <v>187</v>
      </c>
      <c r="H985" s="27"/>
      <c r="K985" s="9"/>
    </row>
    <row r="986" spans="7:9" ht="24.75" customHeight="1">
      <c r="G986" s="27"/>
      <c r="I986" s="27"/>
    </row>
    <row r="987" spans="5:17" ht="24.75" customHeight="1">
      <c r="E987" s="166"/>
      <c r="F987" s="166"/>
      <c r="G987" s="166"/>
      <c r="K987" s="29"/>
      <c r="L987" s="29"/>
      <c r="M987" s="29"/>
      <c r="N987" s="166"/>
      <c r="Q987" s="30"/>
    </row>
    <row r="988" spans="17:31" ht="24.75" customHeight="1">
      <c r="Q988" s="30"/>
      <c r="U988" s="31"/>
      <c r="V988" s="31"/>
      <c r="X988" s="5" t="s">
        <v>185</v>
      </c>
      <c r="AB988" s="163">
        <v>150</v>
      </c>
      <c r="AC988" s="163"/>
      <c r="AD988" s="163"/>
      <c r="AE988" s="5" t="s">
        <v>84</v>
      </c>
    </row>
    <row r="989" spans="17:31" ht="24.75" customHeight="1">
      <c r="Q989" s="30"/>
      <c r="R989" s="30"/>
      <c r="S989" s="32"/>
      <c r="T989" s="32"/>
      <c r="U989" s="167"/>
      <c r="V989" s="33"/>
      <c r="X989" s="5" t="s">
        <v>186</v>
      </c>
      <c r="AB989" s="163">
        <v>14</v>
      </c>
      <c r="AC989" s="163"/>
      <c r="AD989" s="163"/>
      <c r="AE989" s="5" t="s">
        <v>84</v>
      </c>
    </row>
    <row r="990" spans="1:19" ht="24.75" customHeight="1">
      <c r="A990" s="53"/>
      <c r="B990" s="53"/>
      <c r="C990" s="53"/>
      <c r="D990" s="53"/>
      <c r="E990" s="53"/>
      <c r="F990" s="53"/>
      <c r="G990" s="53"/>
      <c r="H990" s="53"/>
      <c r="I990" s="53"/>
      <c r="J990" s="53"/>
      <c r="K990" s="53"/>
      <c r="L990" s="53"/>
      <c r="M990" s="53"/>
      <c r="N990" s="53"/>
      <c r="O990" s="53"/>
      <c r="P990" s="53"/>
      <c r="Q990" s="53"/>
      <c r="R990" s="53"/>
      <c r="S990" s="53"/>
    </row>
    <row r="991" spans="7:11" ht="24.75" customHeight="1">
      <c r="G991" s="27"/>
      <c r="I991" s="27"/>
      <c r="K991" s="9"/>
    </row>
    <row r="992" ht="24.75" customHeight="1">
      <c r="C992" s="5" t="s">
        <v>181</v>
      </c>
    </row>
    <row r="993" spans="4:41" ht="24.75" customHeight="1">
      <c r="D993" s="106" t="s">
        <v>42</v>
      </c>
      <c r="E993" s="106"/>
      <c r="F993" s="19" t="str">
        <f>IF(O936&gt;0,"As σu","As σl")</f>
        <v>As σu</v>
      </c>
      <c r="G993" s="19"/>
      <c r="H993" s="19"/>
      <c r="I993" s="92" t="s">
        <v>34</v>
      </c>
      <c r="J993" s="97">
        <f>+AB989</f>
        <v>14</v>
      </c>
      <c r="K993" s="97"/>
      <c r="L993" s="19" t="s">
        <v>41</v>
      </c>
      <c r="M993" s="132">
        <f>+AB988</f>
        <v>150</v>
      </c>
      <c r="N993" s="132"/>
      <c r="O993" s="132"/>
      <c r="P993" s="19" t="s">
        <v>41</v>
      </c>
      <c r="Q993" s="105">
        <f>P947</f>
        <v>157.5</v>
      </c>
      <c r="R993" s="105"/>
      <c r="S993" s="105"/>
      <c r="T993" s="105"/>
      <c r="U993" s="92" t="s">
        <v>30</v>
      </c>
      <c r="V993" s="113">
        <f>ROUND(+J993*M993*Q993/M994,1)</f>
        <v>3.4</v>
      </c>
      <c r="W993" s="113"/>
      <c r="X993" s="113"/>
      <c r="Y993" s="113"/>
      <c r="Z993" s="92" t="s">
        <v>43</v>
      </c>
      <c r="AA993" s="92"/>
      <c r="AB993" s="92"/>
      <c r="AC993" s="164">
        <v>5</v>
      </c>
      <c r="AD993" s="164"/>
      <c r="AE993" s="164"/>
      <c r="AF993" s="164"/>
      <c r="AG993" s="92" t="s">
        <v>4</v>
      </c>
      <c r="AH993" s="92"/>
      <c r="AI993" s="92"/>
      <c r="AJ993" s="92"/>
      <c r="AM993" s="92" t="str">
        <f>IF(V993&lt;=AC993,"O.K.","N.G.")</f>
        <v>O.K.</v>
      </c>
      <c r="AN993" s="92"/>
      <c r="AO993" s="92"/>
    </row>
    <row r="994" spans="4:51" ht="24.75" customHeight="1">
      <c r="D994" s="106"/>
      <c r="E994" s="106"/>
      <c r="F994" s="92" t="s">
        <v>44</v>
      </c>
      <c r="G994" s="92"/>
      <c r="H994" s="92"/>
      <c r="I994" s="92"/>
      <c r="M994" s="89">
        <f>AA942</f>
        <v>96000</v>
      </c>
      <c r="N994" s="89"/>
      <c r="O994" s="89"/>
      <c r="P994" s="89"/>
      <c r="U994" s="92"/>
      <c r="V994" s="113"/>
      <c r="W994" s="113"/>
      <c r="X994" s="113"/>
      <c r="Y994" s="113"/>
      <c r="Z994" s="92"/>
      <c r="AA994" s="92"/>
      <c r="AB994" s="92"/>
      <c r="AC994" s="164"/>
      <c r="AD994" s="164"/>
      <c r="AE994" s="164"/>
      <c r="AF994" s="164"/>
      <c r="AG994" s="92"/>
      <c r="AH994" s="92"/>
      <c r="AI994" s="92"/>
      <c r="AJ994" s="92"/>
      <c r="AM994" s="92"/>
      <c r="AN994" s="92"/>
      <c r="AO994" s="92"/>
      <c r="AW994" s="8"/>
      <c r="AY994" s="18"/>
    </row>
    <row r="995" ht="24.75" customHeight="1">
      <c r="C995" s="5" t="s">
        <v>239</v>
      </c>
    </row>
    <row r="996" spans="4:28" ht="24.75" customHeight="1">
      <c r="D996" s="92" t="s">
        <v>188</v>
      </c>
      <c r="E996" s="106"/>
      <c r="F996" s="106"/>
      <c r="G996" s="106"/>
      <c r="H996" s="106"/>
      <c r="I996" s="106"/>
      <c r="J996" s="106"/>
      <c r="K996" s="132">
        <f>+J993</f>
        <v>14</v>
      </c>
      <c r="L996" s="132"/>
      <c r="M996" s="19" t="s">
        <v>41</v>
      </c>
      <c r="N996" s="132">
        <f>+M993</f>
        <v>150</v>
      </c>
      <c r="O996" s="132"/>
      <c r="P996" s="132"/>
      <c r="Q996" s="19" t="s">
        <v>41</v>
      </c>
      <c r="R996" s="105">
        <f>+Q993</f>
        <v>157.5</v>
      </c>
      <c r="S996" s="105"/>
      <c r="T996" s="105"/>
      <c r="U996" s="105"/>
      <c r="V996" s="92" t="s">
        <v>34</v>
      </c>
      <c r="W996" s="89">
        <f>+K996*N996*R996/N997</f>
        <v>1575</v>
      </c>
      <c r="X996" s="89"/>
      <c r="Y996" s="89"/>
      <c r="Z996" s="89"/>
      <c r="AA996" s="103" t="s">
        <v>101</v>
      </c>
      <c r="AB996" s="103"/>
    </row>
    <row r="997" spans="4:54" ht="24.75" customHeight="1">
      <c r="D997" s="106"/>
      <c r="E997" s="106"/>
      <c r="F997" s="106"/>
      <c r="G997" s="106"/>
      <c r="H997" s="106"/>
      <c r="I997" s="106"/>
      <c r="J997" s="106"/>
      <c r="N997" s="89">
        <f>Z941</f>
        <v>210</v>
      </c>
      <c r="O997" s="89"/>
      <c r="P997" s="89"/>
      <c r="Q997" s="89"/>
      <c r="V997" s="92"/>
      <c r="W997" s="89"/>
      <c r="X997" s="89"/>
      <c r="Y997" s="89"/>
      <c r="Z997" s="89"/>
      <c r="AA997" s="103"/>
      <c r="AB997" s="103"/>
      <c r="AX997" s="23"/>
      <c r="AZ997" s="23"/>
      <c r="BB997" s="23"/>
    </row>
    <row r="998" spans="4:54" ht="24.75" customHeight="1">
      <c r="D998" s="5" t="s">
        <v>240</v>
      </c>
      <c r="I998" s="165">
        <v>2</v>
      </c>
      <c r="J998" s="165"/>
      <c r="K998" s="165"/>
      <c r="L998" s="126">
        <v>80</v>
      </c>
      <c r="M998" s="126"/>
      <c r="N998" s="126"/>
      <c r="O998" s="92">
        <v>9</v>
      </c>
      <c r="P998" s="92"/>
      <c r="Q998" s="127">
        <v>780</v>
      </c>
      <c r="R998" s="127"/>
      <c r="S998" s="127"/>
      <c r="T998" s="127"/>
      <c r="U998" s="5" t="s">
        <v>31</v>
      </c>
      <c r="W998" s="89">
        <f>+L998*O998*I998</f>
        <v>1440</v>
      </c>
      <c r="X998" s="89"/>
      <c r="Y998" s="89"/>
      <c r="Z998" s="89"/>
      <c r="AA998" s="5" t="s">
        <v>101</v>
      </c>
      <c r="AD998" s="5" t="str">
        <f>IF(W998&gt;=W996,"O.K.","N.G.")</f>
        <v>N.G.</v>
      </c>
      <c r="AT998" s="4"/>
      <c r="BB998" s="8"/>
    </row>
    <row r="1000" spans="2:15" ht="24.75" customHeight="1">
      <c r="B1000" s="5" t="s">
        <v>1</v>
      </c>
      <c r="I1000" s="92" t="str">
        <f>IF(O936&gt;0,"(下フランジ)","(上フランジ)")</f>
        <v>(下フランジ)</v>
      </c>
      <c r="J1000" s="92"/>
      <c r="K1000" s="92"/>
      <c r="L1000" s="92"/>
      <c r="M1000" s="92"/>
      <c r="N1000" s="92"/>
      <c r="O1000" s="5" t="s">
        <v>249</v>
      </c>
    </row>
    <row r="1001" spans="3:10" ht="24.75" customHeight="1">
      <c r="C1001" s="5" t="s">
        <v>115</v>
      </c>
      <c r="E1001" s="131">
        <f>IF(O936&gt;0,ABS(O940),ABS(O939))</f>
        <v>37.983402917</v>
      </c>
      <c r="F1001" s="131"/>
      <c r="G1001" s="131"/>
      <c r="H1001" s="131"/>
      <c r="I1001" s="131"/>
      <c r="J1001" s="5" t="s">
        <v>218</v>
      </c>
    </row>
    <row r="1002" spans="3:22" ht="24.75" customHeight="1">
      <c r="C1002" s="5" t="s">
        <v>116</v>
      </c>
      <c r="E1002" s="130">
        <f>+E946</f>
        <v>0.75</v>
      </c>
      <c r="F1002" s="130"/>
      <c r="G1002" s="130"/>
      <c r="H1002" s="130"/>
      <c r="I1002" s="5" t="s">
        <v>41</v>
      </c>
      <c r="J1002" s="102">
        <f>O941</f>
        <v>210</v>
      </c>
      <c r="K1002" s="102"/>
      <c r="L1002" s="102"/>
      <c r="M1002" s="5" t="s">
        <v>34</v>
      </c>
      <c r="N1002" s="89">
        <f>+E1002*J1002</f>
        <v>157.5</v>
      </c>
      <c r="O1002" s="89"/>
      <c r="P1002" s="89"/>
      <c r="Q1002" s="89"/>
      <c r="R1002" s="5" t="str">
        <f>+J1001</f>
        <v>N/㎟</v>
      </c>
      <c r="T1002" s="10"/>
      <c r="U1002" s="11"/>
      <c r="V1002" s="12" t="s">
        <v>178</v>
      </c>
    </row>
    <row r="1003" spans="3:20" ht="24.75" customHeight="1">
      <c r="C1003" s="5" t="s">
        <v>247</v>
      </c>
      <c r="L1003" s="5" t="str">
        <f>IF(O936&gt;0,"σl","σu")</f>
        <v>σl</v>
      </c>
      <c r="N1003" s="5" t="s">
        <v>179</v>
      </c>
      <c r="P1003" s="89">
        <f>+MAX(E1001,N1002)</f>
        <v>157.5</v>
      </c>
      <c r="Q1003" s="89"/>
      <c r="R1003" s="89"/>
      <c r="S1003" s="89"/>
      <c r="T1003" s="5" t="s">
        <v>222</v>
      </c>
    </row>
    <row r="1005" ht="24.75" customHeight="1">
      <c r="G1005" s="9"/>
    </row>
    <row r="1006" spans="7:42" ht="24.75" customHeight="1">
      <c r="G1006" s="9"/>
      <c r="AH1006" s="5" t="s">
        <v>180</v>
      </c>
      <c r="AM1006" s="163">
        <v>21</v>
      </c>
      <c r="AN1006" s="163"/>
      <c r="AO1006" s="163"/>
      <c r="AP1006" s="5" t="s">
        <v>84</v>
      </c>
    </row>
    <row r="1007" spans="7:42" ht="24.75" customHeight="1">
      <c r="G1007" s="9"/>
      <c r="AH1007" s="5" t="s">
        <v>217</v>
      </c>
      <c r="AM1007" s="163">
        <v>2340</v>
      </c>
      <c r="AN1007" s="163"/>
      <c r="AO1007" s="163"/>
      <c r="AP1007" s="5" t="s">
        <v>84</v>
      </c>
    </row>
    <row r="1008" spans="34:43" ht="24.75" customHeight="1">
      <c r="AH1008" s="5" t="s">
        <v>210</v>
      </c>
      <c r="AO1008" s="163">
        <v>120</v>
      </c>
      <c r="AP1008" s="163"/>
      <c r="AQ1008" s="5" t="s">
        <v>84</v>
      </c>
    </row>
    <row r="1009" spans="34:38" ht="24.75" customHeight="1">
      <c r="AH1009" s="5" t="s">
        <v>201</v>
      </c>
      <c r="AL1009" s="5" t="s">
        <v>213</v>
      </c>
    </row>
    <row r="1010" spans="5:38" ht="24.75" customHeight="1">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row>
    <row r="1011" spans="5:38" ht="24.75" customHeight="1">
      <c r="E1011" s="34"/>
      <c r="F1011" s="34"/>
      <c r="G1011" s="14"/>
      <c r="H1011" s="14"/>
      <c r="I1011" s="14"/>
      <c r="J1011" s="13"/>
      <c r="K1011" s="13"/>
      <c r="L1011" s="13"/>
      <c r="M1011" s="14"/>
      <c r="N1011" s="16"/>
      <c r="O1011" s="16"/>
      <c r="P1011" s="16"/>
      <c r="Q1011" s="14"/>
      <c r="R1011" s="16"/>
      <c r="S1011" s="16"/>
      <c r="T1011" s="16"/>
      <c r="U1011" s="16"/>
      <c r="V1011" s="13"/>
      <c r="W1011" s="35"/>
      <c r="X1011" s="35"/>
      <c r="Y1011" s="35"/>
      <c r="Z1011" s="35"/>
      <c r="AA1011" s="13"/>
      <c r="AB1011" s="13"/>
      <c r="AC1011" s="13"/>
      <c r="AD1011" s="168"/>
      <c r="AE1011" s="168"/>
      <c r="AF1011" s="168"/>
      <c r="AG1011" s="168"/>
      <c r="AH1011" s="13"/>
      <c r="AI1011" s="13"/>
      <c r="AJ1011" s="13"/>
      <c r="AK1011" s="13"/>
      <c r="AL1011" s="14"/>
    </row>
    <row r="1012" spans="5:38" ht="24.75" customHeight="1">
      <c r="E1012" s="34"/>
      <c r="F1012" s="34"/>
      <c r="G1012" s="13"/>
      <c r="H1012" s="13"/>
      <c r="I1012" s="13"/>
      <c r="J1012" s="13"/>
      <c r="K1012" s="14"/>
      <c r="L1012" s="14"/>
      <c r="M1012" s="14"/>
      <c r="N1012" s="16"/>
      <c r="O1012" s="16"/>
      <c r="P1012" s="16"/>
      <c r="Q1012" s="16"/>
      <c r="R1012" s="14"/>
      <c r="S1012" s="14"/>
      <c r="T1012" s="14"/>
      <c r="U1012" s="14"/>
      <c r="V1012" s="13"/>
      <c r="W1012" s="35"/>
      <c r="X1012" s="35"/>
      <c r="Y1012" s="35"/>
      <c r="Z1012" s="35"/>
      <c r="AA1012" s="13"/>
      <c r="AB1012" s="13"/>
      <c r="AC1012" s="13"/>
      <c r="AD1012" s="168"/>
      <c r="AE1012" s="168"/>
      <c r="AF1012" s="168"/>
      <c r="AG1012" s="168"/>
      <c r="AH1012" s="13"/>
      <c r="AI1012" s="13"/>
      <c r="AJ1012" s="13"/>
      <c r="AK1012" s="13"/>
      <c r="AL1012" s="14"/>
    </row>
    <row r="1013" spans="5:38" ht="24.75" customHeight="1">
      <c r="E1013" s="13"/>
      <c r="F1013" s="34"/>
      <c r="G1013" s="34"/>
      <c r="H1013" s="34"/>
      <c r="I1013" s="34"/>
      <c r="J1013" s="34"/>
      <c r="K1013" s="34"/>
      <c r="L1013" s="16"/>
      <c r="M1013" s="16"/>
      <c r="N1013" s="14"/>
      <c r="O1013" s="16"/>
      <c r="P1013" s="16"/>
      <c r="Q1013" s="16"/>
      <c r="R1013" s="14"/>
      <c r="S1013" s="16"/>
      <c r="T1013" s="16"/>
      <c r="U1013" s="16"/>
      <c r="V1013" s="16"/>
      <c r="W1013" s="13"/>
      <c r="X1013" s="16"/>
      <c r="Y1013" s="16"/>
      <c r="Z1013" s="16"/>
      <c r="AA1013" s="16"/>
      <c r="AB1013" s="36"/>
      <c r="AC1013" s="36"/>
      <c r="AD1013" s="14"/>
      <c r="AE1013" s="14"/>
      <c r="AF1013" s="14"/>
      <c r="AG1013" s="14"/>
      <c r="AH1013" s="14"/>
      <c r="AI1013" s="14"/>
      <c r="AJ1013" s="14"/>
      <c r="AK1013" s="14"/>
      <c r="AL1013" s="14"/>
    </row>
    <row r="1014" spans="7:30" ht="24.75" customHeight="1">
      <c r="G1014" s="34"/>
      <c r="H1014" s="34"/>
      <c r="I1014" s="34"/>
      <c r="J1014" s="34"/>
      <c r="K1014" s="34"/>
      <c r="L1014" s="14"/>
      <c r="M1014" s="14"/>
      <c r="N1014" s="14"/>
      <c r="O1014" s="16"/>
      <c r="P1014" s="16"/>
      <c r="Q1014" s="16"/>
      <c r="R1014" s="16"/>
      <c r="S1014" s="14"/>
      <c r="T1014" s="14"/>
      <c r="U1014" s="14"/>
      <c r="V1014" s="14"/>
      <c r="W1014" s="13"/>
      <c r="X1014" s="16"/>
      <c r="Y1014" s="16"/>
      <c r="Z1014" s="16"/>
      <c r="AA1014" s="16"/>
      <c r="AB1014" s="36"/>
      <c r="AC1014" s="36"/>
      <c r="AD1014" s="14"/>
    </row>
    <row r="1015" ht="24.75" customHeight="1">
      <c r="C1015" s="5" t="s">
        <v>181</v>
      </c>
    </row>
    <row r="1016" ht="24.75" customHeight="1">
      <c r="D1016" s="5" t="s">
        <v>2</v>
      </c>
    </row>
    <row r="1017" spans="4:38" ht="24.75" customHeight="1">
      <c r="D1017" s="5" t="s">
        <v>3</v>
      </c>
      <c r="S1017" s="5" t="s">
        <v>190</v>
      </c>
      <c r="AB1017" s="150">
        <v>26.5</v>
      </c>
      <c r="AC1017" s="150"/>
      <c r="AD1017" s="150"/>
      <c r="AE1017" s="5" t="s">
        <v>191</v>
      </c>
      <c r="AK1017" s="169">
        <v>5</v>
      </c>
      <c r="AL1017" s="5" t="s">
        <v>203</v>
      </c>
    </row>
    <row r="1018" spans="5:71" ht="24.75" customHeight="1">
      <c r="E1018" s="37" t="str">
        <f>IF(AW1018=1,"Ar = ( "&amp;AB1017&amp;" + "&amp;ROUND(AB1017-(BA1018^2/4/BG1018),3)&amp;" ) × "&amp;AB1065&amp;" = ","Ar = "&amp;AB1017&amp;"× "&amp;BR1018&amp;"本 ×"&amp;AB1065&amp;" = ")</f>
        <v>Ar = 26.5× 1本 ×14 = </v>
      </c>
      <c r="F1018" s="34"/>
      <c r="R1018" s="128">
        <f>IF(AW1018=1,(AB1017+(AB1017-(BA1018^2/4/BG1018)))*AB1065,AB1017*BR1018*AB1065)</f>
        <v>371</v>
      </c>
      <c r="S1018" s="128"/>
      <c r="T1018" s="128"/>
      <c r="U1018" s="128"/>
      <c r="V1018" s="128"/>
      <c r="W1018" s="5">
        <f>IF(AW1018=1,"∵ w = d - p2/4g = "&amp;AB1017&amp;" - "&amp;BA1018&amp;"²/ ( 4 × "&amp;BG1018&amp;" ) = "&amp;ROUND(AB1017-(BA1018^2/4/BG1018),3)&amp;" mm","")</f>
      </c>
      <c r="Y1018" s="38"/>
      <c r="Z1018" s="39"/>
      <c r="AA1018" s="39"/>
      <c r="AB1018" s="39"/>
      <c r="AD1018" s="40"/>
      <c r="AE1018" s="40"/>
      <c r="AF1018" s="40"/>
      <c r="AG1018" s="18"/>
      <c r="AI1018" s="28"/>
      <c r="AJ1018" s="28"/>
      <c r="AL1018" s="41"/>
      <c r="AM1018" s="41"/>
      <c r="AN1018" s="41"/>
      <c r="AP1018" s="13"/>
      <c r="AU1018" s="5" t="s">
        <v>154</v>
      </c>
      <c r="AW1018" s="169">
        <v>0</v>
      </c>
      <c r="AX1018" s="5" t="s">
        <v>155</v>
      </c>
      <c r="AY1018" s="5" t="s">
        <v>141</v>
      </c>
      <c r="BA1018" s="163">
        <v>75</v>
      </c>
      <c r="BB1018" s="163"/>
      <c r="BC1018" s="163"/>
      <c r="BD1018" s="5" t="s">
        <v>155</v>
      </c>
      <c r="BE1018" s="5" t="s">
        <v>142</v>
      </c>
      <c r="BG1018" s="163">
        <v>0</v>
      </c>
      <c r="BH1018" s="163"/>
      <c r="BI1018" s="163"/>
      <c r="BJ1018" s="5" t="s">
        <v>155</v>
      </c>
      <c r="BK1018" s="5" t="s">
        <v>254</v>
      </c>
      <c r="BR1018" s="169">
        <v>1</v>
      </c>
      <c r="BS1018" s="5" t="s">
        <v>204</v>
      </c>
    </row>
    <row r="1019" spans="4:45" ht="24.75" customHeight="1">
      <c r="D1019" s="5" t="s">
        <v>182</v>
      </c>
      <c r="I1019" s="5" t="str">
        <f>IF(O936&gt;0,"(As＋Ar×"&amp;AK1017&amp;")σs＋2 Pfwl","(As＋Ar×"&amp;AK1017&amp;")σs＋2 Pfwu")</f>
        <v>(As＋Ar×5)σs＋2 Pfwl</v>
      </c>
      <c r="R1019" s="5" t="s">
        <v>89</v>
      </c>
      <c r="S1019" s="5" t="s">
        <v>87</v>
      </c>
      <c r="T1019" s="42">
        <f>AM1006*AM1007</f>
        <v>49140</v>
      </c>
      <c r="U1019" s="42"/>
      <c r="V1019" s="43"/>
      <c r="W1019" s="43" t="s">
        <v>143</v>
      </c>
      <c r="X1019" s="39">
        <f>R1018*AK1017</f>
        <v>1855</v>
      </c>
      <c r="Y1019" s="39"/>
      <c r="Z1019" s="39"/>
      <c r="AA1019" s="5" t="s">
        <v>144</v>
      </c>
      <c r="AB1019" s="14" t="s">
        <v>137</v>
      </c>
      <c r="AC1019" s="108">
        <f>P1003</f>
        <v>157.5</v>
      </c>
      <c r="AD1019" s="108"/>
      <c r="AE1019" s="108"/>
      <c r="AF1019" s="14" t="s">
        <v>143</v>
      </c>
      <c r="AG1019" s="95">
        <f>IF(O936&gt;0,AD1119,AD1102)</f>
        <v>49071.53011540727</v>
      </c>
      <c r="AH1019" s="95"/>
      <c r="AI1019" s="95"/>
      <c r="AJ1019" s="95"/>
      <c r="AK1019" s="14" t="s">
        <v>138</v>
      </c>
      <c r="AL1019" s="14"/>
      <c r="AM1019" s="5" t="s">
        <v>89</v>
      </c>
      <c r="AN1019" s="129">
        <f>(T1019+X1019)*AC1019+AG1019*2</f>
        <v>8129855.560230815</v>
      </c>
      <c r="AO1019" s="129"/>
      <c r="AP1019" s="129"/>
      <c r="AQ1019" s="129"/>
      <c r="AR1019" s="129"/>
      <c r="AS1019" s="129"/>
    </row>
    <row r="1020" spans="9:31" ht="24.75" customHeight="1">
      <c r="I1020" s="5" t="s">
        <v>200</v>
      </c>
      <c r="V1020" s="5" t="str">
        <f>IF(O936&gt;0,"Pfwl","Pfwu")</f>
        <v>Pfwl</v>
      </c>
      <c r="X1020" s="14" t="s">
        <v>183</v>
      </c>
      <c r="Y1020" s="14"/>
      <c r="AA1020" s="6"/>
      <c r="AB1020" s="6"/>
      <c r="AC1020" s="6"/>
      <c r="AD1020" s="6"/>
      <c r="AE1020" s="6"/>
    </row>
    <row r="1021" spans="4:41" ht="24.75" customHeight="1">
      <c r="D1021" s="5" t="s">
        <v>151</v>
      </c>
      <c r="F1021" s="14" t="s">
        <v>152</v>
      </c>
      <c r="J1021" s="5" t="s">
        <v>89</v>
      </c>
      <c r="K1021" s="102">
        <f>AN1019</f>
        <v>8129855.560230815</v>
      </c>
      <c r="L1021" s="102"/>
      <c r="M1021" s="102"/>
      <c r="N1021" s="102"/>
      <c r="O1021" s="102"/>
      <c r="P1021" s="102"/>
      <c r="Q1021" s="17" t="s">
        <v>88</v>
      </c>
      <c r="R1021" s="89">
        <f>AA942</f>
        <v>96000</v>
      </c>
      <c r="S1021" s="89"/>
      <c r="T1021" s="89"/>
      <c r="U1021" s="89"/>
      <c r="V1021" s="8" t="s">
        <v>89</v>
      </c>
      <c r="W1021" s="113">
        <f>ROUND(K1021/R1021,1)</f>
        <v>84.7</v>
      </c>
      <c r="X1021" s="113"/>
      <c r="Y1021" s="113"/>
      <c r="Z1021" s="113"/>
      <c r="AA1021" s="92" t="s">
        <v>43</v>
      </c>
      <c r="AB1021" s="92"/>
      <c r="AC1021" s="6"/>
      <c r="AD1021" s="6"/>
      <c r="AE1021" s="164">
        <v>74</v>
      </c>
      <c r="AF1021" s="164"/>
      <c r="AG1021" s="164"/>
      <c r="AH1021" s="164"/>
      <c r="AI1021" s="92" t="s">
        <v>5</v>
      </c>
      <c r="AJ1021" s="92"/>
      <c r="AK1021" s="92"/>
      <c r="AL1021" s="92"/>
      <c r="AM1021" s="92"/>
      <c r="AO1021" s="5" t="str">
        <f>IF(W1021&lt;=AE1021,"O.K.","N.G.")</f>
        <v>N.G.</v>
      </c>
    </row>
    <row r="1022" ht="24.75" customHeight="1">
      <c r="C1022" s="5" t="s">
        <v>239</v>
      </c>
    </row>
    <row r="1023" spans="4:34" ht="24.75" customHeight="1">
      <c r="D1023" s="18" t="s">
        <v>194</v>
      </c>
      <c r="E1023" s="18"/>
      <c r="F1023" s="18"/>
      <c r="G1023" s="18"/>
      <c r="H1023" s="18"/>
      <c r="I1023" s="18"/>
      <c r="J1023" s="18"/>
      <c r="P1023" s="15"/>
      <c r="Q1023" s="102">
        <f>AN1019</f>
        <v>8129855.560230815</v>
      </c>
      <c r="R1023" s="102"/>
      <c r="S1023" s="102"/>
      <c r="T1023" s="102"/>
      <c r="U1023" s="102"/>
      <c r="V1023" s="102"/>
      <c r="W1023" s="17" t="s">
        <v>88</v>
      </c>
      <c r="X1023" s="108">
        <f>O941</f>
        <v>210</v>
      </c>
      <c r="Y1023" s="108"/>
      <c r="Z1023" s="108"/>
      <c r="AA1023" s="108"/>
      <c r="AB1023" s="8" t="s">
        <v>34</v>
      </c>
      <c r="AC1023" s="89">
        <f>Q1023/X1023</f>
        <v>38713.597905861025</v>
      </c>
      <c r="AD1023" s="89"/>
      <c r="AE1023" s="89"/>
      <c r="AF1023" s="89"/>
      <c r="AG1023" s="92" t="s">
        <v>101</v>
      </c>
      <c r="AH1023" s="92"/>
    </row>
    <row r="1024" spans="4:27" ht="24.75" customHeight="1">
      <c r="D1024" s="5" t="s">
        <v>240</v>
      </c>
      <c r="I1024" s="165">
        <v>2</v>
      </c>
      <c r="J1024" s="165"/>
      <c r="K1024" s="165"/>
      <c r="L1024" s="126">
        <v>80</v>
      </c>
      <c r="M1024" s="126"/>
      <c r="N1024" s="126"/>
      <c r="O1024" s="163">
        <v>9</v>
      </c>
      <c r="P1024" s="163"/>
      <c r="Q1024" s="127">
        <v>630</v>
      </c>
      <c r="R1024" s="127"/>
      <c r="S1024" s="127"/>
      <c r="T1024" s="127"/>
      <c r="U1024" s="5" t="s">
        <v>31</v>
      </c>
      <c r="W1024" s="89">
        <f>+L1024*O1024*I1024</f>
        <v>1440</v>
      </c>
      <c r="X1024" s="89"/>
      <c r="Y1024" s="89"/>
      <c r="Z1024" s="89"/>
      <c r="AA1024" s="5" t="s">
        <v>101</v>
      </c>
    </row>
    <row r="1025" spans="9:27" ht="24.75" customHeight="1">
      <c r="I1025" s="165">
        <v>6</v>
      </c>
      <c r="J1025" s="165"/>
      <c r="K1025" s="165"/>
      <c r="L1025" s="126">
        <v>280</v>
      </c>
      <c r="M1025" s="126"/>
      <c r="N1025" s="126"/>
      <c r="O1025" s="163">
        <v>9</v>
      </c>
      <c r="P1025" s="163"/>
      <c r="Q1025" s="127">
        <f>Q1024</f>
        <v>630</v>
      </c>
      <c r="R1025" s="127"/>
      <c r="S1025" s="127"/>
      <c r="T1025" s="127"/>
      <c r="U1025" s="5" t="s">
        <v>31</v>
      </c>
      <c r="W1025" s="89">
        <f>+L1025*O1025*I1025</f>
        <v>15120</v>
      </c>
      <c r="X1025" s="89"/>
      <c r="Y1025" s="89"/>
      <c r="Z1025" s="89"/>
      <c r="AA1025" s="5" t="s">
        <v>101</v>
      </c>
    </row>
    <row r="1026" spans="9:28" ht="24.75" customHeight="1">
      <c r="I1026" s="165">
        <v>1</v>
      </c>
      <c r="J1026" s="165"/>
      <c r="K1026" s="165"/>
      <c r="L1026" s="126">
        <f>+AM1007-10</f>
        <v>2330</v>
      </c>
      <c r="M1026" s="126"/>
      <c r="N1026" s="126"/>
      <c r="O1026" s="163">
        <v>9</v>
      </c>
      <c r="P1026" s="163"/>
      <c r="Q1026" s="127">
        <f>Q1025</f>
        <v>630</v>
      </c>
      <c r="R1026" s="127"/>
      <c r="S1026" s="127"/>
      <c r="T1026" s="127"/>
      <c r="U1026" s="19" t="s">
        <v>31</v>
      </c>
      <c r="V1026" s="19"/>
      <c r="W1026" s="105">
        <f>+L1026*O1026*I1026</f>
        <v>20970</v>
      </c>
      <c r="X1026" s="105"/>
      <c r="Y1026" s="105"/>
      <c r="Z1026" s="105"/>
      <c r="AA1026" s="19" t="s">
        <v>101</v>
      </c>
      <c r="AB1026" s="19"/>
    </row>
    <row r="1027" spans="21:27" ht="24.75" customHeight="1">
      <c r="U1027" s="5" t="s">
        <v>32</v>
      </c>
      <c r="W1027" s="89">
        <f>+SUM(W1024:W1026)</f>
        <v>37530</v>
      </c>
      <c r="X1027" s="89"/>
      <c r="Y1027" s="89"/>
      <c r="Z1027" s="89"/>
      <c r="AA1027" s="5" t="s">
        <v>101</v>
      </c>
    </row>
    <row r="1028" ht="24.75" customHeight="1">
      <c r="D1028" s="5" t="s">
        <v>242</v>
      </c>
    </row>
    <row r="1029" spans="5:65" ht="24.75" customHeight="1">
      <c r="E1029" s="5" t="s">
        <v>156</v>
      </c>
      <c r="H1029" s="5" t="s">
        <v>87</v>
      </c>
      <c r="I1029" s="124">
        <f>+W1027</f>
        <v>37530</v>
      </c>
      <c r="J1029" s="124"/>
      <c r="K1029" s="124"/>
      <c r="L1029" s="5" t="s">
        <v>46</v>
      </c>
      <c r="M1029" s="89">
        <f>+(+H942+3)</f>
        <v>25</v>
      </c>
      <c r="N1029" s="89"/>
      <c r="O1029" s="89"/>
      <c r="P1029" s="5" t="s">
        <v>41</v>
      </c>
      <c r="Q1029" s="89">
        <f>O1025</f>
        <v>9</v>
      </c>
      <c r="R1029" s="89"/>
      <c r="S1029" s="89"/>
      <c r="T1029" s="5" t="s">
        <v>41</v>
      </c>
      <c r="U1029" s="125">
        <f>BA1029</f>
        <v>14</v>
      </c>
      <c r="V1029" s="125"/>
      <c r="W1029" s="125"/>
      <c r="X1029" s="5" t="s">
        <v>41</v>
      </c>
      <c r="Y1029" s="122">
        <v>2</v>
      </c>
      <c r="Z1029" s="122"/>
      <c r="AA1029" s="122"/>
      <c r="AB1029" s="5" t="s">
        <v>140</v>
      </c>
      <c r="AC1029" s="80">
        <f>IF(AW1018=1,ROUND((AB1017+(AB1017-(BA1018^2/4/BG1018)))*AB1065,2),ROUND(AB1017*BR1018*AB1065,2))</f>
        <v>371</v>
      </c>
      <c r="AD1029" s="80"/>
      <c r="AE1029" s="80"/>
      <c r="AF1029" s="5" t="s">
        <v>41</v>
      </c>
      <c r="AG1029" s="122">
        <f>AK1017</f>
        <v>5</v>
      </c>
      <c r="AH1029" s="122"/>
      <c r="AI1029" s="122"/>
      <c r="AJ1029" s="5" t="s">
        <v>139</v>
      </c>
      <c r="AO1029" s="5" t="str">
        <f>IF(BA1029=BJ1029,"","( 第1列 )")</f>
        <v>( 第1列 )</v>
      </c>
      <c r="AU1029" s="5" t="s">
        <v>255</v>
      </c>
      <c r="BA1029" s="163">
        <v>14</v>
      </c>
      <c r="BB1029" s="163"/>
      <c r="BD1029" s="5" t="s">
        <v>256</v>
      </c>
      <c r="BJ1029" s="163">
        <v>20</v>
      </c>
      <c r="BK1029" s="163"/>
      <c r="BM1029" s="1"/>
    </row>
    <row r="1030" spans="3:24" ht="24.75" customHeight="1">
      <c r="C1030" s="44"/>
      <c r="E1030" s="44"/>
      <c r="G1030" s="5" t="s">
        <v>34</v>
      </c>
      <c r="H1030" s="89">
        <f>(I1029-M1029*Q1029*U1029*Y1029-AC1029*AG1029)*1.1</f>
        <v>32312.500000000004</v>
      </c>
      <c r="I1030" s="89"/>
      <c r="J1030" s="89"/>
      <c r="K1030" s="89"/>
      <c r="L1030" s="5" t="str">
        <f>IF(H1030&gt;AC1023,"mm²  ＞  Asreq'd =","cm² ＜  Asreq'd =")</f>
        <v>cm² ＜  Asreq'd =</v>
      </c>
      <c r="T1030" s="89">
        <f>AC1023</f>
        <v>38713.597905861025</v>
      </c>
      <c r="U1030" s="89"/>
      <c r="V1030" s="89"/>
      <c r="W1030" s="89"/>
      <c r="X1030" s="5" t="str">
        <f>IF(H1030&gt;AC1023,"mm²  O.K","mm²  N.G")</f>
        <v>mm²  N.G</v>
      </c>
    </row>
    <row r="1031" spans="3:40" ht="24.75" customHeight="1">
      <c r="C1031" s="44"/>
      <c r="D1031" s="4" t="s">
        <v>243</v>
      </c>
      <c r="E1031" s="4"/>
      <c r="F1031" s="4"/>
      <c r="G1031" s="4"/>
      <c r="H1031" s="4"/>
      <c r="I1031" s="4"/>
      <c r="J1031" s="4"/>
      <c r="K1031" s="4"/>
      <c r="P1031" s="5" t="s">
        <v>89</v>
      </c>
      <c r="Q1031" s="102">
        <f>AN1019</f>
        <v>8129855.560230815</v>
      </c>
      <c r="R1031" s="102"/>
      <c r="S1031" s="102"/>
      <c r="T1031" s="102"/>
      <c r="U1031" s="102"/>
      <c r="V1031" s="102"/>
      <c r="W1031" s="17" t="s">
        <v>88</v>
      </c>
      <c r="X1031" s="89">
        <f>H1030</f>
        <v>32312.500000000004</v>
      </c>
      <c r="Y1031" s="89"/>
      <c r="Z1031" s="89"/>
      <c r="AA1031" s="89"/>
      <c r="AB1031" s="8" t="s">
        <v>34</v>
      </c>
      <c r="AC1031" s="116">
        <f>Q1031/X1031</f>
        <v>251.60094577116638</v>
      </c>
      <c r="AD1031" s="116"/>
      <c r="AE1031" s="116"/>
      <c r="AF1031" s="116"/>
      <c r="AG1031" s="18" t="str">
        <f>IF(AC1031&gt;O941,"N/㎟ ＞  σta ,  N.G","N/㎟ ＜  σta ,  O.K")</f>
        <v>N/㎟ ＞  σta ,  N.G</v>
      </c>
      <c r="AH1031" s="18"/>
      <c r="AI1031" s="18"/>
      <c r="AJ1031" s="18"/>
      <c r="AK1031" s="18"/>
      <c r="AL1031" s="18"/>
      <c r="AM1031" s="18"/>
      <c r="AN1031" s="18"/>
    </row>
    <row r="1032" spans="5:41" ht="24.75" customHeight="1">
      <c r="E1032" s="5" t="s">
        <v>157</v>
      </c>
      <c r="H1032" s="5" t="s">
        <v>87</v>
      </c>
      <c r="I1032" s="124">
        <f>I1029</f>
        <v>37530</v>
      </c>
      <c r="J1032" s="124"/>
      <c r="K1032" s="124"/>
      <c r="L1032" s="5" t="s">
        <v>46</v>
      </c>
      <c r="M1032" s="89">
        <f>M1029</f>
        <v>25</v>
      </c>
      <c r="N1032" s="89"/>
      <c r="O1032" s="89"/>
      <c r="P1032" s="5" t="s">
        <v>41</v>
      </c>
      <c r="Q1032" s="89">
        <f>Q1029</f>
        <v>9</v>
      </c>
      <c r="R1032" s="89"/>
      <c r="S1032" s="89"/>
      <c r="T1032" s="5" t="s">
        <v>41</v>
      </c>
      <c r="U1032" s="125">
        <f>BJ1029</f>
        <v>20</v>
      </c>
      <c r="V1032" s="125"/>
      <c r="W1032" s="125"/>
      <c r="X1032" s="5" t="s">
        <v>41</v>
      </c>
      <c r="Y1032" s="122">
        <v>2</v>
      </c>
      <c r="Z1032" s="122"/>
      <c r="AA1032" s="122"/>
      <c r="AB1032" s="5" t="s">
        <v>140</v>
      </c>
      <c r="AC1032" s="80">
        <f>AC1029</f>
        <v>371</v>
      </c>
      <c r="AD1032" s="80"/>
      <c r="AE1032" s="80"/>
      <c r="AF1032" s="5" t="s">
        <v>41</v>
      </c>
      <c r="AG1032" s="122">
        <f>AG1029</f>
        <v>5</v>
      </c>
      <c r="AH1032" s="122"/>
      <c r="AI1032" s="122"/>
      <c r="AJ1032" s="5" t="s">
        <v>139</v>
      </c>
      <c r="AO1032" s="5" t="str">
        <f>IF(BA1029=BJ1029,"","( 第2列 )")</f>
        <v>( 第2列 )</v>
      </c>
    </row>
    <row r="1033" spans="3:12" ht="24.75" customHeight="1">
      <c r="C1033" s="44"/>
      <c r="E1033" s="44"/>
      <c r="G1033" s="5" t="s">
        <v>34</v>
      </c>
      <c r="H1033" s="89">
        <f>(I1032-M1032*Q1032*U1032*Y1032-AC1032*AG1032)*1.1</f>
        <v>29342.500000000004</v>
      </c>
      <c r="I1033" s="89"/>
      <c r="J1033" s="89"/>
      <c r="K1033" s="89"/>
      <c r="L1033" s="5" t="s">
        <v>101</v>
      </c>
    </row>
    <row r="1034" spans="3:17" ht="24.75" customHeight="1">
      <c r="C1034" s="44"/>
      <c r="D1034" s="4" t="s">
        <v>244</v>
      </c>
      <c r="E1034" s="4"/>
      <c r="F1034" s="4"/>
      <c r="G1034" s="4"/>
      <c r="H1034" s="4"/>
      <c r="I1034" s="4"/>
      <c r="J1034" s="4"/>
      <c r="K1034" s="4"/>
      <c r="Q1034" s="5" t="str">
        <f>"("&amp;AE1021&amp;" - "&amp;U1029&amp;") / "&amp;AE1021</f>
        <v>(74 - 14) / 74</v>
      </c>
    </row>
    <row r="1035" spans="3:40" ht="24.75" customHeight="1">
      <c r="C1035" s="44"/>
      <c r="D1035" s="37"/>
      <c r="E1035" s="37"/>
      <c r="F1035" s="37"/>
      <c r="G1035" s="37"/>
      <c r="H1035" s="37"/>
      <c r="I1035" s="37"/>
      <c r="J1035" s="37"/>
      <c r="K1035" s="5" t="s">
        <v>89</v>
      </c>
      <c r="L1035" s="102">
        <f>Q1031</f>
        <v>8129855.560230815</v>
      </c>
      <c r="M1035" s="102"/>
      <c r="N1035" s="102"/>
      <c r="O1035" s="102"/>
      <c r="P1035" s="102"/>
      <c r="Q1035" s="102"/>
      <c r="R1035" s="17" t="s">
        <v>88</v>
      </c>
      <c r="S1035" s="89">
        <f>H1033</f>
        <v>29342.500000000004</v>
      </c>
      <c r="T1035" s="89"/>
      <c r="U1035" s="89"/>
      <c r="V1035" s="89"/>
      <c r="W1035" s="5" t="s">
        <v>41</v>
      </c>
      <c r="X1035" s="123">
        <f>(AE1021-U1029)/AE1021</f>
        <v>0.8108108108108109</v>
      </c>
      <c r="Y1035" s="123"/>
      <c r="Z1035" s="123"/>
      <c r="AA1035" s="8" t="s">
        <v>34</v>
      </c>
      <c r="AB1035" s="116">
        <f>L1035/S1035*X1035</f>
        <v>224.64939178889068</v>
      </c>
      <c r="AC1035" s="116"/>
      <c r="AD1035" s="116"/>
      <c r="AE1035" s="116"/>
      <c r="AF1035" s="18" t="str">
        <f>IF(AB1035&gt;O941,"N/㎟ ＞  σta ,  N.G","N/㎟ ＜  σta ,  O.K")</f>
        <v>N/㎟ ＞  σta ,  N.G</v>
      </c>
      <c r="AG1035" s="18"/>
      <c r="AH1035" s="18"/>
      <c r="AI1035" s="18"/>
      <c r="AJ1035" s="18"/>
      <c r="AK1035" s="18"/>
      <c r="AL1035" s="18"/>
      <c r="AM1035" s="18"/>
      <c r="AN1035" s="36"/>
    </row>
    <row r="1036" spans="3:17" ht="24.75" customHeight="1">
      <c r="C1036" s="44"/>
      <c r="D1036" s="37"/>
      <c r="E1036" s="37"/>
      <c r="F1036" s="37"/>
      <c r="G1036" s="37"/>
      <c r="H1036" s="37"/>
      <c r="I1036" s="37"/>
      <c r="J1036" s="37"/>
      <c r="L1036" s="6"/>
      <c r="M1036" s="6"/>
      <c r="N1036" s="6"/>
      <c r="O1036" s="6"/>
      <c r="P1036" s="6"/>
      <c r="Q1036" s="17"/>
    </row>
    <row r="1037" ht="24.75" customHeight="1">
      <c r="C1037" s="5" t="s">
        <v>192</v>
      </c>
    </row>
    <row r="1038" ht="24.75" customHeight="1">
      <c r="C1038" s="5" t="s">
        <v>193</v>
      </c>
    </row>
    <row r="1039" spans="4:37" ht="24.75" customHeight="1">
      <c r="D1039" s="4" t="s">
        <v>153</v>
      </c>
      <c r="E1039" s="21"/>
      <c r="F1039" s="21"/>
      <c r="G1039" s="13"/>
      <c r="H1039" s="13"/>
      <c r="I1039" s="8"/>
      <c r="J1039" s="120">
        <f>AN1019</f>
        <v>8129855.560230815</v>
      </c>
      <c r="K1039" s="120"/>
      <c r="L1039" s="120"/>
      <c r="M1039" s="120"/>
      <c r="N1039" s="120"/>
      <c r="O1039" s="120"/>
      <c r="P1039" s="46" t="s">
        <v>88</v>
      </c>
      <c r="Q1039" s="121">
        <f>AE1021</f>
        <v>74</v>
      </c>
      <c r="R1039" s="121"/>
      <c r="S1039" s="121"/>
      <c r="T1039" s="121"/>
      <c r="V1039" s="8" t="s">
        <v>34</v>
      </c>
      <c r="W1039" s="100">
        <f>J1039/Q1039</f>
        <v>109862.91297609209</v>
      </c>
      <c r="X1039" s="100"/>
      <c r="Y1039" s="100"/>
      <c r="Z1039" s="100"/>
      <c r="AA1039" s="18" t="s">
        <v>202</v>
      </c>
      <c r="AB1039" s="8"/>
      <c r="AC1039" s="8"/>
      <c r="AD1039" s="18" t="str">
        <f>IF(W1039&gt;AA942," ＞  ρa    N.G","＜ ρa    O.K")</f>
        <v> ＞  ρa    N.G</v>
      </c>
      <c r="AE1039" s="8"/>
      <c r="AF1039" s="8"/>
      <c r="AG1039" s="8"/>
      <c r="AH1039" s="8"/>
      <c r="AI1039" s="8"/>
      <c r="AJ1039" s="8"/>
      <c r="AK1039" s="8"/>
    </row>
    <row r="1040" spans="4:37" ht="24.75" customHeight="1">
      <c r="D1040" s="4"/>
      <c r="E1040" s="21"/>
      <c r="F1040" s="21"/>
      <c r="G1040" s="13"/>
      <c r="H1040" s="13"/>
      <c r="I1040" s="8"/>
      <c r="J1040" s="45"/>
      <c r="K1040" s="45"/>
      <c r="L1040" s="45"/>
      <c r="M1040" s="45"/>
      <c r="N1040" s="45"/>
      <c r="O1040" s="46"/>
      <c r="P1040" s="35"/>
      <c r="Q1040" s="35"/>
      <c r="R1040" s="35"/>
      <c r="S1040" s="35"/>
      <c r="U1040" s="8"/>
      <c r="V1040" s="22"/>
      <c r="W1040" s="22"/>
      <c r="X1040" s="22"/>
      <c r="Y1040" s="22"/>
      <c r="Z1040" s="18"/>
      <c r="AA1040" s="8"/>
      <c r="AB1040" s="8"/>
      <c r="AC1040" s="18"/>
      <c r="AD1040" s="8"/>
      <c r="AE1040" s="8"/>
      <c r="AF1040" s="8"/>
      <c r="AG1040" s="8"/>
      <c r="AH1040" s="8"/>
      <c r="AI1040" s="8"/>
      <c r="AJ1040" s="8"/>
      <c r="AK1040" s="8"/>
    </row>
    <row r="1041" spans="3:38" ht="24.75" customHeight="1">
      <c r="C1041" s="5" t="s">
        <v>206</v>
      </c>
      <c r="D1041" s="21"/>
      <c r="E1041" s="21"/>
      <c r="F1041" s="21"/>
      <c r="G1041" s="8"/>
      <c r="H1041" s="8"/>
      <c r="I1041" s="8"/>
      <c r="U1041" s="8"/>
      <c r="V1041" s="22"/>
      <c r="W1041" s="22"/>
      <c r="X1041" s="22"/>
      <c r="Y1041" s="22"/>
      <c r="Z1041" s="22"/>
      <c r="AA1041" s="8"/>
      <c r="AB1041" s="8"/>
      <c r="AC1041" s="8"/>
      <c r="AD1041" s="8"/>
      <c r="AE1041" s="8"/>
      <c r="AF1041" s="8"/>
      <c r="AG1041" s="8"/>
      <c r="AH1041" s="8"/>
      <c r="AI1041" s="8"/>
      <c r="AJ1041" s="8"/>
      <c r="AK1041" s="8"/>
      <c r="AL1041" s="8"/>
    </row>
    <row r="1042" spans="4:47" ht="24.75" customHeight="1">
      <c r="D1042" s="5" t="s">
        <v>205</v>
      </c>
      <c r="AU1042" s="23"/>
    </row>
    <row r="1043" spans="5:47" ht="24.75" customHeight="1">
      <c r="E1043" s="5" t="s">
        <v>211</v>
      </c>
      <c r="AU1043" s="23"/>
    </row>
    <row r="1044" ht="24.75" customHeight="1">
      <c r="D1044" s="5" t="s">
        <v>7</v>
      </c>
    </row>
    <row r="1045" spans="3:36" ht="24.75" customHeight="1">
      <c r="C1045" s="106" t="s">
        <v>49</v>
      </c>
      <c r="D1045" s="106"/>
      <c r="E1045" s="106"/>
      <c r="G1045" s="105">
        <f>O938</f>
        <v>344.42750016</v>
      </c>
      <c r="H1045" s="105"/>
      <c r="I1045" s="105"/>
      <c r="J1045" s="19" t="s">
        <v>41</v>
      </c>
      <c r="K1045" s="97">
        <v>1000000</v>
      </c>
      <c r="L1045" s="97"/>
      <c r="M1045" s="97"/>
      <c r="N1045" s="97"/>
      <c r="P1045" s="106" t="s">
        <v>47</v>
      </c>
      <c r="Q1045" s="106"/>
      <c r="R1045" s="122">
        <f>Q1039</f>
        <v>74</v>
      </c>
      <c r="S1045" s="122"/>
      <c r="T1045" s="122"/>
      <c r="U1045" s="92" t="s">
        <v>34</v>
      </c>
      <c r="V1045" s="92"/>
      <c r="W1045" s="102">
        <f>ROUND((G1045*K1045/(I1046*K1046))/R1045,1)</f>
        <v>1057.8</v>
      </c>
      <c r="X1045" s="102"/>
      <c r="Y1045" s="102"/>
      <c r="Z1045" s="102"/>
      <c r="AA1045" s="92" t="str">
        <f>IF(W1045&gt;AA942,"N/本   ＞ ρa   N.G.","N/本  ＜  ρa   O.K.")</f>
        <v>N/本  ＜  ρa   O.K.</v>
      </c>
      <c r="AB1045" s="92"/>
      <c r="AC1045" s="92"/>
      <c r="AD1045" s="92"/>
      <c r="AE1045" s="92"/>
      <c r="AF1045" s="92"/>
      <c r="AG1045" s="92"/>
      <c r="AH1045" s="92"/>
      <c r="AI1045" s="92"/>
      <c r="AJ1045" s="92"/>
    </row>
    <row r="1046" spans="3:36" ht="24.75" customHeight="1">
      <c r="C1046" s="106"/>
      <c r="D1046" s="106"/>
      <c r="E1046" s="106"/>
      <c r="I1046" s="8">
        <v>2</v>
      </c>
      <c r="J1046" s="14" t="s">
        <v>41</v>
      </c>
      <c r="K1046" s="24">
        <f>AM1079</f>
        <v>2200</v>
      </c>
      <c r="L1046" s="25"/>
      <c r="M1046" s="25"/>
      <c r="P1046" s="106"/>
      <c r="Q1046" s="106"/>
      <c r="R1046" s="122"/>
      <c r="S1046" s="122"/>
      <c r="T1046" s="122"/>
      <c r="U1046" s="92"/>
      <c r="V1046" s="92"/>
      <c r="W1046" s="102"/>
      <c r="X1046" s="102"/>
      <c r="Y1046" s="102"/>
      <c r="Z1046" s="102"/>
      <c r="AA1046" s="92"/>
      <c r="AB1046" s="92"/>
      <c r="AC1046" s="92"/>
      <c r="AD1046" s="92"/>
      <c r="AE1046" s="92"/>
      <c r="AF1046" s="92"/>
      <c r="AG1046" s="92"/>
      <c r="AH1046" s="92"/>
      <c r="AI1046" s="92"/>
      <c r="AJ1046" s="92"/>
    </row>
    <row r="1048" spans="3:9" ht="24.75" customHeight="1">
      <c r="C1048" s="5" t="s">
        <v>212</v>
      </c>
      <c r="I1048" s="23"/>
    </row>
    <row r="1049" spans="4:31" ht="24.75" customHeight="1">
      <c r="D1049" s="5" t="s">
        <v>50</v>
      </c>
      <c r="P1049" s="119">
        <f>W1039</f>
        <v>109862.91297609209</v>
      </c>
      <c r="Q1049" s="119"/>
      <c r="R1049" s="119"/>
      <c r="S1049" s="119"/>
      <c r="T1049" s="5" t="s">
        <v>48</v>
      </c>
      <c r="U1049" s="104">
        <f>+W1045</f>
        <v>1057.8</v>
      </c>
      <c r="V1049" s="104"/>
      <c r="W1049" s="104"/>
      <c r="X1049" s="104"/>
      <c r="Y1049" s="5" t="s">
        <v>33</v>
      </c>
      <c r="AA1049" s="100">
        <f>ROUND(SQRT(P1049^2+U1049^2),1)</f>
        <v>109868</v>
      </c>
      <c r="AB1049" s="100"/>
      <c r="AC1049" s="100"/>
      <c r="AD1049" s="100"/>
      <c r="AE1049" s="5" t="str">
        <f>IF(AA1049&gt;$AA$10,"N/本  ＞  ρa ,  N.G","N/本  ＜  ρa ,  O.K")</f>
        <v>N/本  ＞  ρa ,  N.G</v>
      </c>
    </row>
    <row r="1051" spans="3:29" ht="24.75" customHeight="1">
      <c r="C1051" s="5" t="s">
        <v>195</v>
      </c>
      <c r="Z1051" s="6"/>
      <c r="AA1051" s="6"/>
      <c r="AB1051" s="6"/>
      <c r="AC1051" s="6"/>
    </row>
    <row r="1052" spans="4:40" ht="24.75" customHeight="1">
      <c r="D1052" s="5" t="s">
        <v>196</v>
      </c>
      <c r="L1052" s="5" t="s">
        <v>158</v>
      </c>
      <c r="O1052" s="5" t="s">
        <v>87</v>
      </c>
      <c r="P1052" s="92">
        <f>AM1007</f>
        <v>2340</v>
      </c>
      <c r="Q1052" s="92"/>
      <c r="R1052" s="92"/>
      <c r="S1052" s="8" t="s">
        <v>140</v>
      </c>
      <c r="T1052" s="89">
        <f>H942+3</f>
        <v>25</v>
      </c>
      <c r="U1052" s="89"/>
      <c r="V1052" s="89"/>
      <c r="W1052" s="5" t="s">
        <v>137</v>
      </c>
      <c r="X1052" s="90">
        <f>U1029</f>
        <v>14</v>
      </c>
      <c r="Y1052" s="90"/>
      <c r="Z1052" s="5" t="s">
        <v>144</v>
      </c>
      <c r="AA1052" s="5" t="s">
        <v>41</v>
      </c>
      <c r="AB1052" s="90">
        <f>AM1006</f>
        <v>21</v>
      </c>
      <c r="AC1052" s="90"/>
      <c r="AD1052" s="5" t="s">
        <v>41</v>
      </c>
      <c r="AE1052" s="92">
        <v>1.1</v>
      </c>
      <c r="AF1052" s="92"/>
      <c r="AG1052" s="5" t="s">
        <v>89</v>
      </c>
      <c r="AH1052" s="102">
        <f>(P1052-T1052*X1052)*AB1052*AE1052</f>
        <v>45969.00000000001</v>
      </c>
      <c r="AI1052" s="102"/>
      <c r="AJ1052" s="102"/>
      <c r="AK1052" s="102"/>
      <c r="AL1052" s="5" t="s">
        <v>101</v>
      </c>
      <c r="AN1052" s="5" t="str">
        <f>IF(BA1029=BJ1029,"","( 第1列 )")</f>
        <v>( 第1列 )</v>
      </c>
    </row>
    <row r="1053" spans="12:40" ht="24.75" customHeight="1">
      <c r="L1053" s="5" t="s">
        <v>159</v>
      </c>
      <c r="O1053" s="5" t="s">
        <v>87</v>
      </c>
      <c r="P1053" s="92">
        <f>P1052</f>
        <v>2340</v>
      </c>
      <c r="Q1053" s="92"/>
      <c r="R1053" s="92"/>
      <c r="S1053" s="8" t="s">
        <v>140</v>
      </c>
      <c r="T1053" s="89">
        <f>T1052</f>
        <v>25</v>
      </c>
      <c r="U1053" s="89"/>
      <c r="V1053" s="89"/>
      <c r="W1053" s="5" t="s">
        <v>41</v>
      </c>
      <c r="X1053" s="90">
        <f>U1032</f>
        <v>20</v>
      </c>
      <c r="Y1053" s="90"/>
      <c r="Z1053" s="5" t="s">
        <v>144</v>
      </c>
      <c r="AA1053" s="5" t="s">
        <v>41</v>
      </c>
      <c r="AB1053" s="90">
        <f>AB1052</f>
        <v>21</v>
      </c>
      <c r="AC1053" s="90"/>
      <c r="AD1053" s="5" t="s">
        <v>41</v>
      </c>
      <c r="AE1053" s="92">
        <v>1.1</v>
      </c>
      <c r="AF1053" s="92"/>
      <c r="AG1053" s="5" t="s">
        <v>89</v>
      </c>
      <c r="AH1053" s="102">
        <f>(P1053-T1053*X1053)*AB1053*AE1053</f>
        <v>42504</v>
      </c>
      <c r="AI1053" s="102"/>
      <c r="AJ1053" s="102"/>
      <c r="AK1053" s="102"/>
      <c r="AL1053" s="5" t="s">
        <v>101</v>
      </c>
      <c r="AN1053" s="5" t="str">
        <f>IF(BA1029=BJ1029,"","( 第2列 )")</f>
        <v>( 第2列 )</v>
      </c>
    </row>
    <row r="1054" spans="4:38" ht="24.75" customHeight="1">
      <c r="D1054" s="5" t="s">
        <v>198</v>
      </c>
      <c r="L1054" s="5" t="s">
        <v>160</v>
      </c>
      <c r="O1054" s="5" t="s">
        <v>87</v>
      </c>
      <c r="P1054" s="92">
        <f>AB1064</f>
        <v>150</v>
      </c>
      <c r="Q1054" s="92"/>
      <c r="R1054" s="92"/>
      <c r="S1054" s="5" t="s">
        <v>41</v>
      </c>
      <c r="T1054" s="90">
        <f>AB1065</f>
        <v>14</v>
      </c>
      <c r="U1054" s="90"/>
      <c r="V1054" s="5" t="s">
        <v>140</v>
      </c>
      <c r="W1054" s="112">
        <f>R1018</f>
        <v>371</v>
      </c>
      <c r="X1054" s="112"/>
      <c r="Y1054" s="112"/>
      <c r="Z1054" s="5" t="s">
        <v>144</v>
      </c>
      <c r="AA1054" s="5" t="s">
        <v>41</v>
      </c>
      <c r="AB1054" s="90">
        <f>AK1017</f>
        <v>5</v>
      </c>
      <c r="AC1054" s="90"/>
      <c r="AD1054" s="5" t="s">
        <v>41</v>
      </c>
      <c r="AE1054" s="92">
        <v>1.1</v>
      </c>
      <c r="AF1054" s="92"/>
      <c r="AG1054" s="5" t="s">
        <v>89</v>
      </c>
      <c r="AH1054" s="102">
        <f>(P1054*T1054-W1054)*AB1054*AE1054</f>
        <v>9509.5</v>
      </c>
      <c r="AI1054" s="102"/>
      <c r="AJ1054" s="102"/>
      <c r="AK1054" s="102"/>
      <c r="AL1054" s="5" t="s">
        <v>101</v>
      </c>
    </row>
    <row r="1055" spans="4:43" ht="24.75" customHeight="1">
      <c r="D1055" s="19" t="s">
        <v>21</v>
      </c>
      <c r="E1055" s="19"/>
      <c r="F1055" s="19"/>
      <c r="G1055" s="19"/>
      <c r="H1055" s="19"/>
      <c r="I1055" s="19"/>
      <c r="J1055" s="19"/>
      <c r="K1055" s="19"/>
      <c r="L1055" s="19" t="s">
        <v>161</v>
      </c>
      <c r="M1055" s="19"/>
      <c r="N1055" s="19"/>
      <c r="O1055" s="19" t="s">
        <v>87</v>
      </c>
      <c r="P1055" s="97">
        <f>L1095/2</f>
        <v>13.13846339</v>
      </c>
      <c r="Q1055" s="97"/>
      <c r="R1055" s="97"/>
      <c r="S1055" s="19" t="s">
        <v>41</v>
      </c>
      <c r="T1055" s="117">
        <f>AM1080</f>
        <v>12</v>
      </c>
      <c r="U1055" s="117"/>
      <c r="V1055" s="19" t="s">
        <v>144</v>
      </c>
      <c r="W1055" s="19" t="s">
        <v>41</v>
      </c>
      <c r="X1055" s="19">
        <v>2</v>
      </c>
      <c r="Y1055" s="19"/>
      <c r="Z1055" s="48"/>
      <c r="AA1055" s="48"/>
      <c r="AB1055" s="48"/>
      <c r="AC1055" s="48"/>
      <c r="AD1055" s="19"/>
      <c r="AE1055" s="19"/>
      <c r="AF1055" s="19"/>
      <c r="AG1055" s="19" t="s">
        <v>89</v>
      </c>
      <c r="AH1055" s="118">
        <f>P1055*T1055*X1055</f>
        <v>315.32312136</v>
      </c>
      <c r="AI1055" s="118"/>
      <c r="AJ1055" s="118"/>
      <c r="AK1055" s="118"/>
      <c r="AL1055" s="19" t="s">
        <v>101</v>
      </c>
      <c r="AM1055" s="19"/>
      <c r="AN1055" s="19"/>
      <c r="AO1055" s="19"/>
      <c r="AP1055" s="19"/>
      <c r="AQ1055" s="19"/>
    </row>
    <row r="1056" spans="20:40" ht="24.75" customHeight="1">
      <c r="T1056" s="28"/>
      <c r="U1056" s="28"/>
      <c r="AE1056" s="5" t="s">
        <v>162</v>
      </c>
      <c r="AH1056" s="102">
        <f>AH1052+AH1054+AH1055</f>
        <v>55793.82312136001</v>
      </c>
      <c r="AI1056" s="102"/>
      <c r="AJ1056" s="102"/>
      <c r="AK1056" s="102"/>
      <c r="AL1056" s="5" t="s">
        <v>101</v>
      </c>
      <c r="AN1056" s="5" t="str">
        <f>IF(BA1029=BJ1029,"","( 第1列 )")</f>
        <v>( 第1列 )</v>
      </c>
    </row>
    <row r="1057" spans="14:40" ht="24.75" customHeight="1">
      <c r="N1057" s="6"/>
      <c r="O1057" s="6"/>
      <c r="P1057" s="6"/>
      <c r="Q1057" s="6"/>
      <c r="T1057" s="28"/>
      <c r="U1057" s="28"/>
      <c r="Z1057" s="6"/>
      <c r="AA1057" s="6"/>
      <c r="AB1057" s="6"/>
      <c r="AC1057" s="6"/>
      <c r="AE1057" s="5" t="s">
        <v>163</v>
      </c>
      <c r="AH1057" s="102">
        <f>AH1053+AH1054+AH1055</f>
        <v>52328.82312136</v>
      </c>
      <c r="AI1057" s="102"/>
      <c r="AJ1057" s="102"/>
      <c r="AK1057" s="102"/>
      <c r="AL1057" s="5" t="s">
        <v>101</v>
      </c>
      <c r="AN1057" s="5" t="str">
        <f>IF(BA1029=BJ1029,"","( 第2列 )")</f>
        <v>( 第2列 )</v>
      </c>
    </row>
    <row r="1058" spans="4:39" ht="24.75" customHeight="1">
      <c r="D1058" s="5" t="s">
        <v>199</v>
      </c>
      <c r="J1058" s="5" t="s">
        <v>164</v>
      </c>
      <c r="M1058" s="49" t="s">
        <v>165</v>
      </c>
      <c r="N1058" s="6"/>
      <c r="O1058" s="6"/>
      <c r="P1058" s="6"/>
      <c r="S1058" s="102">
        <f>AN1019</f>
        <v>8129855.560230815</v>
      </c>
      <c r="T1058" s="102"/>
      <c r="U1058" s="102"/>
      <c r="V1058" s="102"/>
      <c r="W1058" s="102"/>
      <c r="X1058" s="102"/>
      <c r="Y1058" s="17" t="s">
        <v>88</v>
      </c>
      <c r="Z1058" s="102">
        <f>AH1056</f>
        <v>55793.82312136001</v>
      </c>
      <c r="AA1058" s="102"/>
      <c r="AB1058" s="102"/>
      <c r="AC1058" s="102"/>
      <c r="AD1058" s="6" t="s">
        <v>89</v>
      </c>
      <c r="AE1058" s="116">
        <f>S1058/Z1058</f>
        <v>145.71246610125908</v>
      </c>
      <c r="AF1058" s="116"/>
      <c r="AG1058" s="116"/>
      <c r="AH1058" s="116"/>
      <c r="AI1058" s="5" t="s">
        <v>145</v>
      </c>
      <c r="AM1058" s="5" t="str">
        <f>IF(AE1058&gt;O941,"＞  σta ,  N.G","＜  σta ,  O.K")</f>
        <v>＜  σta ,  O.K</v>
      </c>
    </row>
    <row r="1059" spans="10:26" ht="24.75" customHeight="1">
      <c r="J1059" s="5" t="s">
        <v>166</v>
      </c>
      <c r="M1059" s="39" t="s">
        <v>167</v>
      </c>
      <c r="N1059" s="25"/>
      <c r="O1059" s="25"/>
      <c r="P1059" s="50"/>
      <c r="Q1059" s="25"/>
      <c r="R1059" s="14" t="s">
        <v>41</v>
      </c>
      <c r="S1059" s="49" t="str">
        <f>"("&amp;AE1021&amp;" - "&amp;U1029&amp;") / "&amp;AE1021</f>
        <v>(74 - 14) / 74</v>
      </c>
      <c r="Y1059" s="28"/>
      <c r="Z1059" s="6"/>
    </row>
    <row r="1060" spans="11:36" ht="24.75" customHeight="1">
      <c r="K1060" s="38" t="s">
        <v>89</v>
      </c>
      <c r="L1060" s="102">
        <f>S1058</f>
        <v>8129855.560230815</v>
      </c>
      <c r="M1060" s="102"/>
      <c r="N1060" s="102"/>
      <c r="O1060" s="102"/>
      <c r="P1060" s="102"/>
      <c r="Q1060" s="102"/>
      <c r="R1060" s="17" t="s">
        <v>88</v>
      </c>
      <c r="S1060" s="102">
        <f>AH1057</f>
        <v>52328.82312136</v>
      </c>
      <c r="T1060" s="102"/>
      <c r="U1060" s="102"/>
      <c r="V1060" s="102"/>
      <c r="W1060" s="5" t="s">
        <v>41</v>
      </c>
      <c r="X1060" s="51">
        <f>(AE1021-U1029)/AE1021</f>
        <v>0.8108108108108109</v>
      </c>
      <c r="Y1060" s="51"/>
      <c r="Z1060" s="51"/>
      <c r="AA1060" s="6" t="s">
        <v>89</v>
      </c>
      <c r="AB1060" s="116">
        <f>X1060*L1060/S1060</f>
        <v>125.968336098024</v>
      </c>
      <c r="AC1060" s="116"/>
      <c r="AD1060" s="116"/>
      <c r="AE1060" s="116"/>
      <c r="AF1060" s="5" t="s">
        <v>145</v>
      </c>
      <c r="AJ1060" s="5" t="str">
        <f>IF(AB1060&gt;O941,"＞  σta ,  N.G","＜  σta ,  O.K")</f>
        <v>＜  σta ,  O.K</v>
      </c>
    </row>
    <row r="1061" spans="2:11" ht="24.75" customHeight="1">
      <c r="B1061" s="5" t="s">
        <v>197</v>
      </c>
      <c r="H1061" s="27"/>
      <c r="K1061" s="9"/>
    </row>
    <row r="1062" spans="7:9" ht="24.75" customHeight="1">
      <c r="G1062" s="27"/>
      <c r="I1062" s="27"/>
    </row>
    <row r="1063" spans="5:17" ht="24.75" customHeight="1">
      <c r="E1063" s="166"/>
      <c r="F1063" s="166"/>
      <c r="G1063" s="166"/>
      <c r="K1063" s="29"/>
      <c r="L1063" s="29"/>
      <c r="M1063" s="29"/>
      <c r="N1063" s="166"/>
      <c r="Q1063" s="30"/>
    </row>
    <row r="1064" spans="17:31" ht="24.75" customHeight="1">
      <c r="Q1064" s="30"/>
      <c r="U1064" s="31"/>
      <c r="V1064" s="31"/>
      <c r="X1064" s="5" t="s">
        <v>185</v>
      </c>
      <c r="AB1064" s="163">
        <v>150</v>
      </c>
      <c r="AC1064" s="163"/>
      <c r="AD1064" s="163"/>
      <c r="AE1064" s="5" t="s">
        <v>84</v>
      </c>
    </row>
    <row r="1065" spans="17:31" ht="24.75" customHeight="1">
      <c r="Q1065" s="30"/>
      <c r="R1065" s="30"/>
      <c r="S1065" s="32"/>
      <c r="T1065" s="32"/>
      <c r="U1065" s="167"/>
      <c r="V1065" s="33"/>
      <c r="X1065" s="5" t="s">
        <v>186</v>
      </c>
      <c r="AB1065" s="163">
        <v>14</v>
      </c>
      <c r="AC1065" s="163"/>
      <c r="AD1065" s="163"/>
      <c r="AE1065" s="5" t="s">
        <v>84</v>
      </c>
    </row>
    <row r="1066" spans="1:3" ht="24.75" customHeight="1">
      <c r="A1066" s="53"/>
      <c r="B1066" s="53"/>
      <c r="C1066" s="53"/>
    </row>
    <row r="1068" ht="24.75" customHeight="1">
      <c r="C1068" s="5" t="s">
        <v>181</v>
      </c>
    </row>
    <row r="1069" spans="4:42" ht="24.75" customHeight="1">
      <c r="D1069" s="52" t="s">
        <v>16</v>
      </c>
      <c r="E1069" s="53"/>
      <c r="F1069" s="53"/>
      <c r="G1069" s="53"/>
      <c r="H1069" s="53"/>
      <c r="I1069" s="53"/>
      <c r="J1069" s="53"/>
      <c r="K1069" s="53"/>
      <c r="M1069" s="52" t="s">
        <v>146</v>
      </c>
      <c r="N1069" s="53"/>
      <c r="O1069" s="95">
        <f>+AB1065</f>
        <v>14</v>
      </c>
      <c r="P1069" s="95"/>
      <c r="Q1069" s="14" t="s">
        <v>41</v>
      </c>
      <c r="R1069" s="114">
        <f>+AB1064</f>
        <v>150</v>
      </c>
      <c r="S1069" s="114"/>
      <c r="T1069" s="114"/>
      <c r="U1069" s="14" t="s">
        <v>140</v>
      </c>
      <c r="V1069" s="115">
        <f>R1018</f>
        <v>371</v>
      </c>
      <c r="W1069" s="115"/>
      <c r="X1069" s="115"/>
      <c r="Y1069" s="115"/>
      <c r="Z1069" s="5" t="s">
        <v>89</v>
      </c>
      <c r="AA1069" s="39">
        <f>O1069*R1069-V1069</f>
        <v>1729</v>
      </c>
      <c r="AB1069" s="39"/>
      <c r="AC1069" s="39"/>
      <c r="AD1069" s="39"/>
      <c r="AE1069" s="18" t="s">
        <v>101</v>
      </c>
      <c r="AO1069" s="8"/>
      <c r="AP1069" s="8"/>
    </row>
    <row r="1070" spans="4:51" ht="24.75" customHeight="1">
      <c r="D1070" s="5" t="str">
        <f>IF(O936&gt;0,"n = An σl / ρa","n = An σu / ρa")</f>
        <v>n = An σl / ρa</v>
      </c>
      <c r="G1070" s="27"/>
      <c r="I1070" s="27"/>
      <c r="K1070" s="9" t="s">
        <v>89</v>
      </c>
      <c r="L1070" s="39">
        <f>AA1069</f>
        <v>1729</v>
      </c>
      <c r="M1070" s="39"/>
      <c r="N1070" s="39"/>
      <c r="O1070" s="39"/>
      <c r="P1070" s="14" t="s">
        <v>41</v>
      </c>
      <c r="Q1070" s="108">
        <f>AE1058</f>
        <v>145.71246610125908</v>
      </c>
      <c r="R1070" s="108"/>
      <c r="S1070" s="108"/>
      <c r="T1070" s="108"/>
      <c r="U1070" s="17" t="s">
        <v>88</v>
      </c>
      <c r="V1070" s="89">
        <f>R1021</f>
        <v>96000</v>
      </c>
      <c r="W1070" s="89"/>
      <c r="X1070" s="89"/>
      <c r="Y1070" s="89"/>
      <c r="AA1070" s="8" t="s">
        <v>89</v>
      </c>
      <c r="AB1070" s="113">
        <f>ROUND(L1070*Q1070/V1070,1)</f>
        <v>2.6</v>
      </c>
      <c r="AC1070" s="113"/>
      <c r="AD1070" s="113"/>
      <c r="AE1070" s="113"/>
      <c r="AF1070" s="92" t="s">
        <v>43</v>
      </c>
      <c r="AG1070" s="92"/>
      <c r="AH1070" s="92"/>
      <c r="AI1070" s="164">
        <v>5</v>
      </c>
      <c r="AJ1070" s="164"/>
      <c r="AK1070" s="164"/>
      <c r="AL1070" s="170"/>
      <c r="AM1070" s="8" t="s">
        <v>4</v>
      </c>
      <c r="AN1070" s="8"/>
      <c r="AO1070" s="8"/>
      <c r="AP1070" s="5" t="str">
        <f>IF(AB1070&lt;=AI1070,"O.K.","N.G.")</f>
        <v>O.K.</v>
      </c>
      <c r="AW1070" s="8"/>
      <c r="AY1070" s="18"/>
    </row>
    <row r="1071" ht="24.75" customHeight="1">
      <c r="C1071" s="5" t="s">
        <v>239</v>
      </c>
    </row>
    <row r="1072" spans="4:37" ht="24.75" customHeight="1">
      <c r="D1072" s="92" t="s">
        <v>188</v>
      </c>
      <c r="E1072" s="92"/>
      <c r="F1072" s="92"/>
      <c r="G1072" s="92"/>
      <c r="H1072" s="92"/>
      <c r="I1072" s="92"/>
      <c r="J1072" s="92"/>
      <c r="K1072" s="5" t="str">
        <f>IF(O936&gt;0,"An σl / σta","n = An σu / σta")</f>
        <v>An σl / σta</v>
      </c>
      <c r="Q1072" s="5" t="s">
        <v>89</v>
      </c>
      <c r="R1072" s="39">
        <f>AA1069</f>
        <v>1729</v>
      </c>
      <c r="S1072" s="39"/>
      <c r="T1072" s="39"/>
      <c r="U1072" s="39"/>
      <c r="V1072" s="14" t="s">
        <v>41</v>
      </c>
      <c r="W1072" s="108">
        <f>Q1070</f>
        <v>145.71246610125908</v>
      </c>
      <c r="X1072" s="108"/>
      <c r="Y1072" s="108"/>
      <c r="Z1072" s="108"/>
      <c r="AA1072" s="17" t="s">
        <v>88</v>
      </c>
      <c r="AB1072" s="89">
        <f>O941</f>
        <v>210</v>
      </c>
      <c r="AC1072" s="89"/>
      <c r="AD1072" s="89"/>
      <c r="AE1072" s="89"/>
      <c r="AF1072" s="5" t="s">
        <v>89</v>
      </c>
      <c r="AG1072" s="89">
        <f>R1072*W1072/AB1072</f>
        <v>1199.6993042336996</v>
      </c>
      <c r="AH1072" s="89"/>
      <c r="AI1072" s="89"/>
      <c r="AJ1072" s="89"/>
      <c r="AK1072" s="5" t="s">
        <v>101</v>
      </c>
    </row>
    <row r="1073" spans="4:54" ht="24.75" customHeight="1">
      <c r="D1073" s="5" t="s">
        <v>240</v>
      </c>
      <c r="I1073" s="165">
        <v>2</v>
      </c>
      <c r="J1073" s="165"/>
      <c r="K1073" s="165"/>
      <c r="L1073" s="126">
        <v>80</v>
      </c>
      <c r="M1073" s="126"/>
      <c r="N1073" s="126"/>
      <c r="O1073" s="92">
        <v>9</v>
      </c>
      <c r="P1073" s="92"/>
      <c r="Q1073" s="127">
        <v>780</v>
      </c>
      <c r="R1073" s="127"/>
      <c r="S1073" s="127"/>
      <c r="T1073" s="127"/>
      <c r="U1073" s="5" t="s">
        <v>31</v>
      </c>
      <c r="W1073" s="89">
        <f>+L1073*O1073*I1073</f>
        <v>1440</v>
      </c>
      <c r="X1073" s="89"/>
      <c r="Y1073" s="89"/>
      <c r="Z1073" s="89"/>
      <c r="AA1073" s="5" t="s">
        <v>101</v>
      </c>
      <c r="AD1073" s="5" t="str">
        <f>IF(W1073&gt;=AG1072,"O.K.","N.G.")</f>
        <v>O.K.</v>
      </c>
      <c r="AX1073" s="23"/>
      <c r="AZ1073" s="23"/>
      <c r="BB1073" s="23"/>
    </row>
    <row r="1074" spans="46:54" ht="24.75" customHeight="1">
      <c r="AT1074" s="4"/>
      <c r="BB1074" s="8"/>
    </row>
    <row r="1075" spans="2:14" ht="24.75" customHeight="1">
      <c r="B1075" s="5" t="s">
        <v>17</v>
      </c>
      <c r="K1075" s="7"/>
      <c r="M1075" s="9"/>
      <c r="N1075" s="4"/>
    </row>
    <row r="1076" spans="3:9" ht="24.75" customHeight="1">
      <c r="C1076" s="4" t="s">
        <v>6</v>
      </c>
      <c r="I1076" s="23"/>
    </row>
    <row r="1077" spans="3:9" ht="24.75" customHeight="1">
      <c r="C1077" s="18" t="s">
        <v>8</v>
      </c>
      <c r="I1077" s="23"/>
    </row>
    <row r="1079" spans="8:42" ht="24.75" customHeight="1">
      <c r="H1079" s="25"/>
      <c r="P1079" s="33"/>
      <c r="V1079" s="54"/>
      <c r="W1079" s="54"/>
      <c r="X1079" s="54"/>
      <c r="Y1079" s="54"/>
      <c r="Z1079" s="54"/>
      <c r="AA1079" s="54"/>
      <c r="AB1079" s="54"/>
      <c r="AC1079" s="54"/>
      <c r="AD1079" s="54"/>
      <c r="AE1079" s="54"/>
      <c r="AF1079" s="5" t="s">
        <v>22</v>
      </c>
      <c r="AM1079" s="171">
        <v>2200</v>
      </c>
      <c r="AN1079" s="171"/>
      <c r="AO1079" s="171"/>
      <c r="AP1079" s="171"/>
    </row>
    <row r="1080" spans="8:42" ht="24.75" customHeight="1">
      <c r="H1080" s="25"/>
      <c r="L1080" s="25"/>
      <c r="P1080" s="172"/>
      <c r="Q1080" s="173"/>
      <c r="V1080" s="54"/>
      <c r="W1080" s="54"/>
      <c r="X1080" s="54"/>
      <c r="Y1080" s="54"/>
      <c r="Z1080" s="54"/>
      <c r="AA1080" s="54"/>
      <c r="AB1080" s="54"/>
      <c r="AC1080" s="54"/>
      <c r="AD1080" s="54"/>
      <c r="AE1080" s="54"/>
      <c r="AF1080" s="5" t="s">
        <v>23</v>
      </c>
      <c r="AM1080" s="171">
        <v>12</v>
      </c>
      <c r="AN1080" s="171"/>
      <c r="AO1080" s="171"/>
      <c r="AP1080" s="171"/>
    </row>
    <row r="1081" spans="16:32" ht="24.75" customHeight="1">
      <c r="P1081" s="33"/>
      <c r="V1081" s="54"/>
      <c r="W1081" s="54"/>
      <c r="X1081" s="54"/>
      <c r="Y1081" s="54"/>
      <c r="Z1081" s="54"/>
      <c r="AA1081" s="54"/>
      <c r="AB1081" s="54"/>
      <c r="AC1081" s="54"/>
      <c r="AD1081" s="54"/>
      <c r="AE1081" s="54"/>
      <c r="AF1081" s="54"/>
    </row>
    <row r="1082" spans="22:32" ht="24.75" customHeight="1">
      <c r="V1082" s="54"/>
      <c r="W1082" s="54"/>
      <c r="X1082" s="54"/>
      <c r="Y1082" s="54"/>
      <c r="Z1082" s="54"/>
      <c r="AA1082" s="54"/>
      <c r="AB1082" s="54"/>
      <c r="AC1082" s="54"/>
      <c r="AD1082" s="54"/>
      <c r="AE1082" s="54"/>
      <c r="AF1082" s="54"/>
    </row>
    <row r="1083" spans="16:25" ht="24.75" customHeight="1">
      <c r="P1083" s="54"/>
      <c r="R1083" s="25"/>
      <c r="Y1083" s="25"/>
    </row>
    <row r="1084" spans="9:46" ht="24.75" customHeight="1">
      <c r="I1084" s="44"/>
      <c r="P1084" s="54"/>
      <c r="R1084" s="54"/>
      <c r="AT1084" s="187"/>
    </row>
    <row r="1085" spans="9:18" ht="24.75" customHeight="1">
      <c r="I1085" s="44"/>
      <c r="P1085" s="54"/>
      <c r="R1085" s="54"/>
    </row>
    <row r="1086" spans="9:32" ht="24.75" customHeight="1">
      <c r="I1086" s="44"/>
      <c r="P1086" s="54"/>
      <c r="W1086" s="23"/>
      <c r="AF1086" s="54"/>
    </row>
    <row r="1087" spans="9:32" ht="24.75" customHeight="1">
      <c r="I1087" s="44"/>
      <c r="W1087" s="23"/>
      <c r="X1087" s="31"/>
      <c r="Y1087" s="31"/>
      <c r="Z1087" s="31"/>
      <c r="AA1087" s="31"/>
      <c r="AB1087" s="31"/>
      <c r="AC1087" s="31"/>
      <c r="AF1087" s="54"/>
    </row>
    <row r="1088" spans="16:29" ht="24.75" customHeight="1">
      <c r="P1088" s="33"/>
      <c r="W1088" s="23"/>
      <c r="X1088" s="31"/>
      <c r="Y1088" s="31"/>
      <c r="AC1088" s="23"/>
    </row>
    <row r="1089" spans="16:29" ht="24.75" customHeight="1">
      <c r="P1089" s="172"/>
      <c r="Q1089" s="173"/>
      <c r="W1089" s="23"/>
      <c r="X1089" s="31"/>
      <c r="Y1089" s="31"/>
      <c r="AC1089" s="23"/>
    </row>
    <row r="1090" spans="16:29" ht="24.75" customHeight="1">
      <c r="P1090" s="33"/>
      <c r="T1090" s="31"/>
      <c r="U1090" s="31"/>
      <c r="Y1090" s="23"/>
      <c r="Z1090" s="31"/>
      <c r="AA1090" s="31"/>
      <c r="AB1090" s="31"/>
      <c r="AC1090" s="31"/>
    </row>
    <row r="1091" spans="8:23" ht="24.75" customHeight="1">
      <c r="H1091" s="25"/>
      <c r="L1091" s="25"/>
      <c r="W1091" s="23"/>
    </row>
    <row r="1092" spans="4:23" ht="24.75" customHeight="1">
      <c r="D1092" s="17" t="s">
        <v>227</v>
      </c>
      <c r="W1092" s="23"/>
    </row>
    <row r="1093" spans="4:24" ht="24.75" customHeight="1">
      <c r="D1093" s="5" t="s">
        <v>24</v>
      </c>
      <c r="I1093" s="53"/>
      <c r="J1093" s="53"/>
      <c r="K1093" s="53"/>
      <c r="L1093" s="53"/>
      <c r="S1093" s="112">
        <f>(P947/(P947+P1003)*AM1079)/COS(RADIANS(AG938))</f>
        <v>1102.5538535599974</v>
      </c>
      <c r="T1093" s="112"/>
      <c r="U1093" s="112"/>
      <c r="V1093" s="5" t="s">
        <v>84</v>
      </c>
      <c r="X1093" s="5" t="str">
        <f>IF(AG938=0,"","( 傾斜長さ )")</f>
        <v>( 傾斜長さ )</v>
      </c>
    </row>
    <row r="1094" spans="4:20" ht="24.75" customHeight="1">
      <c r="D1094" s="111" t="s">
        <v>168</v>
      </c>
      <c r="E1094" s="111"/>
      <c r="F1094" s="111"/>
      <c r="G1094" s="55">
        <f>IF(O936&gt;0,P947,P1003)</f>
        <v>157.5</v>
      </c>
      <c r="H1094" s="56"/>
      <c r="I1094" s="56"/>
      <c r="J1094" s="56"/>
      <c r="K1094" s="10" t="s">
        <v>218</v>
      </c>
      <c r="L1094" s="10"/>
      <c r="P1094" s="10"/>
      <c r="Q1094" s="55"/>
      <c r="R1094" s="56"/>
      <c r="S1094" s="56"/>
      <c r="T1094" s="56"/>
    </row>
    <row r="1095" spans="4:24" ht="24.75" customHeight="1">
      <c r="D1095" s="111" t="s">
        <v>117</v>
      </c>
      <c r="E1095" s="111"/>
      <c r="F1095" s="111"/>
      <c r="G1095" s="111" t="s">
        <v>219</v>
      </c>
      <c r="H1095" s="111"/>
      <c r="I1095" s="111"/>
      <c r="J1095" s="111"/>
      <c r="K1095" s="111"/>
      <c r="L1095" s="175">
        <v>26.27692678</v>
      </c>
      <c r="M1095" s="175"/>
      <c r="N1095" s="91"/>
      <c r="O1095" s="58" t="s">
        <v>35</v>
      </c>
      <c r="P1095" s="58"/>
      <c r="Q1095" s="10" t="s">
        <v>34</v>
      </c>
      <c r="R1095" s="55">
        <f>ROUND(G1094*(S1093-L1095)/S1093,3)</f>
        <v>153.746</v>
      </c>
      <c r="S1095" s="56"/>
      <c r="T1095" s="56"/>
      <c r="U1095" s="56"/>
      <c r="V1095" s="57"/>
      <c r="W1095" s="10" t="s">
        <v>218</v>
      </c>
      <c r="X1095" s="10"/>
    </row>
    <row r="1096" spans="4:31" ht="24.75" customHeight="1">
      <c r="D1096" s="111" t="s">
        <v>118</v>
      </c>
      <c r="E1096" s="111"/>
      <c r="F1096" s="111"/>
      <c r="G1096" s="111" t="s">
        <v>219</v>
      </c>
      <c r="H1096" s="111"/>
      <c r="I1096" s="111"/>
      <c r="J1096" s="111"/>
      <c r="K1096" s="111"/>
      <c r="L1096" s="175">
        <v>126.27692678</v>
      </c>
      <c r="M1096" s="175"/>
      <c r="N1096" s="91"/>
      <c r="O1096" s="58" t="s">
        <v>35</v>
      </c>
      <c r="P1096" s="58"/>
      <c r="Q1096" s="10" t="s">
        <v>34</v>
      </c>
      <c r="R1096" s="55">
        <f>ROUND(G1094*(S1093-L1096)/S1093,3)</f>
        <v>139.461</v>
      </c>
      <c r="S1096" s="56"/>
      <c r="T1096" s="56"/>
      <c r="U1096" s="56"/>
      <c r="V1096" s="57"/>
      <c r="W1096" s="10" t="s">
        <v>218</v>
      </c>
      <c r="X1096" s="10"/>
      <c r="Y1096" s="10"/>
      <c r="Z1096" s="55"/>
      <c r="AA1096" s="56"/>
      <c r="AB1096" s="56"/>
      <c r="AC1096" s="56"/>
      <c r="AD1096" s="57"/>
      <c r="AE1096" s="10"/>
    </row>
    <row r="1097" spans="4:31" ht="24.75" customHeight="1">
      <c r="D1097" s="111" t="s">
        <v>119</v>
      </c>
      <c r="E1097" s="111"/>
      <c r="F1097" s="111"/>
      <c r="G1097" s="111" t="s">
        <v>219</v>
      </c>
      <c r="H1097" s="111"/>
      <c r="I1097" s="111"/>
      <c r="J1097" s="111"/>
      <c r="K1097" s="111"/>
      <c r="L1097" s="175">
        <v>226.27692678</v>
      </c>
      <c r="M1097" s="175"/>
      <c r="N1097" s="91"/>
      <c r="O1097" s="58" t="s">
        <v>35</v>
      </c>
      <c r="P1097" s="58"/>
      <c r="Q1097" s="10" t="s">
        <v>34</v>
      </c>
      <c r="R1097" s="55">
        <f>ROUND(G1094*(S1093-L1097)/S1093,3)</f>
        <v>125.176</v>
      </c>
      <c r="S1097" s="56"/>
      <c r="T1097" s="56"/>
      <c r="U1097" s="56"/>
      <c r="V1097" s="57"/>
      <c r="W1097" s="10" t="s">
        <v>218</v>
      </c>
      <c r="X1097" s="10"/>
      <c r="Y1097" s="10"/>
      <c r="Z1097" s="55"/>
      <c r="AA1097" s="56"/>
      <c r="AB1097" s="56"/>
      <c r="AC1097" s="56"/>
      <c r="AD1097" s="57"/>
      <c r="AE1097" s="10"/>
    </row>
    <row r="1098" spans="4:31" ht="24.75" customHeight="1">
      <c r="D1098" s="111" t="s">
        <v>120</v>
      </c>
      <c r="E1098" s="111"/>
      <c r="F1098" s="111"/>
      <c r="G1098" s="111" t="s">
        <v>219</v>
      </c>
      <c r="H1098" s="111"/>
      <c r="I1098" s="111"/>
      <c r="J1098" s="111"/>
      <c r="K1098" s="111"/>
      <c r="L1098" s="175">
        <v>326.27692678</v>
      </c>
      <c r="M1098" s="175"/>
      <c r="N1098" s="91"/>
      <c r="O1098" s="58" t="s">
        <v>35</v>
      </c>
      <c r="P1098" s="58"/>
      <c r="Q1098" s="10" t="s">
        <v>34</v>
      </c>
      <c r="R1098" s="55">
        <f>ROUND(G1094*(S1093-L1098)/S1093,3)</f>
        <v>110.891</v>
      </c>
      <c r="S1098" s="56"/>
      <c r="T1098" s="56"/>
      <c r="U1098" s="56"/>
      <c r="V1098" s="57"/>
      <c r="W1098" s="10" t="s">
        <v>218</v>
      </c>
      <c r="X1098" s="10"/>
      <c r="Y1098" s="10"/>
      <c r="Z1098" s="55"/>
      <c r="AA1098" s="56"/>
      <c r="AB1098" s="56"/>
      <c r="AC1098" s="56"/>
      <c r="AD1098" s="57"/>
      <c r="AE1098" s="10"/>
    </row>
    <row r="1099" spans="4:31" ht="24.75" customHeight="1">
      <c r="D1099" s="111" t="s">
        <v>121</v>
      </c>
      <c r="E1099" s="111"/>
      <c r="F1099" s="111"/>
      <c r="G1099" s="111" t="s">
        <v>219</v>
      </c>
      <c r="H1099" s="111"/>
      <c r="I1099" s="111"/>
      <c r="J1099" s="111"/>
      <c r="K1099" s="111"/>
      <c r="L1099" s="175">
        <v>426.27692678</v>
      </c>
      <c r="M1099" s="175"/>
      <c r="N1099" s="91"/>
      <c r="O1099" s="58" t="s">
        <v>35</v>
      </c>
      <c r="P1099" s="58"/>
      <c r="Q1099" s="10" t="s">
        <v>34</v>
      </c>
      <c r="R1099" s="55">
        <f>ROUND(G1094*(S1093-L1099)/S1093,3)</f>
        <v>96.606</v>
      </c>
      <c r="S1099" s="56"/>
      <c r="T1099" s="56"/>
      <c r="U1099" s="56"/>
      <c r="V1099" s="57"/>
      <c r="W1099" s="10" t="s">
        <v>218</v>
      </c>
      <c r="X1099" s="10"/>
      <c r="Y1099" s="10"/>
      <c r="Z1099" s="55"/>
      <c r="AA1099" s="56"/>
      <c r="AB1099" s="56"/>
      <c r="AC1099" s="56"/>
      <c r="AD1099" s="57"/>
      <c r="AE1099" s="10"/>
    </row>
    <row r="1100" spans="4:31" ht="24.75" customHeight="1">
      <c r="D1100" s="111" t="s">
        <v>122</v>
      </c>
      <c r="E1100" s="111"/>
      <c r="F1100" s="111"/>
      <c r="G1100" s="111" t="s">
        <v>219</v>
      </c>
      <c r="H1100" s="111"/>
      <c r="I1100" s="111"/>
      <c r="J1100" s="111"/>
      <c r="K1100" s="111"/>
      <c r="L1100" s="175">
        <v>526.27692678</v>
      </c>
      <c r="M1100" s="175"/>
      <c r="N1100" s="91"/>
      <c r="O1100" s="58" t="s">
        <v>35</v>
      </c>
      <c r="P1100" s="58"/>
      <c r="Q1100" s="10" t="s">
        <v>34</v>
      </c>
      <c r="R1100" s="55">
        <f>ROUND(G1094*(S1093-L1100)/S1093,3)</f>
        <v>82.321</v>
      </c>
      <c r="S1100" s="56"/>
      <c r="T1100" s="56"/>
      <c r="U1100" s="56"/>
      <c r="V1100" s="57"/>
      <c r="W1100" s="10" t="s">
        <v>218</v>
      </c>
      <c r="X1100" s="10"/>
      <c r="Y1100" s="10"/>
      <c r="Z1100" s="55"/>
      <c r="AA1100" s="56"/>
      <c r="AB1100" s="56"/>
      <c r="AC1100" s="56"/>
      <c r="AD1100" s="57"/>
      <c r="AE1100" s="10"/>
    </row>
    <row r="1101" spans="4:25" ht="24.75" customHeight="1">
      <c r="D1101" s="47"/>
      <c r="E1101" s="47"/>
      <c r="F1101" s="47"/>
      <c r="G1101" s="47"/>
      <c r="H1101" s="47"/>
      <c r="I1101" s="47"/>
      <c r="J1101" s="47"/>
      <c r="K1101" s="47"/>
      <c r="L1101" s="56"/>
      <c r="M1101" s="56"/>
      <c r="N1101" s="47"/>
      <c r="O1101" s="47"/>
      <c r="P1101" s="47"/>
      <c r="Q1101" s="10"/>
      <c r="R1101" s="55"/>
      <c r="S1101" s="56"/>
      <c r="T1101" s="56"/>
      <c r="U1101" s="56"/>
      <c r="V1101" s="57"/>
      <c r="W1101" s="10"/>
      <c r="X1101" s="10"/>
      <c r="Y1101" s="10"/>
    </row>
    <row r="1102" spans="4:36" ht="24.75" customHeight="1">
      <c r="D1102" s="110" t="s">
        <v>169</v>
      </c>
      <c r="E1102" s="110"/>
      <c r="F1102" s="110"/>
      <c r="G1102" s="110"/>
      <c r="H1102" s="59" t="s">
        <v>87</v>
      </c>
      <c r="I1102" s="107">
        <f>G1094</f>
        <v>157.5</v>
      </c>
      <c r="J1102" s="107"/>
      <c r="K1102" s="107"/>
      <c r="L1102" s="107"/>
      <c r="M1102" s="14" t="s">
        <v>48</v>
      </c>
      <c r="N1102" s="107">
        <f aca="true" t="shared" si="12" ref="N1102:N1107">R1095</f>
        <v>153.746</v>
      </c>
      <c r="O1102" s="107"/>
      <c r="P1102" s="107"/>
      <c r="Q1102" s="107"/>
      <c r="R1102" s="60" t="s">
        <v>170</v>
      </c>
      <c r="S1102" s="56"/>
      <c r="T1102" s="56"/>
      <c r="U1102" s="56"/>
      <c r="V1102" s="108">
        <f>L1095</f>
        <v>26.27692678</v>
      </c>
      <c r="W1102" s="108"/>
      <c r="X1102" s="108"/>
      <c r="Y1102" s="14" t="s">
        <v>137</v>
      </c>
      <c r="Z1102" s="108">
        <f>AM1080</f>
        <v>12</v>
      </c>
      <c r="AA1102" s="108"/>
      <c r="AB1102" s="108"/>
      <c r="AC1102" s="5" t="s">
        <v>89</v>
      </c>
      <c r="AD1102" s="109">
        <f>(I1102+N1102)/2*V1102*Z1102</f>
        <v>49071.53011540727</v>
      </c>
      <c r="AE1102" s="109"/>
      <c r="AF1102" s="109"/>
      <c r="AG1102" s="109"/>
      <c r="AH1102" s="109"/>
      <c r="AI1102" s="5" t="s">
        <v>113</v>
      </c>
      <c r="AJ1102" s="5" t="s">
        <v>18</v>
      </c>
    </row>
    <row r="1103" spans="4:46" ht="24.75" customHeight="1">
      <c r="D1103" s="92" t="s">
        <v>228</v>
      </c>
      <c r="E1103" s="92"/>
      <c r="F1103" s="92"/>
      <c r="G1103" s="92"/>
      <c r="H1103" s="14" t="s">
        <v>87</v>
      </c>
      <c r="I1103" s="107">
        <f>R1095</f>
        <v>153.746</v>
      </c>
      <c r="J1103" s="107"/>
      <c r="K1103" s="107"/>
      <c r="L1103" s="107"/>
      <c r="M1103" s="14" t="s">
        <v>48</v>
      </c>
      <c r="N1103" s="107">
        <f t="shared" si="12"/>
        <v>139.461</v>
      </c>
      <c r="O1103" s="107"/>
      <c r="P1103" s="107"/>
      <c r="Q1103" s="107"/>
      <c r="R1103" s="61" t="s">
        <v>171</v>
      </c>
      <c r="S1103" s="36"/>
      <c r="T1103" s="8">
        <v>2</v>
      </c>
      <c r="U1103" s="62" t="s">
        <v>137</v>
      </c>
      <c r="V1103" s="63">
        <f>L1096-L1095</f>
        <v>100</v>
      </c>
      <c r="W1103" s="63"/>
      <c r="X1103" s="63"/>
      <c r="Y1103" s="64" t="s">
        <v>137</v>
      </c>
      <c r="Z1103" s="24">
        <f>Z1102</f>
        <v>12</v>
      </c>
      <c r="AA1103" s="25"/>
      <c r="AB1103" s="24"/>
      <c r="AC1103" s="65" t="s">
        <v>47</v>
      </c>
      <c r="AD1103" s="66">
        <v>2</v>
      </c>
      <c r="AE1103" s="66"/>
      <c r="AF1103" s="66"/>
      <c r="AG1103" s="8" t="s">
        <v>34</v>
      </c>
      <c r="AH1103" s="63">
        <f>ROUND(+(I1103+N1103)/T1103*V1103*Z1103/AD1103,1)</f>
        <v>87962.1</v>
      </c>
      <c r="AI1103" s="63"/>
      <c r="AJ1103" s="63"/>
      <c r="AK1103" s="63"/>
      <c r="AL1103" s="92" t="str">
        <f>IF(AH1103&gt;+V1070,"N/本  ＞  ρa   N.G.","N/本  ＜  ρa   O.K.")</f>
        <v>N/本  ＜  ρa   O.K.</v>
      </c>
      <c r="AM1103" s="92"/>
      <c r="AN1103" s="92"/>
      <c r="AO1103" s="92"/>
      <c r="AP1103" s="92"/>
      <c r="AQ1103" s="92"/>
      <c r="AR1103" s="92"/>
      <c r="AS1103" s="92"/>
      <c r="AT1103" s="92"/>
    </row>
    <row r="1104" spans="4:46" ht="24.75" customHeight="1">
      <c r="D1104" s="92" t="s">
        <v>250</v>
      </c>
      <c r="E1104" s="92"/>
      <c r="F1104" s="92"/>
      <c r="G1104" s="92"/>
      <c r="H1104" s="14" t="s">
        <v>87</v>
      </c>
      <c r="I1104" s="107">
        <f>N1103</f>
        <v>139.461</v>
      </c>
      <c r="J1104" s="107"/>
      <c r="K1104" s="107"/>
      <c r="L1104" s="107"/>
      <c r="M1104" s="14" t="s">
        <v>48</v>
      </c>
      <c r="N1104" s="107">
        <f t="shared" si="12"/>
        <v>125.176</v>
      </c>
      <c r="O1104" s="107"/>
      <c r="P1104" s="107"/>
      <c r="Q1104" s="107"/>
      <c r="R1104" s="61" t="s">
        <v>171</v>
      </c>
      <c r="S1104" s="36"/>
      <c r="T1104" s="8">
        <v>2</v>
      </c>
      <c r="U1104" s="62" t="s">
        <v>137</v>
      </c>
      <c r="V1104" s="63">
        <f>(L1097-L1096)</f>
        <v>100</v>
      </c>
      <c r="W1104" s="67"/>
      <c r="X1104" s="24"/>
      <c r="Y1104" s="64" t="s">
        <v>137</v>
      </c>
      <c r="Z1104" s="24">
        <f>Z1102</f>
        <v>12</v>
      </c>
      <c r="AA1104" s="24"/>
      <c r="AB1104" s="24"/>
      <c r="AC1104" s="65" t="s">
        <v>47</v>
      </c>
      <c r="AD1104" s="66">
        <v>2</v>
      </c>
      <c r="AE1104" s="66"/>
      <c r="AF1104" s="66"/>
      <c r="AG1104" s="8" t="s">
        <v>34</v>
      </c>
      <c r="AH1104" s="63">
        <f>ROUND(+(I1104+N1104)/T1104*V1104*Z1104/AD1104,1)</f>
        <v>79391.1</v>
      </c>
      <c r="AI1104" s="63"/>
      <c r="AJ1104" s="63"/>
      <c r="AK1104" s="63"/>
      <c r="AL1104" s="92" t="str">
        <f>IF(AH1104&gt;+V1070,"N/本  ＞  ρa   N.G.","N/本  ＜  ρa   O.K.")</f>
        <v>N/本  ＜  ρa   O.K.</v>
      </c>
      <c r="AM1104" s="92"/>
      <c r="AN1104" s="92"/>
      <c r="AO1104" s="92"/>
      <c r="AP1104" s="92"/>
      <c r="AQ1104" s="92"/>
      <c r="AR1104" s="92"/>
      <c r="AS1104" s="92"/>
      <c r="AT1104" s="92"/>
    </row>
    <row r="1105" spans="4:46" ht="24.75" customHeight="1">
      <c r="D1105" s="92" t="s">
        <v>251</v>
      </c>
      <c r="E1105" s="92"/>
      <c r="F1105" s="92"/>
      <c r="G1105" s="92"/>
      <c r="H1105" s="14" t="s">
        <v>87</v>
      </c>
      <c r="I1105" s="107">
        <f>N1104</f>
        <v>125.176</v>
      </c>
      <c r="J1105" s="107"/>
      <c r="K1105" s="107"/>
      <c r="L1105" s="107"/>
      <c r="M1105" s="14" t="s">
        <v>48</v>
      </c>
      <c r="N1105" s="107">
        <f t="shared" si="12"/>
        <v>110.891</v>
      </c>
      <c r="O1105" s="107"/>
      <c r="P1105" s="107"/>
      <c r="Q1105" s="107"/>
      <c r="R1105" s="61" t="s">
        <v>171</v>
      </c>
      <c r="S1105" s="36"/>
      <c r="T1105" s="8">
        <v>2</v>
      </c>
      <c r="U1105" s="62" t="s">
        <v>137</v>
      </c>
      <c r="V1105" s="63">
        <f>(L1098-L1097)</f>
        <v>100</v>
      </c>
      <c r="W1105" s="67"/>
      <c r="X1105" s="24"/>
      <c r="Y1105" s="64" t="s">
        <v>137</v>
      </c>
      <c r="Z1105" s="24">
        <f>Z1102</f>
        <v>12</v>
      </c>
      <c r="AA1105" s="24"/>
      <c r="AB1105" s="24"/>
      <c r="AC1105" s="65" t="s">
        <v>47</v>
      </c>
      <c r="AD1105" s="66">
        <v>2</v>
      </c>
      <c r="AE1105" s="66"/>
      <c r="AF1105" s="66"/>
      <c r="AG1105" s="8" t="s">
        <v>34</v>
      </c>
      <c r="AH1105" s="63">
        <f>ROUND(+(I1105+N1105)/T1105*V1105*Z1105/AD1105,1)</f>
        <v>70820.1</v>
      </c>
      <c r="AI1105" s="63"/>
      <c r="AJ1105" s="63"/>
      <c r="AK1105" s="63"/>
      <c r="AL1105" s="92" t="str">
        <f>IF(AH1105&gt;+V1070,"N/本  ＞  ρa   N.G.","N/本  ＜  ρa   O.K.")</f>
        <v>N/本  ＜  ρa   O.K.</v>
      </c>
      <c r="AM1105" s="92"/>
      <c r="AN1105" s="92"/>
      <c r="AO1105" s="92"/>
      <c r="AP1105" s="92"/>
      <c r="AQ1105" s="92"/>
      <c r="AR1105" s="92"/>
      <c r="AS1105" s="92"/>
      <c r="AT1105" s="92"/>
    </row>
    <row r="1106" spans="4:46" ht="24.75" customHeight="1">
      <c r="D1106" s="92" t="s">
        <v>252</v>
      </c>
      <c r="E1106" s="92"/>
      <c r="F1106" s="92"/>
      <c r="G1106" s="92"/>
      <c r="H1106" s="14" t="s">
        <v>87</v>
      </c>
      <c r="I1106" s="107">
        <f>N1105</f>
        <v>110.891</v>
      </c>
      <c r="J1106" s="107"/>
      <c r="K1106" s="107"/>
      <c r="L1106" s="107"/>
      <c r="M1106" s="14" t="s">
        <v>48</v>
      </c>
      <c r="N1106" s="107">
        <f t="shared" si="12"/>
        <v>96.606</v>
      </c>
      <c r="O1106" s="107"/>
      <c r="P1106" s="107"/>
      <c r="Q1106" s="107"/>
      <c r="R1106" s="61" t="s">
        <v>171</v>
      </c>
      <c r="S1106" s="36"/>
      <c r="T1106" s="8">
        <v>2</v>
      </c>
      <c r="U1106" s="62" t="s">
        <v>137</v>
      </c>
      <c r="V1106" s="63">
        <f>(L1099-L1098)</f>
        <v>100</v>
      </c>
      <c r="W1106" s="67"/>
      <c r="X1106" s="24"/>
      <c r="Y1106" s="64" t="s">
        <v>137</v>
      </c>
      <c r="Z1106" s="24">
        <f>Z1102</f>
        <v>12</v>
      </c>
      <c r="AA1106" s="24"/>
      <c r="AB1106" s="24"/>
      <c r="AC1106" s="65" t="s">
        <v>47</v>
      </c>
      <c r="AD1106" s="66">
        <v>2</v>
      </c>
      <c r="AE1106" s="66"/>
      <c r="AF1106" s="66"/>
      <c r="AG1106" s="8" t="s">
        <v>34</v>
      </c>
      <c r="AH1106" s="63">
        <f>ROUND(+(I1106+N1106)/T1106*V1106*Z1106/AD1106,1)</f>
        <v>62249.1</v>
      </c>
      <c r="AI1106" s="63"/>
      <c r="AJ1106" s="63"/>
      <c r="AK1106" s="63"/>
      <c r="AL1106" s="92" t="str">
        <f>IF(AH1106&gt;+V1070,"N/本  ＞  ρa   N.G.","N/本  ＜  ρa   O.K.")</f>
        <v>N/本  ＜  ρa   O.K.</v>
      </c>
      <c r="AM1106" s="92"/>
      <c r="AN1106" s="92"/>
      <c r="AO1106" s="92"/>
      <c r="AP1106" s="92"/>
      <c r="AQ1106" s="92"/>
      <c r="AR1106" s="92"/>
      <c r="AS1106" s="92"/>
      <c r="AT1106" s="92"/>
    </row>
    <row r="1107" spans="4:46" ht="24.75" customHeight="1">
      <c r="D1107" s="92" t="s">
        <v>253</v>
      </c>
      <c r="E1107" s="92"/>
      <c r="F1107" s="92"/>
      <c r="G1107" s="92"/>
      <c r="H1107" s="14" t="s">
        <v>87</v>
      </c>
      <c r="I1107" s="107">
        <f>N1106</f>
        <v>96.606</v>
      </c>
      <c r="J1107" s="107"/>
      <c r="K1107" s="107"/>
      <c r="L1107" s="107"/>
      <c r="M1107" s="14" t="s">
        <v>48</v>
      </c>
      <c r="N1107" s="107">
        <f t="shared" si="12"/>
        <v>82.321</v>
      </c>
      <c r="O1107" s="107"/>
      <c r="P1107" s="107"/>
      <c r="Q1107" s="107"/>
      <c r="R1107" s="61" t="s">
        <v>171</v>
      </c>
      <c r="S1107" s="36"/>
      <c r="T1107" s="8">
        <v>2</v>
      </c>
      <c r="U1107" s="62" t="s">
        <v>137</v>
      </c>
      <c r="V1107" s="63">
        <f>(L1100-L1099)</f>
        <v>100.00000000000006</v>
      </c>
      <c r="W1107" s="67"/>
      <c r="X1107" s="24"/>
      <c r="Y1107" s="64" t="s">
        <v>137</v>
      </c>
      <c r="Z1107" s="24">
        <f>Z1102</f>
        <v>12</v>
      </c>
      <c r="AA1107" s="24"/>
      <c r="AB1107" s="24"/>
      <c r="AC1107" s="65" t="s">
        <v>47</v>
      </c>
      <c r="AD1107" s="66">
        <v>2</v>
      </c>
      <c r="AE1107" s="66"/>
      <c r="AF1107" s="66"/>
      <c r="AG1107" s="8" t="s">
        <v>34</v>
      </c>
      <c r="AH1107" s="63">
        <f>ROUND(+(I1107+N1107)/T1107*V1107*Z1107/AD1107,1)</f>
        <v>53678.1</v>
      </c>
      <c r="AI1107" s="63"/>
      <c r="AJ1107" s="63"/>
      <c r="AK1107" s="63"/>
      <c r="AL1107" s="92" t="str">
        <f>IF(AH1107&gt;+V1070,"N/本  ＞  ρa   N.G.","N/本  ＜  ρa   O.K.")</f>
        <v>N/本  ＜  ρa   O.K.</v>
      </c>
      <c r="AM1107" s="92"/>
      <c r="AN1107" s="92"/>
      <c r="AO1107" s="92"/>
      <c r="AP1107" s="92"/>
      <c r="AQ1107" s="92"/>
      <c r="AR1107" s="92"/>
      <c r="AS1107" s="92"/>
      <c r="AT1107" s="92"/>
    </row>
    <row r="1108" spans="4:25" ht="24.75" customHeight="1">
      <c r="D1108" s="47"/>
      <c r="E1108" s="47"/>
      <c r="F1108" s="47"/>
      <c r="G1108" s="47"/>
      <c r="H1108" s="47"/>
      <c r="I1108" s="47"/>
      <c r="J1108" s="47"/>
      <c r="K1108" s="47"/>
      <c r="L1108" s="56"/>
      <c r="M1108" s="56"/>
      <c r="N1108" s="47"/>
      <c r="O1108" s="47"/>
      <c r="P1108" s="47"/>
      <c r="Q1108" s="10"/>
      <c r="R1108" s="55"/>
      <c r="S1108" s="56"/>
      <c r="T1108" s="56"/>
      <c r="U1108" s="56"/>
      <c r="V1108" s="57"/>
      <c r="W1108" s="10"/>
      <c r="X1108" s="10"/>
      <c r="Y1108" s="10"/>
    </row>
    <row r="1109" spans="4:23" ht="24.75" customHeight="1">
      <c r="D1109" s="17" t="s">
        <v>229</v>
      </c>
      <c r="W1109" s="23"/>
    </row>
    <row r="1110" spans="4:24" ht="24.75" customHeight="1">
      <c r="D1110" s="5" t="s">
        <v>19</v>
      </c>
      <c r="I1110" s="53"/>
      <c r="J1110" s="53"/>
      <c r="K1110" s="53"/>
      <c r="L1110" s="53"/>
      <c r="S1110" s="112">
        <f>(P1003/(P947+P1003)*AM1079)/COS(RADIANS(AG938))</f>
        <v>1102.5538535599974</v>
      </c>
      <c r="T1110" s="112"/>
      <c r="U1110" s="112"/>
      <c r="V1110" s="5" t="s">
        <v>84</v>
      </c>
      <c r="X1110" s="5" t="str">
        <f>IF(AG938=0,"","( 傾斜長さ )")</f>
        <v>( 傾斜長さ )</v>
      </c>
    </row>
    <row r="1111" spans="4:22" ht="24.75" customHeight="1">
      <c r="D1111" s="111" t="s">
        <v>172</v>
      </c>
      <c r="E1111" s="111"/>
      <c r="F1111" s="111"/>
      <c r="G1111" s="55">
        <f>IF(O936&gt;0,P1003,P947)</f>
        <v>157.5</v>
      </c>
      <c r="H1111" s="56"/>
      <c r="I1111" s="56"/>
      <c r="J1111" s="56"/>
      <c r="K1111" s="10" t="s">
        <v>218</v>
      </c>
      <c r="L1111" s="10"/>
      <c r="P1111" s="10"/>
      <c r="Q1111" s="55"/>
      <c r="R1111" s="56"/>
      <c r="S1111" s="56"/>
      <c r="T1111" s="56"/>
      <c r="U1111" s="57"/>
      <c r="V1111" s="10"/>
    </row>
    <row r="1112" spans="4:24" ht="24.75" customHeight="1">
      <c r="D1112" s="111" t="s">
        <v>117</v>
      </c>
      <c r="E1112" s="111"/>
      <c r="F1112" s="111"/>
      <c r="G1112" s="111" t="s">
        <v>219</v>
      </c>
      <c r="H1112" s="111"/>
      <c r="I1112" s="111"/>
      <c r="J1112" s="111"/>
      <c r="K1112" s="111"/>
      <c r="L1112" s="91">
        <f aca="true" t="shared" si="13" ref="L1112:L1117">L1095</f>
        <v>26.27692678</v>
      </c>
      <c r="M1112" s="91"/>
      <c r="N1112" s="91"/>
      <c r="O1112" s="58" t="s">
        <v>35</v>
      </c>
      <c r="P1112" s="58"/>
      <c r="Q1112" s="10" t="s">
        <v>34</v>
      </c>
      <c r="R1112" s="55">
        <f>ROUND(G1111*(S1110-L1112)/S1110,3)</f>
        <v>153.746</v>
      </c>
      <c r="S1112" s="56"/>
      <c r="T1112" s="56"/>
      <c r="U1112" s="56"/>
      <c r="V1112" s="57"/>
      <c r="W1112" s="10" t="s">
        <v>218</v>
      </c>
      <c r="X1112" s="10"/>
    </row>
    <row r="1113" spans="4:31" ht="24.75" customHeight="1">
      <c r="D1113" s="111" t="s">
        <v>118</v>
      </c>
      <c r="E1113" s="111"/>
      <c r="F1113" s="111"/>
      <c r="G1113" s="111" t="s">
        <v>219</v>
      </c>
      <c r="H1113" s="111"/>
      <c r="I1113" s="111"/>
      <c r="J1113" s="111"/>
      <c r="K1113" s="111"/>
      <c r="L1113" s="91">
        <f t="shared" si="13"/>
        <v>126.27692678</v>
      </c>
      <c r="M1113" s="91"/>
      <c r="N1113" s="91"/>
      <c r="O1113" s="58" t="s">
        <v>35</v>
      </c>
      <c r="P1113" s="58"/>
      <c r="Q1113" s="10" t="s">
        <v>34</v>
      </c>
      <c r="R1113" s="55">
        <f>ROUND(G1111*(S1110-L1113)/S1110,3)</f>
        <v>139.461</v>
      </c>
      <c r="S1113" s="56"/>
      <c r="T1113" s="56"/>
      <c r="U1113" s="56"/>
      <c r="V1113" s="57"/>
      <c r="W1113" s="10" t="s">
        <v>218</v>
      </c>
      <c r="X1113" s="10"/>
      <c r="Y1113" s="10"/>
      <c r="Z1113" s="55"/>
      <c r="AA1113" s="56"/>
      <c r="AB1113" s="56"/>
      <c r="AC1113" s="56"/>
      <c r="AD1113" s="57"/>
      <c r="AE1113" s="10"/>
    </row>
    <row r="1114" spans="4:31" ht="24.75" customHeight="1">
      <c r="D1114" s="111" t="s">
        <v>119</v>
      </c>
      <c r="E1114" s="111"/>
      <c r="F1114" s="111"/>
      <c r="G1114" s="111" t="s">
        <v>219</v>
      </c>
      <c r="H1114" s="111"/>
      <c r="I1114" s="111"/>
      <c r="J1114" s="111"/>
      <c r="K1114" s="111"/>
      <c r="L1114" s="91">
        <f t="shared" si="13"/>
        <v>226.27692678</v>
      </c>
      <c r="M1114" s="91"/>
      <c r="N1114" s="91"/>
      <c r="O1114" s="58" t="s">
        <v>35</v>
      </c>
      <c r="P1114" s="58"/>
      <c r="Q1114" s="10" t="s">
        <v>34</v>
      </c>
      <c r="R1114" s="55">
        <f>ROUND(G1111*(S1110-L1114)/S1110,3)</f>
        <v>125.176</v>
      </c>
      <c r="S1114" s="56"/>
      <c r="T1114" s="56"/>
      <c r="U1114" s="56"/>
      <c r="V1114" s="57"/>
      <c r="W1114" s="10" t="s">
        <v>218</v>
      </c>
      <c r="X1114" s="10"/>
      <c r="Y1114" s="10"/>
      <c r="Z1114" s="55"/>
      <c r="AA1114" s="56"/>
      <c r="AB1114" s="56"/>
      <c r="AC1114" s="56"/>
      <c r="AD1114" s="57"/>
      <c r="AE1114" s="10"/>
    </row>
    <row r="1115" spans="4:31" ht="24.75" customHeight="1">
      <c r="D1115" s="111" t="s">
        <v>120</v>
      </c>
      <c r="E1115" s="111"/>
      <c r="F1115" s="111"/>
      <c r="G1115" s="111" t="s">
        <v>219</v>
      </c>
      <c r="H1115" s="111"/>
      <c r="I1115" s="111"/>
      <c r="J1115" s="111"/>
      <c r="K1115" s="111"/>
      <c r="L1115" s="91">
        <f t="shared" si="13"/>
        <v>326.27692678</v>
      </c>
      <c r="M1115" s="91"/>
      <c r="N1115" s="91"/>
      <c r="O1115" s="58" t="s">
        <v>35</v>
      </c>
      <c r="P1115" s="58"/>
      <c r="Q1115" s="10" t="s">
        <v>34</v>
      </c>
      <c r="R1115" s="55">
        <f>ROUND(G1111*(S1110-L1115)/S1110,3)</f>
        <v>110.891</v>
      </c>
      <c r="S1115" s="56"/>
      <c r="T1115" s="56"/>
      <c r="U1115" s="56"/>
      <c r="V1115" s="57"/>
      <c r="W1115" s="10" t="s">
        <v>218</v>
      </c>
      <c r="X1115" s="10"/>
      <c r="Y1115" s="10"/>
      <c r="Z1115" s="55"/>
      <c r="AA1115" s="56"/>
      <c r="AB1115" s="56"/>
      <c r="AC1115" s="56"/>
      <c r="AD1115" s="57"/>
      <c r="AE1115" s="10"/>
    </row>
    <row r="1116" spans="4:31" ht="24.75" customHeight="1">
      <c r="D1116" s="111" t="s">
        <v>121</v>
      </c>
      <c r="E1116" s="111"/>
      <c r="F1116" s="111"/>
      <c r="G1116" s="111" t="s">
        <v>219</v>
      </c>
      <c r="H1116" s="111"/>
      <c r="I1116" s="111"/>
      <c r="J1116" s="111"/>
      <c r="K1116" s="111"/>
      <c r="L1116" s="91">
        <f t="shared" si="13"/>
        <v>426.27692678</v>
      </c>
      <c r="M1116" s="91"/>
      <c r="N1116" s="91"/>
      <c r="O1116" s="58" t="s">
        <v>35</v>
      </c>
      <c r="P1116" s="58"/>
      <c r="Q1116" s="10" t="s">
        <v>34</v>
      </c>
      <c r="R1116" s="55">
        <f>ROUND(G1111*(S1110-L1116)/S1110,3)</f>
        <v>96.606</v>
      </c>
      <c r="S1116" s="56"/>
      <c r="T1116" s="56"/>
      <c r="U1116" s="56"/>
      <c r="V1116" s="57"/>
      <c r="W1116" s="10" t="s">
        <v>218</v>
      </c>
      <c r="X1116" s="10"/>
      <c r="Y1116" s="10"/>
      <c r="Z1116" s="55"/>
      <c r="AA1116" s="56"/>
      <c r="AB1116" s="56"/>
      <c r="AC1116" s="56"/>
      <c r="AD1116" s="57"/>
      <c r="AE1116" s="10"/>
    </row>
    <row r="1117" spans="4:31" ht="24.75" customHeight="1">
      <c r="D1117" s="111" t="s">
        <v>122</v>
      </c>
      <c r="E1117" s="111"/>
      <c r="F1117" s="111"/>
      <c r="G1117" s="111" t="s">
        <v>219</v>
      </c>
      <c r="H1117" s="111"/>
      <c r="I1117" s="111"/>
      <c r="J1117" s="111"/>
      <c r="K1117" s="111"/>
      <c r="L1117" s="91">
        <f t="shared" si="13"/>
        <v>526.27692678</v>
      </c>
      <c r="M1117" s="91"/>
      <c r="N1117" s="91"/>
      <c r="O1117" s="58" t="s">
        <v>35</v>
      </c>
      <c r="P1117" s="58"/>
      <c r="Q1117" s="10" t="s">
        <v>34</v>
      </c>
      <c r="R1117" s="55">
        <f>ROUND(G1111*(S1110-L1117)/S1110,3)</f>
        <v>82.321</v>
      </c>
      <c r="S1117" s="56"/>
      <c r="T1117" s="56"/>
      <c r="U1117" s="56"/>
      <c r="V1117" s="57"/>
      <c r="W1117" s="10" t="s">
        <v>218</v>
      </c>
      <c r="X1117" s="10"/>
      <c r="Y1117" s="10"/>
      <c r="Z1117" s="55"/>
      <c r="AA1117" s="56"/>
      <c r="AB1117" s="56"/>
      <c r="AC1117" s="56"/>
      <c r="AD1117" s="57"/>
      <c r="AE1117" s="10"/>
    </row>
    <row r="1118" spans="4:25" ht="24.75" customHeight="1">
      <c r="D1118" s="47"/>
      <c r="E1118" s="47"/>
      <c r="F1118" s="47"/>
      <c r="G1118" s="47"/>
      <c r="H1118" s="47"/>
      <c r="I1118" s="47"/>
      <c r="J1118" s="47"/>
      <c r="K1118" s="47"/>
      <c r="L1118" s="56"/>
      <c r="M1118" s="56"/>
      <c r="N1118" s="47"/>
      <c r="O1118" s="47"/>
      <c r="P1118" s="47"/>
      <c r="Q1118" s="10"/>
      <c r="R1118" s="55"/>
      <c r="S1118" s="56"/>
      <c r="T1118" s="56"/>
      <c r="U1118" s="56"/>
      <c r="V1118" s="57"/>
      <c r="W1118" s="10"/>
      <c r="X1118" s="10"/>
      <c r="Y1118" s="10"/>
    </row>
    <row r="1119" spans="4:36" ht="24.75" customHeight="1">
      <c r="D1119" s="110" t="s">
        <v>173</v>
      </c>
      <c r="E1119" s="110"/>
      <c r="F1119" s="110"/>
      <c r="G1119" s="110"/>
      <c r="H1119" s="59" t="s">
        <v>87</v>
      </c>
      <c r="I1119" s="107">
        <f>G1111</f>
        <v>157.5</v>
      </c>
      <c r="J1119" s="107"/>
      <c r="K1119" s="107"/>
      <c r="L1119" s="107"/>
      <c r="M1119" s="14" t="s">
        <v>48</v>
      </c>
      <c r="N1119" s="107">
        <f aca="true" t="shared" si="14" ref="N1119:N1124">R1112</f>
        <v>153.746</v>
      </c>
      <c r="O1119" s="107"/>
      <c r="P1119" s="107"/>
      <c r="Q1119" s="107"/>
      <c r="R1119" s="55" t="s">
        <v>136</v>
      </c>
      <c r="S1119" s="56"/>
      <c r="T1119" s="56"/>
      <c r="U1119" s="56"/>
      <c r="V1119" s="108">
        <f>L1112</f>
        <v>26.27692678</v>
      </c>
      <c r="W1119" s="108"/>
      <c r="X1119" s="108"/>
      <c r="Y1119" s="14" t="s">
        <v>137</v>
      </c>
      <c r="Z1119" s="108">
        <f>AM1080</f>
        <v>12</v>
      </c>
      <c r="AA1119" s="108"/>
      <c r="AB1119" s="108"/>
      <c r="AC1119" s="5" t="s">
        <v>89</v>
      </c>
      <c r="AD1119" s="109">
        <f>(I1119+N1119)/2*V1119*Z1119</f>
        <v>49071.53011540727</v>
      </c>
      <c r="AE1119" s="109"/>
      <c r="AF1119" s="109"/>
      <c r="AG1119" s="109"/>
      <c r="AH1119" s="109"/>
      <c r="AI1119" s="5" t="s">
        <v>113</v>
      </c>
      <c r="AJ1119" s="5" t="s">
        <v>20</v>
      </c>
    </row>
    <row r="1120" spans="4:46" ht="24.75" customHeight="1">
      <c r="D1120" s="92" t="s">
        <v>228</v>
      </c>
      <c r="E1120" s="92"/>
      <c r="F1120" s="92"/>
      <c r="G1120" s="92"/>
      <c r="H1120" s="14" t="s">
        <v>87</v>
      </c>
      <c r="I1120" s="107">
        <f>R1112</f>
        <v>153.746</v>
      </c>
      <c r="J1120" s="107"/>
      <c r="K1120" s="107"/>
      <c r="L1120" s="107"/>
      <c r="M1120" s="14" t="s">
        <v>48</v>
      </c>
      <c r="N1120" s="107">
        <f t="shared" si="14"/>
        <v>139.461</v>
      </c>
      <c r="O1120" s="107"/>
      <c r="P1120" s="107"/>
      <c r="Q1120" s="107"/>
      <c r="R1120" s="68" t="s">
        <v>171</v>
      </c>
      <c r="S1120" s="14"/>
      <c r="T1120" s="8">
        <v>2</v>
      </c>
      <c r="U1120" s="62" t="s">
        <v>137</v>
      </c>
      <c r="V1120" s="63">
        <f>L1113-L1112</f>
        <v>100</v>
      </c>
      <c r="W1120" s="63"/>
      <c r="X1120" s="63"/>
      <c r="Y1120" s="64" t="s">
        <v>137</v>
      </c>
      <c r="Z1120" s="24">
        <f>Z1119</f>
        <v>12</v>
      </c>
      <c r="AA1120" s="25"/>
      <c r="AB1120" s="24"/>
      <c r="AC1120" s="65" t="s">
        <v>47</v>
      </c>
      <c r="AD1120" s="66">
        <v>2</v>
      </c>
      <c r="AE1120" s="66"/>
      <c r="AF1120" s="66"/>
      <c r="AG1120" s="8" t="s">
        <v>34</v>
      </c>
      <c r="AH1120" s="63">
        <f>ROUND(+(I1120+N1120)/T1120*V1120*Z1120/AD1120,1)</f>
        <v>87962.1</v>
      </c>
      <c r="AI1120" s="63"/>
      <c r="AJ1120" s="63"/>
      <c r="AK1120" s="63"/>
      <c r="AL1120" s="92" t="str">
        <f>IF(AH1120&gt;+V1070,"N/本  ＞  ρa   N.G.","N/本  ＜  ρa   O.K.")</f>
        <v>N/本  ＜  ρa   O.K.</v>
      </c>
      <c r="AM1120" s="92"/>
      <c r="AN1120" s="92"/>
      <c r="AO1120" s="92"/>
      <c r="AP1120" s="92"/>
      <c r="AQ1120" s="92"/>
      <c r="AR1120" s="92"/>
      <c r="AS1120" s="92"/>
      <c r="AT1120" s="92"/>
    </row>
    <row r="1121" spans="4:46" ht="24.75" customHeight="1">
      <c r="D1121" s="92" t="s">
        <v>250</v>
      </c>
      <c r="E1121" s="92"/>
      <c r="F1121" s="92"/>
      <c r="G1121" s="92"/>
      <c r="H1121" s="14" t="s">
        <v>87</v>
      </c>
      <c r="I1121" s="107">
        <f>N1120</f>
        <v>139.461</v>
      </c>
      <c r="J1121" s="107"/>
      <c r="K1121" s="107"/>
      <c r="L1121" s="107"/>
      <c r="M1121" s="14" t="s">
        <v>48</v>
      </c>
      <c r="N1121" s="107">
        <f t="shared" si="14"/>
        <v>125.176</v>
      </c>
      <c r="O1121" s="107"/>
      <c r="P1121" s="107"/>
      <c r="Q1121" s="107"/>
      <c r="R1121" s="68" t="s">
        <v>171</v>
      </c>
      <c r="S1121" s="14"/>
      <c r="T1121" s="8">
        <v>2</v>
      </c>
      <c r="U1121" s="62" t="s">
        <v>137</v>
      </c>
      <c r="V1121" s="63">
        <f>(L1114-L1113)</f>
        <v>100</v>
      </c>
      <c r="W1121" s="67"/>
      <c r="X1121" s="24"/>
      <c r="Y1121" s="64" t="s">
        <v>137</v>
      </c>
      <c r="Z1121" s="24">
        <f>Z1119</f>
        <v>12</v>
      </c>
      <c r="AA1121" s="24"/>
      <c r="AB1121" s="24"/>
      <c r="AC1121" s="65" t="s">
        <v>47</v>
      </c>
      <c r="AD1121" s="66">
        <v>2</v>
      </c>
      <c r="AE1121" s="66"/>
      <c r="AF1121" s="66"/>
      <c r="AG1121" s="8" t="s">
        <v>34</v>
      </c>
      <c r="AH1121" s="63">
        <f>ROUND(+(I1121+N1121)/T1121*V1121*Z1121/AD1121,1)</f>
        <v>79391.1</v>
      </c>
      <c r="AI1121" s="63"/>
      <c r="AJ1121" s="63"/>
      <c r="AK1121" s="63"/>
      <c r="AL1121" s="92" t="str">
        <f>IF(AH1121&gt;+V1070,"N/本  ＞  ρa   N.G.","N/本  ＜  ρa   O.K.")</f>
        <v>N/本  ＜  ρa   O.K.</v>
      </c>
      <c r="AM1121" s="92"/>
      <c r="AN1121" s="92"/>
      <c r="AO1121" s="92"/>
      <c r="AP1121" s="92"/>
      <c r="AQ1121" s="92"/>
      <c r="AR1121" s="92"/>
      <c r="AS1121" s="92"/>
      <c r="AT1121" s="92"/>
    </row>
    <row r="1122" spans="4:46" ht="24.75" customHeight="1">
      <c r="D1122" s="92" t="s">
        <v>251</v>
      </c>
      <c r="E1122" s="92"/>
      <c r="F1122" s="92"/>
      <c r="G1122" s="92"/>
      <c r="H1122" s="14" t="s">
        <v>87</v>
      </c>
      <c r="I1122" s="107">
        <f>N1121</f>
        <v>125.176</v>
      </c>
      <c r="J1122" s="107"/>
      <c r="K1122" s="107"/>
      <c r="L1122" s="107"/>
      <c r="M1122" s="14" t="s">
        <v>48</v>
      </c>
      <c r="N1122" s="107">
        <f t="shared" si="14"/>
        <v>110.891</v>
      </c>
      <c r="O1122" s="107"/>
      <c r="P1122" s="107"/>
      <c r="Q1122" s="107"/>
      <c r="R1122" s="68" t="s">
        <v>171</v>
      </c>
      <c r="S1122" s="14"/>
      <c r="T1122" s="8">
        <v>2</v>
      </c>
      <c r="U1122" s="62" t="s">
        <v>137</v>
      </c>
      <c r="V1122" s="63">
        <f>(L1115-L1114)</f>
        <v>100</v>
      </c>
      <c r="W1122" s="67"/>
      <c r="X1122" s="24"/>
      <c r="Y1122" s="64" t="s">
        <v>137</v>
      </c>
      <c r="Z1122" s="24">
        <f>Z1119</f>
        <v>12</v>
      </c>
      <c r="AA1122" s="24"/>
      <c r="AB1122" s="24"/>
      <c r="AC1122" s="65" t="s">
        <v>47</v>
      </c>
      <c r="AD1122" s="66">
        <v>2</v>
      </c>
      <c r="AE1122" s="66"/>
      <c r="AF1122" s="66"/>
      <c r="AG1122" s="8" t="s">
        <v>34</v>
      </c>
      <c r="AH1122" s="63">
        <f>ROUND(+(I1122+N1122)/T1122*V1122*Z1122/AD1122,1)</f>
        <v>70820.1</v>
      </c>
      <c r="AI1122" s="63"/>
      <c r="AJ1122" s="63"/>
      <c r="AK1122" s="63"/>
      <c r="AL1122" s="92" t="str">
        <f>IF(AH1122&gt;+V1070,"N/本  ＞  ρa   N.G.","N/本  ＜  ρa   O.K.")</f>
        <v>N/本  ＜  ρa   O.K.</v>
      </c>
      <c r="AM1122" s="92"/>
      <c r="AN1122" s="92"/>
      <c r="AO1122" s="92"/>
      <c r="AP1122" s="92"/>
      <c r="AQ1122" s="92"/>
      <c r="AR1122" s="92"/>
      <c r="AS1122" s="92"/>
      <c r="AT1122" s="92"/>
    </row>
    <row r="1123" spans="4:46" ht="24.75" customHeight="1">
      <c r="D1123" s="92" t="s">
        <v>252</v>
      </c>
      <c r="E1123" s="92"/>
      <c r="F1123" s="92"/>
      <c r="G1123" s="92"/>
      <c r="H1123" s="14" t="s">
        <v>87</v>
      </c>
      <c r="I1123" s="107">
        <f>N1122</f>
        <v>110.891</v>
      </c>
      <c r="J1123" s="107"/>
      <c r="K1123" s="107"/>
      <c r="L1123" s="107"/>
      <c r="M1123" s="14" t="s">
        <v>48</v>
      </c>
      <c r="N1123" s="107">
        <f t="shared" si="14"/>
        <v>96.606</v>
      </c>
      <c r="O1123" s="107"/>
      <c r="P1123" s="107"/>
      <c r="Q1123" s="107"/>
      <c r="R1123" s="68" t="s">
        <v>171</v>
      </c>
      <c r="S1123" s="14"/>
      <c r="T1123" s="8">
        <v>2</v>
      </c>
      <c r="U1123" s="62" t="s">
        <v>137</v>
      </c>
      <c r="V1123" s="63">
        <f>(L1116-L1115)</f>
        <v>100</v>
      </c>
      <c r="W1123" s="67"/>
      <c r="X1123" s="24"/>
      <c r="Y1123" s="64" t="s">
        <v>137</v>
      </c>
      <c r="Z1123" s="24">
        <f>Z1119</f>
        <v>12</v>
      </c>
      <c r="AA1123" s="24"/>
      <c r="AB1123" s="24"/>
      <c r="AC1123" s="65" t="s">
        <v>47</v>
      </c>
      <c r="AD1123" s="66">
        <v>2</v>
      </c>
      <c r="AE1123" s="66"/>
      <c r="AF1123" s="66"/>
      <c r="AG1123" s="8" t="s">
        <v>34</v>
      </c>
      <c r="AH1123" s="63">
        <f>ROUND(+(I1123+N1123)/T1123*V1123*Z1123/AD1123,1)</f>
        <v>62249.1</v>
      </c>
      <c r="AI1123" s="63"/>
      <c r="AJ1123" s="63"/>
      <c r="AK1123" s="63"/>
      <c r="AL1123" s="92" t="str">
        <f>IF(AH1123&gt;+V1070,"N/本  ＞  ρa   N.G.","N/本  ＜  ρa   O.K.")</f>
        <v>N/本  ＜  ρa   O.K.</v>
      </c>
      <c r="AM1123" s="92"/>
      <c r="AN1123" s="92"/>
      <c r="AO1123" s="92"/>
      <c r="AP1123" s="92"/>
      <c r="AQ1123" s="92"/>
      <c r="AR1123" s="92"/>
      <c r="AS1123" s="92"/>
      <c r="AT1123" s="92"/>
    </row>
    <row r="1124" spans="4:46" ht="24.75" customHeight="1">
      <c r="D1124" s="92" t="s">
        <v>253</v>
      </c>
      <c r="E1124" s="92"/>
      <c r="F1124" s="92"/>
      <c r="G1124" s="92"/>
      <c r="H1124" s="14" t="s">
        <v>87</v>
      </c>
      <c r="I1124" s="107">
        <f>N1123</f>
        <v>96.606</v>
      </c>
      <c r="J1124" s="107"/>
      <c r="K1124" s="107"/>
      <c r="L1124" s="107"/>
      <c r="M1124" s="14" t="s">
        <v>48</v>
      </c>
      <c r="N1124" s="107">
        <f t="shared" si="14"/>
        <v>82.321</v>
      </c>
      <c r="O1124" s="107"/>
      <c r="P1124" s="107"/>
      <c r="Q1124" s="107"/>
      <c r="R1124" s="68" t="s">
        <v>171</v>
      </c>
      <c r="S1124" s="14"/>
      <c r="T1124" s="8">
        <v>2</v>
      </c>
      <c r="U1124" s="62" t="s">
        <v>137</v>
      </c>
      <c r="V1124" s="63">
        <f>(L1117-L1116)</f>
        <v>100.00000000000006</v>
      </c>
      <c r="W1124" s="67"/>
      <c r="X1124" s="24"/>
      <c r="Y1124" s="64" t="s">
        <v>137</v>
      </c>
      <c r="Z1124" s="24">
        <f>Z1119</f>
        <v>12</v>
      </c>
      <c r="AA1124" s="24"/>
      <c r="AB1124" s="24"/>
      <c r="AC1124" s="65" t="s">
        <v>47</v>
      </c>
      <c r="AD1124" s="66">
        <v>2</v>
      </c>
      <c r="AE1124" s="66"/>
      <c r="AF1124" s="66"/>
      <c r="AG1124" s="8" t="s">
        <v>34</v>
      </c>
      <c r="AH1124" s="63">
        <f>ROUND(+(I1124+N1124)/T1124*V1124*Z1124/AD1124,1)</f>
        <v>53678.1</v>
      </c>
      <c r="AI1124" s="63"/>
      <c r="AJ1124" s="63"/>
      <c r="AK1124" s="63"/>
      <c r="AL1124" s="92" t="str">
        <f>IF(AH1124&gt;+V1070,"N/本  ＞  ρa   N.G.","N/本  ＜  ρa   O.K.")</f>
        <v>N/本  ＜  ρa   O.K.</v>
      </c>
      <c r="AM1124" s="92"/>
      <c r="AN1124" s="92"/>
      <c r="AO1124" s="92"/>
      <c r="AP1124" s="92"/>
      <c r="AQ1124" s="92"/>
      <c r="AR1124" s="92"/>
      <c r="AS1124" s="92"/>
      <c r="AT1124" s="92"/>
    </row>
    <row r="1125" spans="4:25" ht="24.75" customHeight="1">
      <c r="D1125" s="47"/>
      <c r="E1125" s="47"/>
      <c r="F1125" s="47"/>
      <c r="G1125" s="47"/>
      <c r="H1125" s="47"/>
      <c r="I1125" s="47"/>
      <c r="J1125" s="47"/>
      <c r="K1125" s="47"/>
      <c r="L1125" s="56"/>
      <c r="M1125" s="56"/>
      <c r="N1125" s="47"/>
      <c r="O1125" s="47"/>
      <c r="P1125" s="47"/>
      <c r="Q1125" s="10"/>
      <c r="R1125" s="55"/>
      <c r="S1125" s="56"/>
      <c r="T1125" s="56"/>
      <c r="U1125" s="56"/>
      <c r="V1125" s="57"/>
      <c r="W1125" s="10"/>
      <c r="X1125" s="10"/>
      <c r="Y1125" s="10"/>
    </row>
    <row r="1126" spans="3:47" ht="24.75" customHeight="1">
      <c r="C1126" s="18" t="s">
        <v>9</v>
      </c>
      <c r="I1126" s="23"/>
      <c r="AU1126" s="23"/>
    </row>
    <row r="1127" spans="4:47" ht="24.75" customHeight="1">
      <c r="D1127" s="5" t="s">
        <v>26</v>
      </c>
      <c r="AU1127" s="23"/>
    </row>
    <row r="1128" spans="4:47" ht="24.75" customHeight="1">
      <c r="D1128" s="5" t="s">
        <v>27</v>
      </c>
      <c r="AU1128" s="23"/>
    </row>
    <row r="1129" spans="5:47" ht="24.75" customHeight="1">
      <c r="E1129" s="5" t="s">
        <v>125</v>
      </c>
      <c r="AU1129" s="23"/>
    </row>
    <row r="1130" ht="24.75" customHeight="1">
      <c r="D1130" s="5" t="s">
        <v>7</v>
      </c>
    </row>
    <row r="1131" spans="3:42" ht="24.75" customHeight="1">
      <c r="C1131" s="106" t="s">
        <v>49</v>
      </c>
      <c r="D1131" s="106"/>
      <c r="E1131" s="106"/>
      <c r="G1131" s="105">
        <f>ABS(O937)</f>
        <v>1189.7727808</v>
      </c>
      <c r="H1131" s="105"/>
      <c r="I1131" s="105"/>
      <c r="J1131" s="19" t="s">
        <v>41</v>
      </c>
      <c r="K1131" s="132">
        <v>1000</v>
      </c>
      <c r="L1131" s="132"/>
      <c r="M1131" s="132"/>
      <c r="N1131" s="92" t="s">
        <v>48</v>
      </c>
      <c r="O1131" s="92"/>
      <c r="P1131" s="105">
        <f>ABS(O938)</f>
        <v>344.42750016</v>
      </c>
      <c r="Q1131" s="105"/>
      <c r="R1131" s="105"/>
      <c r="S1131" s="19" t="s">
        <v>41</v>
      </c>
      <c r="T1131" s="97">
        <v>100000</v>
      </c>
      <c r="U1131" s="97"/>
      <c r="V1131" s="97"/>
      <c r="W1131" s="97"/>
      <c r="Y1131" s="106" t="s">
        <v>47</v>
      </c>
      <c r="Z1131" s="106"/>
      <c r="AA1131" s="122">
        <v>44</v>
      </c>
      <c r="AB1131" s="122"/>
      <c r="AC1131" s="122"/>
      <c r="AD1131" s="92" t="s">
        <v>34</v>
      </c>
      <c r="AE1131" s="92"/>
      <c r="AF1131" s="102">
        <f>ROUND((G1131*K1131/J1132+P1131*T1131/(R1132*T1132))/AA1131,1)</f>
        <v>13694.1</v>
      </c>
      <c r="AG1131" s="102"/>
      <c r="AH1131" s="102"/>
      <c r="AI1131" s="102"/>
      <c r="AJ1131" s="103" t="str">
        <f>IF(AF1131&gt;+M1059,"N/本   ＞ ρa","N/本  ＜  ρa")</f>
        <v>N/本  ＜  ρa</v>
      </c>
      <c r="AK1131" s="103"/>
      <c r="AL1131" s="103"/>
      <c r="AM1131" s="103"/>
      <c r="AN1131" s="103"/>
      <c r="AO1131" s="103"/>
      <c r="AP1131" s="103"/>
    </row>
    <row r="1132" spans="3:42" ht="24.75" customHeight="1">
      <c r="C1132" s="106"/>
      <c r="D1132" s="106"/>
      <c r="E1132" s="106"/>
      <c r="J1132" s="8">
        <v>2</v>
      </c>
      <c r="N1132" s="92"/>
      <c r="O1132" s="92"/>
      <c r="R1132" s="8">
        <v>2</v>
      </c>
      <c r="S1132" s="14" t="s">
        <v>41</v>
      </c>
      <c r="T1132" s="24">
        <f>(AG936+AN936)/2*1000</f>
        <v>2250</v>
      </c>
      <c r="U1132" s="25"/>
      <c r="V1132" s="25"/>
      <c r="Y1132" s="106"/>
      <c r="Z1132" s="106"/>
      <c r="AA1132" s="122"/>
      <c r="AB1132" s="122"/>
      <c r="AC1132" s="122"/>
      <c r="AD1132" s="92"/>
      <c r="AE1132" s="92"/>
      <c r="AF1132" s="102"/>
      <c r="AG1132" s="102"/>
      <c r="AH1132" s="102"/>
      <c r="AI1132" s="102"/>
      <c r="AJ1132" s="103"/>
      <c r="AK1132" s="103"/>
      <c r="AL1132" s="103"/>
      <c r="AM1132" s="103"/>
      <c r="AN1132" s="103"/>
      <c r="AO1132" s="103"/>
      <c r="AP1132" s="103"/>
    </row>
    <row r="1134" spans="3:9" ht="24.75" customHeight="1">
      <c r="C1134" s="5" t="s">
        <v>10</v>
      </c>
      <c r="I1134" s="23"/>
    </row>
    <row r="1135" spans="4:31" ht="24.75" customHeight="1">
      <c r="D1135" s="5" t="s">
        <v>50</v>
      </c>
      <c r="P1135" s="104">
        <f>ROUND(MAX(AH1103:AH1107,AH1120:AH1124),1)</f>
        <v>87962.1</v>
      </c>
      <c r="Q1135" s="104"/>
      <c r="R1135" s="104"/>
      <c r="S1135" s="104"/>
      <c r="T1135" s="5" t="s">
        <v>48</v>
      </c>
      <c r="U1135" s="104">
        <f>+AF1131</f>
        <v>13694.1</v>
      </c>
      <c r="V1135" s="104"/>
      <c r="W1135" s="104"/>
      <c r="X1135" s="104"/>
      <c r="Y1135" s="5" t="s">
        <v>33</v>
      </c>
      <c r="AA1135" s="100">
        <f>ROUND(SQRT(P1135^2+U1135^2),1)</f>
        <v>89021.7</v>
      </c>
      <c r="AB1135" s="100"/>
      <c r="AC1135" s="100"/>
      <c r="AD1135" s="100"/>
      <c r="AE1135" s="5" t="str">
        <f>IF(AA1135&gt;$AA$10,"N/本  ＞  ρa ,  N.G","N/本  ＜  ρa ,  O.K")</f>
        <v>N/本  ＜  ρa ,  O.K</v>
      </c>
    </row>
    <row r="1136" spans="3:9" ht="24.75" customHeight="1">
      <c r="C1136" s="18" t="s">
        <v>245</v>
      </c>
      <c r="I1136" s="23"/>
    </row>
    <row r="1137" ht="24.75" customHeight="1">
      <c r="D1137" s="5" t="s">
        <v>25</v>
      </c>
    </row>
    <row r="1138" spans="4:30" ht="24.75" customHeight="1">
      <c r="D1138" s="92" t="s">
        <v>214</v>
      </c>
      <c r="E1138" s="92"/>
      <c r="F1138" s="92"/>
      <c r="G1138" s="132">
        <f>+AM1080</f>
        <v>12</v>
      </c>
      <c r="H1138" s="132"/>
      <c r="I1138" s="132"/>
      <c r="J1138" s="19" t="s">
        <v>41</v>
      </c>
      <c r="K1138" s="176">
        <f>IF(AG938=0,M1140&amp;"³",M1140)</f>
        <v>2205.1077071199948</v>
      </c>
      <c r="L1138" s="176"/>
      <c r="M1138" s="176"/>
      <c r="N1138" s="103" t="str">
        <f>IF(AG938=0,""," × ( "&amp;ROUND(M1140,1)&amp;"²cos²"&amp;ROUND(AG938,2)&amp;" + "&amp;ROUND(I1140,1)&amp;"²sin²"&amp;ROUND(AG938,2)&amp;" )")</f>
        <v> × ( 2205.1²cos²3.9 + 12²sin²3.9 )</v>
      </c>
      <c r="O1138" s="103"/>
      <c r="P1138" s="103"/>
      <c r="Q1138" s="103"/>
      <c r="R1138" s="103"/>
      <c r="S1138" s="103"/>
      <c r="T1138" s="103"/>
      <c r="U1138" s="103"/>
      <c r="V1138" s="103"/>
      <c r="W1138" s="103"/>
      <c r="X1138" s="103"/>
      <c r="Y1138" s="103"/>
      <c r="Z1138" s="103"/>
      <c r="AA1138" s="103"/>
      <c r="AB1138" s="103"/>
      <c r="AC1138" s="103"/>
      <c r="AD1138" s="103"/>
    </row>
    <row r="1139" spans="4:30" ht="24.75" customHeight="1">
      <c r="D1139" s="92"/>
      <c r="E1139" s="92"/>
      <c r="F1139" s="92"/>
      <c r="I1139" s="92">
        <v>12</v>
      </c>
      <c r="J1139" s="92"/>
      <c r="K1139" s="92"/>
      <c r="N1139" s="103"/>
      <c r="O1139" s="103"/>
      <c r="P1139" s="103"/>
      <c r="Q1139" s="103"/>
      <c r="R1139" s="103"/>
      <c r="S1139" s="103"/>
      <c r="T1139" s="103"/>
      <c r="U1139" s="103"/>
      <c r="V1139" s="103"/>
      <c r="W1139" s="103"/>
      <c r="X1139" s="103"/>
      <c r="Y1139" s="103"/>
      <c r="Z1139" s="103"/>
      <c r="AA1139" s="103"/>
      <c r="AB1139" s="103"/>
      <c r="AC1139" s="103"/>
      <c r="AD1139" s="103"/>
    </row>
    <row r="1140" spans="4:42" ht="24.75" customHeight="1">
      <c r="D1140" s="8"/>
      <c r="E1140" s="8"/>
      <c r="F1140" s="8"/>
      <c r="G1140" s="92" t="s">
        <v>48</v>
      </c>
      <c r="H1140" s="92"/>
      <c r="I1140" s="124">
        <f>+G1138</f>
        <v>12</v>
      </c>
      <c r="J1140" s="124"/>
      <c r="K1140" s="92" t="s">
        <v>36</v>
      </c>
      <c r="L1140" s="92"/>
      <c r="M1140" s="100">
        <f>AM1079/COS(RADIANS(AG938))</f>
        <v>2205.1077071199948</v>
      </c>
      <c r="N1140" s="100"/>
      <c r="O1140" s="100"/>
      <c r="P1140" s="100"/>
      <c r="Q1140" s="92" t="s">
        <v>37</v>
      </c>
      <c r="R1140" s="92"/>
      <c r="S1140" s="80">
        <f>AM1079/2</f>
        <v>1100</v>
      </c>
      <c r="T1140" s="80"/>
      <c r="U1140" s="80"/>
      <c r="V1140" s="80"/>
      <c r="W1140" s="92" t="s">
        <v>46</v>
      </c>
      <c r="X1140" s="80">
        <f>ROUND(Q1159,2)</f>
        <v>1160.19</v>
      </c>
      <c r="Y1140" s="80"/>
      <c r="Z1140" s="80"/>
      <c r="AA1140" s="80"/>
      <c r="AB1140" s="92" t="s">
        <v>38</v>
      </c>
      <c r="AC1140" s="92"/>
      <c r="AD1140" s="92"/>
      <c r="AE1140" s="90">
        <f>I1140*M1140/12*((M1140*COS(RADIANS(AG938)))^2+(I1140*SIN(RADIANS(AG938)))^2)+I1140*M1140*(S1140-X1140)^2</f>
        <v>10768587697.44567</v>
      </c>
      <c r="AF1140" s="90"/>
      <c r="AG1140" s="90"/>
      <c r="AH1140" s="90"/>
      <c r="AI1140" s="90"/>
      <c r="AJ1140" s="90"/>
      <c r="AK1140" s="92" t="s">
        <v>224</v>
      </c>
      <c r="AL1140" s="92"/>
      <c r="AM1140" s="28"/>
      <c r="AN1140" s="28"/>
      <c r="AO1140" s="8"/>
      <c r="AP1140" s="8"/>
    </row>
    <row r="1141" spans="4:42" ht="24.75" customHeight="1">
      <c r="D1141" s="8"/>
      <c r="E1141" s="8"/>
      <c r="F1141" s="8"/>
      <c r="G1141" s="92"/>
      <c r="H1141" s="92"/>
      <c r="I1141" s="124"/>
      <c r="J1141" s="124"/>
      <c r="K1141" s="92"/>
      <c r="L1141" s="92"/>
      <c r="M1141" s="100"/>
      <c r="N1141" s="100"/>
      <c r="O1141" s="100"/>
      <c r="P1141" s="100"/>
      <c r="Q1141" s="92"/>
      <c r="R1141" s="92"/>
      <c r="S1141" s="80"/>
      <c r="T1141" s="80"/>
      <c r="U1141" s="80"/>
      <c r="V1141" s="80"/>
      <c r="W1141" s="92"/>
      <c r="X1141" s="80"/>
      <c r="Y1141" s="80"/>
      <c r="Z1141" s="80"/>
      <c r="AA1141" s="80"/>
      <c r="AB1141" s="92"/>
      <c r="AC1141" s="92"/>
      <c r="AD1141" s="92"/>
      <c r="AE1141" s="90"/>
      <c r="AF1141" s="90"/>
      <c r="AG1141" s="90"/>
      <c r="AH1141" s="90"/>
      <c r="AI1141" s="90"/>
      <c r="AJ1141" s="90"/>
      <c r="AK1141" s="92"/>
      <c r="AL1141" s="92"/>
      <c r="AM1141" s="28"/>
      <c r="AN1141" s="28"/>
      <c r="AO1141" s="8"/>
      <c r="AP1141" s="8"/>
    </row>
    <row r="1142" spans="4:42" ht="24.75" customHeight="1">
      <c r="D1142" s="8"/>
      <c r="E1142" s="8"/>
      <c r="F1142" s="8"/>
      <c r="I1142" s="8"/>
      <c r="J1142" s="8"/>
      <c r="K1142" s="8"/>
      <c r="N1142" s="8"/>
      <c r="O1142" s="8"/>
      <c r="P1142" s="9"/>
      <c r="W1142" s="8"/>
      <c r="AK1142" s="7"/>
      <c r="AL1142" s="7"/>
      <c r="AM1142" s="7"/>
      <c r="AN1142" s="7"/>
      <c r="AO1142" s="8"/>
      <c r="AP1142" s="8"/>
    </row>
    <row r="1143" spans="4:23" ht="24.75" customHeight="1">
      <c r="D1143" s="5" t="s">
        <v>28</v>
      </c>
      <c r="W1143" s="8"/>
    </row>
    <row r="1144" spans="4:33" ht="24.75" customHeight="1">
      <c r="D1144" s="92" t="s">
        <v>215</v>
      </c>
      <c r="E1144" s="92"/>
      <c r="F1144" s="92"/>
      <c r="G1144" s="92"/>
      <c r="H1144" s="97" t="s">
        <v>209</v>
      </c>
      <c r="I1144" s="97"/>
      <c r="J1144" s="97"/>
      <c r="K1144" s="92" t="s">
        <v>34</v>
      </c>
      <c r="L1144" s="92"/>
      <c r="M1144" s="100">
        <f>AA1146</f>
        <v>5635.88545608</v>
      </c>
      <c r="N1144" s="100"/>
      <c r="O1144" s="100"/>
      <c r="P1144" s="100"/>
      <c r="Q1144" s="92" t="s">
        <v>41</v>
      </c>
      <c r="R1144" s="92"/>
      <c r="S1144" s="101">
        <f>+AE1140</f>
        <v>10768587697.44567</v>
      </c>
      <c r="T1144" s="101"/>
      <c r="U1144" s="101"/>
      <c r="V1144" s="101"/>
      <c r="W1144" s="101"/>
      <c r="X1144" s="101"/>
      <c r="Y1144" s="92" t="s">
        <v>34</v>
      </c>
      <c r="Z1144" s="92"/>
      <c r="AA1144" s="89">
        <f>+M1144*S1144/S1145</f>
        <v>352.55059214831545</v>
      </c>
      <c r="AB1144" s="89"/>
      <c r="AC1144" s="89"/>
      <c r="AD1144" s="89"/>
      <c r="AE1144" s="92" t="s">
        <v>103</v>
      </c>
      <c r="AF1144" s="92"/>
      <c r="AG1144" s="18"/>
    </row>
    <row r="1145" spans="4:33" ht="24.75" customHeight="1">
      <c r="D1145" s="92"/>
      <c r="E1145" s="92"/>
      <c r="F1145" s="92"/>
      <c r="G1145" s="92"/>
      <c r="H1145" s="92" t="s">
        <v>51</v>
      </c>
      <c r="I1145" s="92"/>
      <c r="J1145" s="92"/>
      <c r="K1145" s="92"/>
      <c r="L1145" s="92"/>
      <c r="M1145" s="100"/>
      <c r="N1145" s="100"/>
      <c r="O1145" s="100"/>
      <c r="P1145" s="100"/>
      <c r="Q1145" s="92"/>
      <c r="R1145" s="92"/>
      <c r="S1145" s="99">
        <f>+U1147</f>
        <v>172147000000</v>
      </c>
      <c r="T1145" s="99"/>
      <c r="U1145" s="99"/>
      <c r="V1145" s="99"/>
      <c r="W1145" s="99"/>
      <c r="X1145" s="99"/>
      <c r="Y1145" s="92"/>
      <c r="Z1145" s="92"/>
      <c r="AA1145" s="89"/>
      <c r="AB1145" s="89"/>
      <c r="AC1145" s="89"/>
      <c r="AD1145" s="89"/>
      <c r="AE1145" s="92"/>
      <c r="AF1145" s="92"/>
      <c r="AG1145" s="18"/>
    </row>
    <row r="1146" spans="4:31" ht="24.75" customHeight="1">
      <c r="D1146" s="5" t="s">
        <v>216</v>
      </c>
      <c r="I1146" s="23"/>
      <c r="AA1146" s="89">
        <f>ABS(O936)</f>
        <v>5635.88545608</v>
      </c>
      <c r="AB1146" s="89"/>
      <c r="AC1146" s="89"/>
      <c r="AD1146" s="89"/>
      <c r="AE1146" s="5" t="s">
        <v>111</v>
      </c>
    </row>
    <row r="1147" spans="4:31" ht="24.75" customHeight="1">
      <c r="D1147" s="5" t="s">
        <v>52</v>
      </c>
      <c r="G1147" s="5" t="s">
        <v>29</v>
      </c>
      <c r="I1147" s="23"/>
      <c r="S1147" s="5" t="s">
        <v>53</v>
      </c>
      <c r="U1147" s="99">
        <v>172147000000</v>
      </c>
      <c r="V1147" s="99"/>
      <c r="W1147" s="99"/>
      <c r="X1147" s="99"/>
      <c r="Y1147" s="99"/>
      <c r="Z1147" s="99"/>
      <c r="AA1147" s="5" t="s">
        <v>224</v>
      </c>
      <c r="AB1147" s="8"/>
      <c r="AC1147" s="8"/>
      <c r="AD1147" s="41"/>
      <c r="AE1147" s="41"/>
    </row>
    <row r="1148" spans="9:35" ht="24.75" customHeight="1">
      <c r="I1148" s="23"/>
      <c r="T1148" s="22"/>
      <c r="U1148" s="22"/>
      <c r="V1148" s="22"/>
      <c r="W1148" s="22"/>
      <c r="X1148" s="22"/>
      <c r="AA1148" s="69"/>
      <c r="AB1148" s="8"/>
      <c r="AC1148" s="8"/>
      <c r="AD1148" s="41"/>
      <c r="AE1148" s="41"/>
      <c r="AF1148" s="41"/>
      <c r="AG1148" s="41"/>
      <c r="AH1148" s="8"/>
      <c r="AI1148" s="8"/>
    </row>
    <row r="1149" spans="4:35" ht="24.75" customHeight="1">
      <c r="D1149" s="97" t="s">
        <v>246</v>
      </c>
      <c r="E1149" s="97"/>
      <c r="F1149" s="97"/>
      <c r="G1149" s="97"/>
      <c r="H1149" s="97"/>
      <c r="I1149" s="97"/>
      <c r="J1149" s="97"/>
      <c r="K1149" s="97"/>
      <c r="L1149" s="97"/>
      <c r="M1149" s="97"/>
      <c r="N1149" s="41"/>
      <c r="O1149" s="41"/>
      <c r="P1149" s="41"/>
      <c r="Q1149" s="8"/>
      <c r="R1149" s="8"/>
      <c r="S1149" s="22"/>
      <c r="T1149" s="22"/>
      <c r="U1149" s="22"/>
      <c r="V1149" s="22"/>
      <c r="W1149" s="22"/>
      <c r="X1149" s="8"/>
      <c r="Y1149" s="8"/>
      <c r="Z1149" s="69"/>
      <c r="AA1149" s="69"/>
      <c r="AB1149" s="8"/>
      <c r="AC1149" s="8"/>
      <c r="AD1149" s="41"/>
      <c r="AE1149" s="41"/>
      <c r="AF1149" s="41"/>
      <c r="AG1149" s="41"/>
      <c r="AH1149" s="8"/>
      <c r="AI1149" s="8"/>
    </row>
    <row r="1150" spans="4:42" ht="24.75" customHeight="1" thickBot="1">
      <c r="D1150" s="77"/>
      <c r="E1150" s="75"/>
      <c r="F1150" s="75"/>
      <c r="G1150" s="75"/>
      <c r="H1150" s="75"/>
      <c r="I1150" s="75"/>
      <c r="J1150" s="75"/>
      <c r="K1150" s="75"/>
      <c r="L1150" s="75"/>
      <c r="M1150" s="74" t="s">
        <v>230</v>
      </c>
      <c r="N1150" s="74"/>
      <c r="O1150" s="74"/>
      <c r="P1150" s="74"/>
      <c r="Q1150" s="74"/>
      <c r="R1150" s="74"/>
      <c r="S1150" s="73" t="s">
        <v>104</v>
      </c>
      <c r="T1150" s="73"/>
      <c r="U1150" s="73"/>
      <c r="V1150" s="73"/>
      <c r="W1150" s="73"/>
      <c r="X1150" s="73"/>
      <c r="Y1150" s="74" t="s">
        <v>231</v>
      </c>
      <c r="Z1150" s="74"/>
      <c r="AA1150" s="74"/>
      <c r="AB1150" s="74"/>
      <c r="AC1150" s="74"/>
      <c r="AD1150" s="74"/>
      <c r="AE1150" s="74" t="s">
        <v>232</v>
      </c>
      <c r="AF1150" s="74"/>
      <c r="AG1150" s="74"/>
      <c r="AH1150" s="74"/>
      <c r="AI1150" s="74"/>
      <c r="AJ1150" s="74"/>
      <c r="AK1150" s="75" t="s">
        <v>233</v>
      </c>
      <c r="AL1150" s="75"/>
      <c r="AM1150" s="75"/>
      <c r="AN1150" s="75"/>
      <c r="AO1150" s="75"/>
      <c r="AP1150" s="76"/>
    </row>
    <row r="1151" spans="4:42" ht="24.75" customHeight="1" thickBot="1" thickTop="1">
      <c r="D1151" s="177">
        <v>2</v>
      </c>
      <c r="E1151" s="178"/>
      <c r="F1151" s="178"/>
      <c r="G1151" s="179">
        <v>2180</v>
      </c>
      <c r="H1151" s="179"/>
      <c r="I1151" s="179"/>
      <c r="J1151" s="179"/>
      <c r="K1151" s="180">
        <v>9</v>
      </c>
      <c r="L1151" s="181"/>
      <c r="M1151" s="73">
        <f>+G1151*K1151*D1151</f>
        <v>39240</v>
      </c>
      <c r="N1151" s="73"/>
      <c r="O1151" s="73"/>
      <c r="P1151" s="73"/>
      <c r="Q1151" s="73"/>
      <c r="R1151" s="73"/>
      <c r="S1151" s="78" t="s">
        <v>55</v>
      </c>
      <c r="T1151" s="78"/>
      <c r="U1151" s="78"/>
      <c r="V1151" s="78"/>
      <c r="W1151" s="78"/>
      <c r="X1151" s="78"/>
      <c r="Y1151" s="79" t="s">
        <v>55</v>
      </c>
      <c r="Z1151" s="79"/>
      <c r="AA1151" s="79"/>
      <c r="AB1151" s="79"/>
      <c r="AC1151" s="79"/>
      <c r="AD1151" s="79"/>
      <c r="AE1151" s="79" t="s">
        <v>55</v>
      </c>
      <c r="AF1151" s="79"/>
      <c r="AG1151" s="79"/>
      <c r="AH1151" s="79"/>
      <c r="AI1151" s="79"/>
      <c r="AJ1151" s="79"/>
      <c r="AK1151" s="182">
        <f>K1151*G1151/12*((G1151*COS(RADIANS(AG938)))^2+(K1151*SIN(RADIANS(AG938)))^2)*D1151</f>
        <v>15468440160.32391</v>
      </c>
      <c r="AL1151" s="182"/>
      <c r="AM1151" s="182"/>
      <c r="AN1151" s="182"/>
      <c r="AO1151" s="182"/>
      <c r="AP1151" s="183"/>
    </row>
    <row r="1152" spans="4:42" ht="24.75" customHeight="1" thickTop="1">
      <c r="D1152" s="86" t="s">
        <v>56</v>
      </c>
      <c r="E1152" s="97"/>
      <c r="F1152" s="97"/>
      <c r="G1152" s="97"/>
      <c r="H1152" s="97"/>
      <c r="I1152" s="97"/>
      <c r="J1152" s="97"/>
      <c r="K1152" s="97"/>
      <c r="L1152" s="97"/>
      <c r="M1152" s="87">
        <f>SUM(M1151:R1151)</f>
        <v>39240</v>
      </c>
      <c r="N1152" s="87"/>
      <c r="O1152" s="87"/>
      <c r="P1152" s="87"/>
      <c r="Q1152" s="87"/>
      <c r="R1152" s="87"/>
      <c r="S1152" s="88"/>
      <c r="T1152" s="88"/>
      <c r="U1152" s="88"/>
      <c r="V1152" s="88"/>
      <c r="W1152" s="88"/>
      <c r="X1152" s="88"/>
      <c r="Y1152" s="81"/>
      <c r="Z1152" s="81"/>
      <c r="AA1152" s="81"/>
      <c r="AB1152" s="81"/>
      <c r="AC1152" s="81"/>
      <c r="AD1152" s="81"/>
      <c r="AE1152" s="81">
        <f>SUM(AE1151:AJ1151)</f>
        <v>0</v>
      </c>
      <c r="AF1152" s="81"/>
      <c r="AG1152" s="81"/>
      <c r="AH1152" s="81"/>
      <c r="AI1152" s="81"/>
      <c r="AJ1152" s="81"/>
      <c r="AK1152" s="82">
        <f>SUM(AK1151:AP1151)</f>
        <v>15468440160.32391</v>
      </c>
      <c r="AL1152" s="82"/>
      <c r="AM1152" s="82"/>
      <c r="AN1152" s="82"/>
      <c r="AO1152" s="82"/>
      <c r="AP1152" s="83"/>
    </row>
    <row r="1153" spans="4:31" ht="24.75" customHeight="1">
      <c r="D1153" s="5" t="s">
        <v>39</v>
      </c>
      <c r="K1153" s="84">
        <f>+AK1152</f>
        <v>15468440160.32391</v>
      </c>
      <c r="L1153" s="84"/>
      <c r="M1153" s="84"/>
      <c r="N1153" s="84"/>
      <c r="O1153" s="84"/>
      <c r="P1153" s="84"/>
      <c r="Q1153" s="5" t="s">
        <v>48</v>
      </c>
      <c r="R1153" s="85">
        <f>+AE1152</f>
        <v>0</v>
      </c>
      <c r="S1153" s="85"/>
      <c r="T1153" s="85"/>
      <c r="U1153" s="85"/>
      <c r="V1153" s="85"/>
      <c r="W1153" s="85"/>
      <c r="X1153" s="5" t="s">
        <v>89</v>
      </c>
      <c r="Y1153" s="84">
        <f>+K1153+R1153</f>
        <v>15468440160.32391</v>
      </c>
      <c r="Z1153" s="84"/>
      <c r="AA1153" s="84"/>
      <c r="AB1153" s="84"/>
      <c r="AC1153" s="84"/>
      <c r="AD1153" s="84"/>
      <c r="AE1153" s="5" t="s">
        <v>224</v>
      </c>
    </row>
    <row r="1154" spans="4:37" ht="24.75" customHeight="1">
      <c r="D1154" s="5" t="s">
        <v>57</v>
      </c>
      <c r="G1154" s="90">
        <f>+Y1153</f>
        <v>15468440160.32391</v>
      </c>
      <c r="H1154" s="90"/>
      <c r="I1154" s="90"/>
      <c r="J1154" s="90"/>
      <c r="K1154" s="90"/>
      <c r="L1154" s="90"/>
      <c r="M1154" s="5" t="s">
        <v>48</v>
      </c>
      <c r="N1154" s="80">
        <f>+M1152</f>
        <v>39240</v>
      </c>
      <c r="O1154" s="80"/>
      <c r="P1154" s="80"/>
      <c r="Q1154" s="80"/>
      <c r="R1154" s="5" t="s">
        <v>37</v>
      </c>
      <c r="T1154" s="80">
        <f>AM1079/2</f>
        <v>1100</v>
      </c>
      <c r="U1154" s="80"/>
      <c r="V1154" s="80"/>
      <c r="W1154" s="80"/>
      <c r="X1154" s="5" t="s">
        <v>46</v>
      </c>
      <c r="Y1154" s="80">
        <f>ROUND(Q1159,2)</f>
        <v>1160.19</v>
      </c>
      <c r="Z1154" s="80"/>
      <c r="AA1154" s="80"/>
      <c r="AB1154" s="80"/>
      <c r="AC1154" s="5" t="s">
        <v>38</v>
      </c>
      <c r="AE1154" s="99">
        <f>+G1154+N1154*(T1154-Y1154)^2</f>
        <v>15610600248.88791</v>
      </c>
      <c r="AF1154" s="99"/>
      <c r="AG1154" s="99"/>
      <c r="AH1154" s="99"/>
      <c r="AI1154" s="99"/>
      <c r="AJ1154" s="99"/>
      <c r="AK1154" s="5" t="s">
        <v>224</v>
      </c>
    </row>
    <row r="1155" spans="4:34" ht="24.75" customHeight="1">
      <c r="D1155" s="5" t="s">
        <v>58</v>
      </c>
      <c r="G1155" s="5" t="s">
        <v>234</v>
      </c>
      <c r="AD1155" s="6"/>
      <c r="AE1155" s="6"/>
      <c r="AF1155" s="6"/>
      <c r="AG1155" s="6"/>
      <c r="AH1155" s="6"/>
    </row>
    <row r="1156" spans="7:34" ht="24.75" customHeight="1">
      <c r="G1156" s="22"/>
      <c r="H1156" s="22"/>
      <c r="I1156" s="22"/>
      <c r="J1156" s="22"/>
      <c r="K1156" s="22"/>
      <c r="M1156" s="41"/>
      <c r="N1156" s="41"/>
      <c r="O1156" s="41"/>
      <c r="P1156" s="41"/>
      <c r="S1156" s="41"/>
      <c r="T1156" s="41"/>
      <c r="U1156" s="41"/>
      <c r="V1156" s="41"/>
      <c r="X1156" s="41"/>
      <c r="Y1156" s="41"/>
      <c r="Z1156" s="41"/>
      <c r="AA1156" s="41"/>
      <c r="AD1156" s="6"/>
      <c r="AE1156" s="6"/>
      <c r="AF1156" s="6"/>
      <c r="AG1156" s="6"/>
      <c r="AH1156" s="6"/>
    </row>
    <row r="1157" spans="4:29" ht="24.75" customHeight="1">
      <c r="D1157" s="5" t="s">
        <v>235</v>
      </c>
      <c r="I1157" s="8"/>
      <c r="J1157" s="8"/>
      <c r="K1157" s="8"/>
      <c r="L1157" s="8"/>
      <c r="M1157" s="41"/>
      <c r="N1157" s="41"/>
      <c r="O1157" s="41"/>
      <c r="P1157" s="41"/>
      <c r="Q1157" s="8"/>
      <c r="R1157" s="8"/>
      <c r="S1157" s="22"/>
      <c r="T1157" s="22"/>
      <c r="U1157" s="22"/>
      <c r="V1157" s="22"/>
      <c r="W1157" s="22"/>
      <c r="X1157" s="8"/>
      <c r="Y1157" s="8"/>
      <c r="Z1157" s="69"/>
      <c r="AA1157" s="69"/>
      <c r="AB1157" s="8"/>
      <c r="AC1157" s="8"/>
    </row>
    <row r="1158" spans="4:9" ht="24.75" customHeight="1">
      <c r="D1158" s="5" t="s">
        <v>236</v>
      </c>
      <c r="I1158" s="23"/>
    </row>
    <row r="1159" spans="5:21" ht="24.75" customHeight="1">
      <c r="E1159" s="5" t="s">
        <v>59</v>
      </c>
      <c r="H1159" s="150">
        <v>-1081.806449939</v>
      </c>
      <c r="I1159" s="150"/>
      <c r="J1159" s="150"/>
      <c r="K1159" s="150"/>
      <c r="L1159" s="70" t="s">
        <v>102</v>
      </c>
      <c r="N1159" s="70" t="s">
        <v>60</v>
      </c>
      <c r="Q1159" s="89">
        <f>(AM1079+AM951+AM1006)+H1159</f>
        <v>1160.193550061</v>
      </c>
      <c r="R1159" s="89"/>
      <c r="S1159" s="89"/>
      <c r="T1159" s="89"/>
      <c r="U1159" s="70" t="s">
        <v>102</v>
      </c>
    </row>
    <row r="1160" spans="4:15" ht="24.75" customHeight="1">
      <c r="D1160" s="5" t="s">
        <v>237</v>
      </c>
      <c r="G1160" s="23"/>
      <c r="O1160" s="5" t="s">
        <v>238</v>
      </c>
    </row>
    <row r="1161" spans="4:45" ht="24.75" customHeight="1">
      <c r="D1161" s="92" t="s">
        <v>123</v>
      </c>
      <c r="E1161" s="92"/>
      <c r="F1161" s="92"/>
      <c r="G1161" s="97" t="s">
        <v>114</v>
      </c>
      <c r="H1161" s="97"/>
      <c r="I1161" s="97"/>
      <c r="J1161" s="92" t="s">
        <v>61</v>
      </c>
      <c r="K1161" s="92"/>
      <c r="L1161" s="92"/>
      <c r="M1161" s="92" t="s">
        <v>34</v>
      </c>
      <c r="N1161" s="98">
        <f>+AA1144</f>
        <v>352.55059214831545</v>
      </c>
      <c r="O1161" s="98"/>
      <c r="P1161" s="98"/>
      <c r="Q1161" s="98"/>
      <c r="R1161" s="98"/>
      <c r="S1161" s="19" t="s">
        <v>41</v>
      </c>
      <c r="T1161" s="97">
        <f>10^6</f>
        <v>1000000</v>
      </c>
      <c r="U1161" s="97"/>
      <c r="V1161" s="97"/>
      <c r="W1161" s="95" t="s">
        <v>41</v>
      </c>
      <c r="X1161" s="95"/>
      <c r="Y1161" s="96">
        <f>+H1159</f>
        <v>-1081.806449939</v>
      </c>
      <c r="Z1161" s="96"/>
      <c r="AA1161" s="96"/>
      <c r="AB1161" s="96"/>
      <c r="AC1161" s="96"/>
      <c r="AD1161" s="92" t="s">
        <v>34</v>
      </c>
      <c r="AE1161" s="96">
        <f>+N1161*T1161/O1162*Y1161</f>
        <v>-24.431572036637828</v>
      </c>
      <c r="AF1161" s="96"/>
      <c r="AG1161" s="96"/>
      <c r="AH1161" s="96"/>
      <c r="AI1161" s="96"/>
      <c r="AJ1161" s="92" t="str">
        <f>IF(O936&gt;0,IF(ABS(AE1161)&gt;Z941,"N/㎟  ＞   σca ,    N.G","N/㎟  ＜   σca ,    O.K"),IF(ABS(AE1161)&gt;O941,"N/㎟  ＞   σta ,    N.G","N/㎟  ＜   σta ,    O.K"))</f>
        <v>N/㎟  ＜   σca ,    O.K</v>
      </c>
      <c r="AK1161" s="92"/>
      <c r="AL1161" s="92"/>
      <c r="AM1161" s="92"/>
      <c r="AN1161" s="92"/>
      <c r="AO1161" s="92"/>
      <c r="AP1161" s="92"/>
      <c r="AQ1161" s="92"/>
      <c r="AR1161" s="92"/>
      <c r="AS1161" s="92"/>
    </row>
    <row r="1162" spans="4:45" ht="24.75" customHeight="1">
      <c r="D1162" s="92"/>
      <c r="E1162" s="92"/>
      <c r="F1162" s="92"/>
      <c r="G1162" s="93" t="s">
        <v>62</v>
      </c>
      <c r="H1162" s="93"/>
      <c r="I1162" s="93"/>
      <c r="J1162" s="92"/>
      <c r="K1162" s="92"/>
      <c r="L1162" s="92"/>
      <c r="M1162" s="92"/>
      <c r="O1162" s="94">
        <f>+AE1154</f>
        <v>15610600248.88791</v>
      </c>
      <c r="P1162" s="94"/>
      <c r="Q1162" s="94"/>
      <c r="R1162" s="94"/>
      <c r="S1162" s="94"/>
      <c r="T1162" s="94"/>
      <c r="U1162" s="94"/>
      <c r="W1162" s="95"/>
      <c r="X1162" s="95"/>
      <c r="Y1162" s="96"/>
      <c r="Z1162" s="96"/>
      <c r="AA1162" s="96"/>
      <c r="AB1162" s="96"/>
      <c r="AC1162" s="96"/>
      <c r="AD1162" s="92"/>
      <c r="AE1162" s="96"/>
      <c r="AF1162" s="96"/>
      <c r="AG1162" s="96"/>
      <c r="AH1162" s="96"/>
      <c r="AI1162" s="96"/>
      <c r="AJ1162" s="92"/>
      <c r="AK1162" s="92"/>
      <c r="AL1162" s="92"/>
      <c r="AM1162" s="92"/>
      <c r="AN1162" s="92"/>
      <c r="AO1162" s="92"/>
      <c r="AP1162" s="92"/>
      <c r="AQ1162" s="92"/>
      <c r="AR1162" s="92"/>
      <c r="AS1162" s="92"/>
    </row>
    <row r="1163" spans="4:45" ht="24.75" customHeight="1">
      <c r="D1163" s="92" t="s">
        <v>124</v>
      </c>
      <c r="E1163" s="92"/>
      <c r="F1163" s="92"/>
      <c r="G1163" s="97" t="s">
        <v>114</v>
      </c>
      <c r="H1163" s="97"/>
      <c r="I1163" s="97"/>
      <c r="J1163" s="92" t="s">
        <v>63</v>
      </c>
      <c r="K1163" s="92"/>
      <c r="L1163" s="92"/>
      <c r="M1163" s="92" t="s">
        <v>34</v>
      </c>
      <c r="N1163" s="98">
        <f>+N1161</f>
        <v>352.55059214831545</v>
      </c>
      <c r="O1163" s="98"/>
      <c r="P1163" s="98"/>
      <c r="Q1163" s="98"/>
      <c r="R1163" s="98"/>
      <c r="S1163" s="19" t="s">
        <v>41</v>
      </c>
      <c r="T1163" s="97">
        <f>10^6</f>
        <v>1000000</v>
      </c>
      <c r="U1163" s="97"/>
      <c r="V1163" s="97"/>
      <c r="W1163" s="95" t="s">
        <v>41</v>
      </c>
      <c r="X1163" s="95"/>
      <c r="Y1163" s="96">
        <f>+Q1159</f>
        <v>1160.193550061</v>
      </c>
      <c r="Z1163" s="96"/>
      <c r="AA1163" s="96"/>
      <c r="AB1163" s="96"/>
      <c r="AC1163" s="96"/>
      <c r="AD1163" s="92" t="s">
        <v>34</v>
      </c>
      <c r="AE1163" s="96">
        <f>+N1163*T1163/O1164*Y1163</f>
        <v>26.20187030346899</v>
      </c>
      <c r="AF1163" s="96"/>
      <c r="AG1163" s="96"/>
      <c r="AH1163" s="96"/>
      <c r="AI1163" s="96"/>
      <c r="AJ1163" s="92" t="str">
        <f>IF(O936&gt;0,IF(ABS(AE1163)&gt;O941,"N/㎟  ＞   σta ,    N.G","N/㎟  ＜   σta ,    O.K"),IF(ABS(AE1163)&gt;Z941,"N/㎟  ＞   σca ,    N.G","N/㎟  ＜   σca ,    O.K"))</f>
        <v>N/㎟  ＜   σta ,    O.K</v>
      </c>
      <c r="AK1163" s="92"/>
      <c r="AL1163" s="92"/>
      <c r="AM1163" s="92"/>
      <c r="AN1163" s="92"/>
      <c r="AO1163" s="92"/>
      <c r="AP1163" s="92"/>
      <c r="AQ1163" s="92"/>
      <c r="AR1163" s="92"/>
      <c r="AS1163" s="92"/>
    </row>
    <row r="1164" spans="4:45" ht="24.75" customHeight="1">
      <c r="D1164" s="92"/>
      <c r="E1164" s="92"/>
      <c r="F1164" s="92"/>
      <c r="G1164" s="93" t="s">
        <v>62</v>
      </c>
      <c r="H1164" s="93"/>
      <c r="I1164" s="93"/>
      <c r="J1164" s="92"/>
      <c r="K1164" s="92"/>
      <c r="L1164" s="92"/>
      <c r="M1164" s="92"/>
      <c r="O1164" s="94">
        <f>+O1162</f>
        <v>15610600248.88791</v>
      </c>
      <c r="P1164" s="94"/>
      <c r="Q1164" s="94"/>
      <c r="R1164" s="94"/>
      <c r="S1164" s="94"/>
      <c r="T1164" s="94"/>
      <c r="U1164" s="94"/>
      <c r="W1164" s="95"/>
      <c r="X1164" s="95"/>
      <c r="Y1164" s="96"/>
      <c r="Z1164" s="96"/>
      <c r="AA1164" s="96"/>
      <c r="AB1164" s="96"/>
      <c r="AC1164" s="96"/>
      <c r="AD1164" s="92"/>
      <c r="AE1164" s="96"/>
      <c r="AF1164" s="96"/>
      <c r="AG1164" s="96"/>
      <c r="AH1164" s="96"/>
      <c r="AI1164" s="96"/>
      <c r="AJ1164" s="92"/>
      <c r="AK1164" s="92"/>
      <c r="AL1164" s="92"/>
      <c r="AM1164" s="92"/>
      <c r="AN1164" s="92"/>
      <c r="AO1164" s="92"/>
      <c r="AP1164" s="92"/>
      <c r="AQ1164" s="92"/>
      <c r="AR1164" s="92"/>
      <c r="AS1164" s="92"/>
    </row>
    <row r="1165" spans="4:32" ht="24.75" customHeight="1">
      <c r="D1165" s="8"/>
      <c r="E1165" s="8"/>
      <c r="G1165" s="53"/>
      <c r="H1165" s="53"/>
      <c r="I1165" s="53"/>
      <c r="J1165" s="53"/>
      <c r="K1165" s="53"/>
      <c r="M1165" s="53"/>
      <c r="N1165" s="53"/>
      <c r="O1165" s="53"/>
      <c r="P1165" s="53"/>
      <c r="Q1165" s="53"/>
      <c r="S1165" s="53"/>
      <c r="T1165" s="53"/>
      <c r="U1165" s="53"/>
      <c r="V1165" s="53"/>
      <c r="W1165" s="53"/>
      <c r="X1165" s="25"/>
      <c r="Y1165" s="25"/>
      <c r="Z1165" s="25"/>
      <c r="AA1165" s="25"/>
      <c r="AB1165" s="25"/>
      <c r="AC1165" s="25"/>
      <c r="AD1165" s="25"/>
      <c r="AE1165" s="25"/>
      <c r="AF1165" s="25"/>
    </row>
  </sheetData>
  <mergeCells count="2715">
    <mergeCell ref="AL1123:AT1123"/>
    <mergeCell ref="AL1124:AT1124"/>
    <mergeCell ref="AL1107:AT1107"/>
    <mergeCell ref="AL1120:AT1120"/>
    <mergeCell ref="AL1121:AT1121"/>
    <mergeCell ref="AL1122:AT1122"/>
    <mergeCell ref="AL1103:AT1103"/>
    <mergeCell ref="AL1104:AT1104"/>
    <mergeCell ref="AL1105:AT1105"/>
    <mergeCell ref="AL1106:AT1106"/>
    <mergeCell ref="AL890:AT890"/>
    <mergeCell ref="AL891:AT891"/>
    <mergeCell ref="AA979:AJ980"/>
    <mergeCell ref="AM993:AO994"/>
    <mergeCell ref="AD898:AE899"/>
    <mergeCell ref="AF898:AI899"/>
    <mergeCell ref="AJ898:AP899"/>
    <mergeCell ref="AB907:AD908"/>
    <mergeCell ref="AE907:AJ908"/>
    <mergeCell ref="AK907:AL908"/>
    <mergeCell ref="AL874:AT874"/>
    <mergeCell ref="AL887:AT887"/>
    <mergeCell ref="AL888:AT888"/>
    <mergeCell ref="AL889:AT889"/>
    <mergeCell ref="AL870:AT870"/>
    <mergeCell ref="AL871:AT871"/>
    <mergeCell ref="AL872:AT872"/>
    <mergeCell ref="AL873:AT873"/>
    <mergeCell ref="AL657:AT657"/>
    <mergeCell ref="AL658:AT658"/>
    <mergeCell ref="AA746:AJ747"/>
    <mergeCell ref="AM760:AO761"/>
    <mergeCell ref="AD665:AE666"/>
    <mergeCell ref="AF665:AI666"/>
    <mergeCell ref="AJ665:AP666"/>
    <mergeCell ref="AB674:AD675"/>
    <mergeCell ref="AE674:AJ675"/>
    <mergeCell ref="AK674:AL675"/>
    <mergeCell ref="AL641:AT641"/>
    <mergeCell ref="AL654:AT654"/>
    <mergeCell ref="AL655:AT655"/>
    <mergeCell ref="AL656:AT656"/>
    <mergeCell ref="AL637:AT637"/>
    <mergeCell ref="AL638:AT638"/>
    <mergeCell ref="AL639:AT639"/>
    <mergeCell ref="AL640:AT640"/>
    <mergeCell ref="AL424:AT424"/>
    <mergeCell ref="AL425:AT425"/>
    <mergeCell ref="AA513:AJ514"/>
    <mergeCell ref="AM527:AO528"/>
    <mergeCell ref="AD432:AE433"/>
    <mergeCell ref="AF432:AI433"/>
    <mergeCell ref="AJ432:AP433"/>
    <mergeCell ref="AB441:AD442"/>
    <mergeCell ref="AE441:AJ442"/>
    <mergeCell ref="AK441:AL442"/>
    <mergeCell ref="AL408:AT408"/>
    <mergeCell ref="AL421:AT421"/>
    <mergeCell ref="AL422:AT422"/>
    <mergeCell ref="AL423:AT423"/>
    <mergeCell ref="AL404:AT404"/>
    <mergeCell ref="AL405:AT405"/>
    <mergeCell ref="AL406:AT406"/>
    <mergeCell ref="AL407:AT407"/>
    <mergeCell ref="AA346:AJ347"/>
    <mergeCell ref="AE208:AJ209"/>
    <mergeCell ref="AD229:AD230"/>
    <mergeCell ref="AE229:AI230"/>
    <mergeCell ref="AJ229:AS230"/>
    <mergeCell ref="AD231:AD232"/>
    <mergeCell ref="AE231:AI232"/>
    <mergeCell ref="Y229:AC230"/>
    <mergeCell ref="Y231:AC232"/>
    <mergeCell ref="AE212:AF213"/>
    <mergeCell ref="AM294:AO295"/>
    <mergeCell ref="AA280:AJ281"/>
    <mergeCell ref="AJ231:AS232"/>
    <mergeCell ref="AK219:AP219"/>
    <mergeCell ref="AE219:AJ219"/>
    <mergeCell ref="AK220:AP220"/>
    <mergeCell ref="AE220:AJ220"/>
    <mergeCell ref="AL189:AT189"/>
    <mergeCell ref="AL190:AT190"/>
    <mergeCell ref="AL191:AT191"/>
    <mergeCell ref="AL192:AT192"/>
    <mergeCell ref="AE122:AF122"/>
    <mergeCell ref="N206:AD207"/>
    <mergeCell ref="AD199:AE200"/>
    <mergeCell ref="P203:S203"/>
    <mergeCell ref="AE126:AH126"/>
    <mergeCell ref="AF138:AH138"/>
    <mergeCell ref="AG140:AJ140"/>
    <mergeCell ref="W208:W209"/>
    <mergeCell ref="D168:F168"/>
    <mergeCell ref="AB208:AD209"/>
    <mergeCell ref="AA212:AD213"/>
    <mergeCell ref="Y212:Z213"/>
    <mergeCell ref="S212:X212"/>
    <mergeCell ref="S213:X213"/>
    <mergeCell ref="S208:V209"/>
    <mergeCell ref="V137:Y137"/>
    <mergeCell ref="R137:T137"/>
    <mergeCell ref="D140:J140"/>
    <mergeCell ref="W140:Z140"/>
    <mergeCell ref="AG61:AJ62"/>
    <mergeCell ref="AE89:AH89"/>
    <mergeCell ref="AB120:AC120"/>
    <mergeCell ref="AC91:AF91"/>
    <mergeCell ref="AG91:AH91"/>
    <mergeCell ref="AC99:AF99"/>
    <mergeCell ref="AC61:AF62"/>
    <mergeCell ref="AH120:AK120"/>
    <mergeCell ref="AE120:AF120"/>
    <mergeCell ref="AB103:AE103"/>
    <mergeCell ref="P122:R122"/>
    <mergeCell ref="K221:P221"/>
    <mergeCell ref="R221:W221"/>
    <mergeCell ref="Y221:AD221"/>
    <mergeCell ref="Z126:AC126"/>
    <mergeCell ref="AB128:AE128"/>
    <mergeCell ref="AD170:AH170"/>
    <mergeCell ref="AA203:AD203"/>
    <mergeCell ref="Y199:Z200"/>
    <mergeCell ref="Q141:T141"/>
    <mergeCell ref="G222:L222"/>
    <mergeCell ref="AE222:AJ222"/>
    <mergeCell ref="P123:R123"/>
    <mergeCell ref="T123:U123"/>
    <mergeCell ref="AH123:AK123"/>
    <mergeCell ref="U203:X203"/>
    <mergeCell ref="T199:W199"/>
    <mergeCell ref="M208:P209"/>
    <mergeCell ref="X208:AA209"/>
    <mergeCell ref="S126:X126"/>
    <mergeCell ref="M100:O100"/>
    <mergeCell ref="Q100:S100"/>
    <mergeCell ref="U100:W100"/>
    <mergeCell ref="AC100:AE100"/>
    <mergeCell ref="Q92:T92"/>
    <mergeCell ref="BJ97:BK97"/>
    <mergeCell ref="W94:Z94"/>
    <mergeCell ref="W95:Z95"/>
    <mergeCell ref="Y97:AA97"/>
    <mergeCell ref="AC97:AE97"/>
    <mergeCell ref="BA97:BB97"/>
    <mergeCell ref="Q97:S97"/>
    <mergeCell ref="U97:W97"/>
    <mergeCell ref="BA86:BC86"/>
    <mergeCell ref="BG86:BI86"/>
    <mergeCell ref="AC87:AE87"/>
    <mergeCell ref="AG87:AJ87"/>
    <mergeCell ref="AN87:AS87"/>
    <mergeCell ref="CH18:CJ18"/>
    <mergeCell ref="F9:I9"/>
    <mergeCell ref="BV18:BX18"/>
    <mergeCell ref="BY18:CA18"/>
    <mergeCell ref="CB18:CD18"/>
    <mergeCell ref="CE18:CG18"/>
    <mergeCell ref="BJ18:BL18"/>
    <mergeCell ref="BM18:BO18"/>
    <mergeCell ref="BP18:BR18"/>
    <mergeCell ref="BS18:BU18"/>
    <mergeCell ref="BV17:BX17"/>
    <mergeCell ref="CB17:CD17"/>
    <mergeCell ref="BA18:BC18"/>
    <mergeCell ref="BD18:BF18"/>
    <mergeCell ref="BY17:CA17"/>
    <mergeCell ref="BG18:BI18"/>
    <mergeCell ref="CH16:CJ16"/>
    <mergeCell ref="CE16:CG16"/>
    <mergeCell ref="CB16:CD16"/>
    <mergeCell ref="BD17:BF17"/>
    <mergeCell ref="CE17:CG17"/>
    <mergeCell ref="CH17:CJ17"/>
    <mergeCell ref="BJ17:BL17"/>
    <mergeCell ref="BM17:BO17"/>
    <mergeCell ref="BP17:BR17"/>
    <mergeCell ref="BS17:BU17"/>
    <mergeCell ref="CH15:CJ15"/>
    <mergeCell ref="AU16:AW16"/>
    <mergeCell ref="AX16:AZ16"/>
    <mergeCell ref="BA16:BC16"/>
    <mergeCell ref="BD16:BF16"/>
    <mergeCell ref="BJ16:BL16"/>
    <mergeCell ref="BM16:BO16"/>
    <mergeCell ref="BP16:BR16"/>
    <mergeCell ref="BS16:BU16"/>
    <mergeCell ref="BG16:BI16"/>
    <mergeCell ref="BS15:BU15"/>
    <mergeCell ref="BV15:BX15"/>
    <mergeCell ref="CB15:CD15"/>
    <mergeCell ref="BY15:CA15"/>
    <mergeCell ref="BV16:BX16"/>
    <mergeCell ref="BY16:CA16"/>
    <mergeCell ref="CE13:CG13"/>
    <mergeCell ref="BV13:BX13"/>
    <mergeCell ref="BY13:CA13"/>
    <mergeCell ref="CB13:CD13"/>
    <mergeCell ref="CE15:CG15"/>
    <mergeCell ref="BD15:BF15"/>
    <mergeCell ref="BJ15:BL15"/>
    <mergeCell ref="BM15:BO15"/>
    <mergeCell ref="BP15:BR15"/>
    <mergeCell ref="AU14:BB14"/>
    <mergeCell ref="AU15:AW15"/>
    <mergeCell ref="AX15:AZ15"/>
    <mergeCell ref="BA15:BC15"/>
    <mergeCell ref="BM13:BO13"/>
    <mergeCell ref="BP13:BR13"/>
    <mergeCell ref="BG13:BI13"/>
    <mergeCell ref="CH13:CJ13"/>
    <mergeCell ref="BS13:BU13"/>
    <mergeCell ref="BY12:CA12"/>
    <mergeCell ref="CB12:CD12"/>
    <mergeCell ref="CE12:CG12"/>
    <mergeCell ref="CH12:CJ12"/>
    <mergeCell ref="BM12:BO12"/>
    <mergeCell ref="BP12:BR12"/>
    <mergeCell ref="BS12:BU12"/>
    <mergeCell ref="BV12:BX12"/>
    <mergeCell ref="BY11:CA11"/>
    <mergeCell ref="CB11:CD11"/>
    <mergeCell ref="CE11:CG11"/>
    <mergeCell ref="CH11:CJ11"/>
    <mergeCell ref="CH10:CJ10"/>
    <mergeCell ref="AU11:AW11"/>
    <mergeCell ref="AX11:AZ11"/>
    <mergeCell ref="BA11:BC11"/>
    <mergeCell ref="BD11:BF11"/>
    <mergeCell ref="BJ11:BL11"/>
    <mergeCell ref="BM11:BO11"/>
    <mergeCell ref="BP11:BR11"/>
    <mergeCell ref="BS11:BU11"/>
    <mergeCell ref="BV11:BX11"/>
    <mergeCell ref="BV10:BX10"/>
    <mergeCell ref="BY10:CA10"/>
    <mergeCell ref="CB10:CD10"/>
    <mergeCell ref="CE10:CG10"/>
    <mergeCell ref="BM10:BO10"/>
    <mergeCell ref="BP10:BR10"/>
    <mergeCell ref="BG10:BI10"/>
    <mergeCell ref="BS10:BU10"/>
    <mergeCell ref="AU13:AW13"/>
    <mergeCell ref="AX13:AZ13"/>
    <mergeCell ref="BA13:BC13"/>
    <mergeCell ref="BJ10:BL10"/>
    <mergeCell ref="BJ12:BL12"/>
    <mergeCell ref="BJ13:BL13"/>
    <mergeCell ref="AX17:AZ17"/>
    <mergeCell ref="BA17:BC17"/>
    <mergeCell ref="H10:J10"/>
    <mergeCell ref="E14:H14"/>
    <mergeCell ref="J14:L14"/>
    <mergeCell ref="E13:J13"/>
    <mergeCell ref="AU10:AW10"/>
    <mergeCell ref="AU12:AW12"/>
    <mergeCell ref="AX12:AZ12"/>
    <mergeCell ref="BA12:BC12"/>
    <mergeCell ref="G166:K166"/>
    <mergeCell ref="I97:K97"/>
    <mergeCell ref="D162:F162"/>
    <mergeCell ref="D163:F163"/>
    <mergeCell ref="G163:K163"/>
    <mergeCell ref="H101:K101"/>
    <mergeCell ref="I100:K100"/>
    <mergeCell ref="J107:O107"/>
    <mergeCell ref="L128:Q128"/>
    <mergeCell ref="D64:J65"/>
    <mergeCell ref="N64:P64"/>
    <mergeCell ref="K64:L64"/>
    <mergeCell ref="P41:S41"/>
    <mergeCell ref="N70:Q70"/>
    <mergeCell ref="P71:S71"/>
    <mergeCell ref="R89:U89"/>
    <mergeCell ref="K30:O30"/>
    <mergeCell ref="P37:T37"/>
    <mergeCell ref="I34:K34"/>
    <mergeCell ref="Q35:T35"/>
    <mergeCell ref="C199:E200"/>
    <mergeCell ref="G199:I199"/>
    <mergeCell ref="K199:M199"/>
    <mergeCell ref="D164:F164"/>
    <mergeCell ref="D165:F165"/>
    <mergeCell ref="G164:K164"/>
    <mergeCell ref="G165:K165"/>
    <mergeCell ref="D167:F167"/>
    <mergeCell ref="D166:F166"/>
    <mergeCell ref="G167:K167"/>
    <mergeCell ref="V37:Y37"/>
    <mergeCell ref="AE121:AF121"/>
    <mergeCell ref="AB122:AC122"/>
    <mergeCell ref="I93:K93"/>
    <mergeCell ref="O94:P94"/>
    <mergeCell ref="L93:N93"/>
    <mergeCell ref="O93:P93"/>
    <mergeCell ref="H98:K98"/>
    <mergeCell ref="M97:O97"/>
    <mergeCell ref="O92:P92"/>
    <mergeCell ref="W34:Z34"/>
    <mergeCell ref="W33:Z33"/>
    <mergeCell ref="W35:Z35"/>
    <mergeCell ref="AK9:AN9"/>
    <mergeCell ref="AE30:AH30"/>
    <mergeCell ref="AF32:AG32"/>
    <mergeCell ref="AM20:AO20"/>
    <mergeCell ref="AI30:AM30"/>
    <mergeCell ref="AI28:AM28"/>
    <mergeCell ref="AO21:AP21"/>
    <mergeCell ref="AA10:AC10"/>
    <mergeCell ref="P15:S15"/>
    <mergeCell ref="V10:Y10"/>
    <mergeCell ref="Q30:T30"/>
    <mergeCell ref="V30:Y30"/>
    <mergeCell ref="AA30:AB30"/>
    <mergeCell ref="O8:S8"/>
    <mergeCell ref="I12:N12"/>
    <mergeCell ref="O9:R9"/>
    <mergeCell ref="Q34:T34"/>
    <mergeCell ref="Q33:T33"/>
    <mergeCell ref="I35:K35"/>
    <mergeCell ref="L35:N35"/>
    <mergeCell ref="O35:P35"/>
    <mergeCell ref="O4:S4"/>
    <mergeCell ref="O5:S5"/>
    <mergeCell ref="O6:S6"/>
    <mergeCell ref="N14:Q14"/>
    <mergeCell ref="R10:T10"/>
    <mergeCell ref="L10:N10"/>
    <mergeCell ref="O7:S7"/>
    <mergeCell ref="O34:P34"/>
    <mergeCell ref="I33:K33"/>
    <mergeCell ref="O33:P33"/>
    <mergeCell ref="L34:N34"/>
    <mergeCell ref="L33:N33"/>
    <mergeCell ref="D61:E62"/>
    <mergeCell ref="I61:I62"/>
    <mergeCell ref="P51:S51"/>
    <mergeCell ref="P47:Q48"/>
    <mergeCell ref="M62:P62"/>
    <mergeCell ref="AA37:AE37"/>
    <mergeCell ref="Z9:AC9"/>
    <mergeCell ref="T28:V28"/>
    <mergeCell ref="Q32:U32"/>
    <mergeCell ref="W32:Z32"/>
    <mergeCell ref="AB32:AE32"/>
    <mergeCell ref="X28:Z28"/>
    <mergeCell ref="AB28:AE28"/>
    <mergeCell ref="Q28:R28"/>
    <mergeCell ref="AA36:AH36"/>
    <mergeCell ref="W36:Z36"/>
    <mergeCell ref="R64:U64"/>
    <mergeCell ref="M61:O61"/>
    <mergeCell ref="J41:N41"/>
    <mergeCell ref="J61:K61"/>
    <mergeCell ref="Q61:T61"/>
    <mergeCell ref="U61:U62"/>
    <mergeCell ref="R47:T48"/>
    <mergeCell ref="U51:X51"/>
    <mergeCell ref="V41:Z41"/>
    <mergeCell ref="AK208:AL209"/>
    <mergeCell ref="AF199:AI200"/>
    <mergeCell ref="AJ199:AP200"/>
    <mergeCell ref="AM147:AP147"/>
    <mergeCell ref="AL174:AT174"/>
    <mergeCell ref="AL175:AT175"/>
    <mergeCell ref="AL188:AT188"/>
    <mergeCell ref="AL172:AT172"/>
    <mergeCell ref="AL173:AT173"/>
    <mergeCell ref="AL171:AT171"/>
    <mergeCell ref="V64:V65"/>
    <mergeCell ref="AA214:AD214"/>
    <mergeCell ref="S103:V103"/>
    <mergeCell ref="AA199:AC200"/>
    <mergeCell ref="AA117:AD117"/>
    <mergeCell ref="Y100:AA100"/>
    <mergeCell ref="W107:Z107"/>
    <mergeCell ref="W122:Y122"/>
    <mergeCell ref="Q93:T93"/>
    <mergeCell ref="W93:Z93"/>
    <mergeCell ref="Y218:AD218"/>
    <mergeCell ref="AE218:AJ218"/>
    <mergeCell ref="X121:Y121"/>
    <mergeCell ref="AA64:AB65"/>
    <mergeCell ref="W92:Z92"/>
    <mergeCell ref="X103:Z103"/>
    <mergeCell ref="X120:Y120"/>
    <mergeCell ref="U215:Z215"/>
    <mergeCell ref="S218:X218"/>
    <mergeCell ref="AD187:AH187"/>
    <mergeCell ref="U47:V48"/>
    <mergeCell ref="AB56:AD56"/>
    <mergeCell ref="AI36:AL36"/>
    <mergeCell ref="AM75:AO75"/>
    <mergeCell ref="AA51:AD51"/>
    <mergeCell ref="W66:Z66"/>
    <mergeCell ref="W64:Z65"/>
    <mergeCell ref="V61:Y62"/>
    <mergeCell ref="Z61:AB62"/>
    <mergeCell ref="AB57:AD57"/>
    <mergeCell ref="Y219:AD219"/>
    <mergeCell ref="T222:W222"/>
    <mergeCell ref="Y222:AB222"/>
    <mergeCell ref="R86:V86"/>
    <mergeCell ref="AA89:AB89"/>
    <mergeCell ref="T120:V120"/>
    <mergeCell ref="T121:V121"/>
    <mergeCell ref="S128:V128"/>
    <mergeCell ref="T122:U122"/>
    <mergeCell ref="Q94:T94"/>
    <mergeCell ref="AK218:AP218"/>
    <mergeCell ref="D219:F219"/>
    <mergeCell ref="O230:U230"/>
    <mergeCell ref="M229:M230"/>
    <mergeCell ref="N229:R229"/>
    <mergeCell ref="M219:R219"/>
    <mergeCell ref="Q227:T227"/>
    <mergeCell ref="N222:Q222"/>
    <mergeCell ref="J229:L230"/>
    <mergeCell ref="S219:X219"/>
    <mergeCell ref="Q208:R209"/>
    <mergeCell ref="G219:J219"/>
    <mergeCell ref="Q212:R213"/>
    <mergeCell ref="H213:J213"/>
    <mergeCell ref="D206:F207"/>
    <mergeCell ref="G206:I206"/>
    <mergeCell ref="K206:M206"/>
    <mergeCell ref="I207:K207"/>
    <mergeCell ref="D212:G213"/>
    <mergeCell ref="H212:J212"/>
    <mergeCell ref="I208:J209"/>
    <mergeCell ref="K208:L209"/>
    <mergeCell ref="K212:L213"/>
    <mergeCell ref="G208:H209"/>
    <mergeCell ref="K219:L219"/>
    <mergeCell ref="D217:M217"/>
    <mergeCell ref="D218:L218"/>
    <mergeCell ref="M218:R218"/>
    <mergeCell ref="O137:P137"/>
    <mergeCell ref="I141:K141"/>
    <mergeCell ref="L141:N141"/>
    <mergeCell ref="O141:P141"/>
    <mergeCell ref="M212:P213"/>
    <mergeCell ref="AB133:AD133"/>
    <mergeCell ref="AB140:AE140"/>
    <mergeCell ref="Z170:AB170"/>
    <mergeCell ref="S161:U161"/>
    <mergeCell ref="N172:Q172"/>
    <mergeCell ref="Q138:T138"/>
    <mergeCell ref="V138:Y138"/>
    <mergeCell ref="W141:Z141"/>
    <mergeCell ref="AB138:AE138"/>
    <mergeCell ref="I66:K66"/>
    <mergeCell ref="L66:N66"/>
    <mergeCell ref="I92:K92"/>
    <mergeCell ref="O66:P66"/>
    <mergeCell ref="L92:N92"/>
    <mergeCell ref="K89:P89"/>
    <mergeCell ref="I68:N68"/>
    <mergeCell ref="E69:I69"/>
    <mergeCell ref="E70:H70"/>
    <mergeCell ref="J70:L70"/>
    <mergeCell ref="I94:K94"/>
    <mergeCell ref="L94:N94"/>
    <mergeCell ref="S178:U178"/>
    <mergeCell ref="N199:O200"/>
    <mergeCell ref="P199:R199"/>
    <mergeCell ref="G182:K182"/>
    <mergeCell ref="D189:G189"/>
    <mergeCell ref="I189:L189"/>
    <mergeCell ref="N189:Q189"/>
    <mergeCell ref="D184:F184"/>
    <mergeCell ref="AA47:AJ48"/>
    <mergeCell ref="AM61:AO62"/>
    <mergeCell ref="X91:AA91"/>
    <mergeCell ref="AB132:AD132"/>
    <mergeCell ref="AA113:AJ114"/>
    <mergeCell ref="AH121:AK121"/>
    <mergeCell ref="AH122:AK122"/>
    <mergeCell ref="AH124:AK124"/>
    <mergeCell ref="AB121:AC121"/>
    <mergeCell ref="W47:Z48"/>
    <mergeCell ref="AM148:AP148"/>
    <mergeCell ref="AI89:AM89"/>
    <mergeCell ref="AG97:AI97"/>
    <mergeCell ref="AM74:AO74"/>
    <mergeCell ref="AO76:AP76"/>
    <mergeCell ref="AI138:AK138"/>
    <mergeCell ref="AG100:AI100"/>
    <mergeCell ref="AH125:AK125"/>
    <mergeCell ref="BG11:BI11"/>
    <mergeCell ref="BG12:BI12"/>
    <mergeCell ref="BD13:BF13"/>
    <mergeCell ref="AM19:AN19"/>
    <mergeCell ref="BG17:BI17"/>
    <mergeCell ref="BG15:BI15"/>
    <mergeCell ref="BD12:BF12"/>
    <mergeCell ref="AU18:AW18"/>
    <mergeCell ref="AX18:AZ18"/>
    <mergeCell ref="AU17:AW17"/>
    <mergeCell ref="AG4:AI4"/>
    <mergeCell ref="AN4:AP4"/>
    <mergeCell ref="AG5:AI5"/>
    <mergeCell ref="AG6:AI6"/>
    <mergeCell ref="AU9:BE9"/>
    <mergeCell ref="AX10:AZ10"/>
    <mergeCell ref="BA10:BC10"/>
    <mergeCell ref="BD10:BF10"/>
    <mergeCell ref="D220:L220"/>
    <mergeCell ref="M220:R220"/>
    <mergeCell ref="S220:X220"/>
    <mergeCell ref="Y220:AD220"/>
    <mergeCell ref="G230:I230"/>
    <mergeCell ref="D229:F230"/>
    <mergeCell ref="G229:I229"/>
    <mergeCell ref="W229:X230"/>
    <mergeCell ref="T229:V229"/>
    <mergeCell ref="G168:K168"/>
    <mergeCell ref="W231:X232"/>
    <mergeCell ref="O232:U232"/>
    <mergeCell ref="D231:F232"/>
    <mergeCell ref="G231:I231"/>
    <mergeCell ref="J231:L232"/>
    <mergeCell ref="G232:I232"/>
    <mergeCell ref="M231:M232"/>
    <mergeCell ref="N231:R231"/>
    <mergeCell ref="T231:V231"/>
    <mergeCell ref="D171:G171"/>
    <mergeCell ref="I171:L171"/>
    <mergeCell ref="N171:Q171"/>
    <mergeCell ref="V170:X170"/>
    <mergeCell ref="D170:G170"/>
    <mergeCell ref="I170:L170"/>
    <mergeCell ref="N170:Q170"/>
    <mergeCell ref="D174:G174"/>
    <mergeCell ref="I174:L174"/>
    <mergeCell ref="N174:Q174"/>
    <mergeCell ref="N173:Q173"/>
    <mergeCell ref="D172:G172"/>
    <mergeCell ref="I172:L172"/>
    <mergeCell ref="D173:G173"/>
    <mergeCell ref="I173:L173"/>
    <mergeCell ref="D175:G175"/>
    <mergeCell ref="I175:L175"/>
    <mergeCell ref="N175:Q175"/>
    <mergeCell ref="D179:F179"/>
    <mergeCell ref="D183:F183"/>
    <mergeCell ref="G183:K183"/>
    <mergeCell ref="D180:F180"/>
    <mergeCell ref="G180:K180"/>
    <mergeCell ref="D181:F181"/>
    <mergeCell ref="G181:K181"/>
    <mergeCell ref="G184:K184"/>
    <mergeCell ref="D188:G188"/>
    <mergeCell ref="I188:L188"/>
    <mergeCell ref="N188:Q188"/>
    <mergeCell ref="D185:F185"/>
    <mergeCell ref="I190:L190"/>
    <mergeCell ref="N190:Q190"/>
    <mergeCell ref="D191:G191"/>
    <mergeCell ref="I191:L191"/>
    <mergeCell ref="N191:Q191"/>
    <mergeCell ref="I192:L192"/>
    <mergeCell ref="N192:Q192"/>
    <mergeCell ref="C47:E48"/>
    <mergeCell ref="G47:I47"/>
    <mergeCell ref="K47:N47"/>
    <mergeCell ref="C113:E114"/>
    <mergeCell ref="G113:I113"/>
    <mergeCell ref="K113:N113"/>
    <mergeCell ref="F62:H62"/>
    <mergeCell ref="D190:G190"/>
    <mergeCell ref="H227:K227"/>
    <mergeCell ref="V187:X187"/>
    <mergeCell ref="Z187:AB187"/>
    <mergeCell ref="N65:Q65"/>
    <mergeCell ref="I187:L187"/>
    <mergeCell ref="N187:Q187"/>
    <mergeCell ref="G185:K185"/>
    <mergeCell ref="D187:G187"/>
    <mergeCell ref="D182:F182"/>
    <mergeCell ref="D192:G192"/>
    <mergeCell ref="U113:V114"/>
    <mergeCell ref="P117:S117"/>
    <mergeCell ref="U117:X117"/>
    <mergeCell ref="Q99:V99"/>
    <mergeCell ref="X99:AA99"/>
    <mergeCell ref="L103:Q103"/>
    <mergeCell ref="Q107:T107"/>
    <mergeCell ref="W89:Z89"/>
    <mergeCell ref="Q66:T66"/>
    <mergeCell ref="Q91:V91"/>
    <mergeCell ref="O237:S237"/>
    <mergeCell ref="P120:R120"/>
    <mergeCell ref="P121:R121"/>
    <mergeCell ref="W113:Z114"/>
    <mergeCell ref="T98:W98"/>
    <mergeCell ref="P113:Q114"/>
    <mergeCell ref="R113:T114"/>
    <mergeCell ref="AG237:AI237"/>
    <mergeCell ref="AN237:AP237"/>
    <mergeCell ref="O238:S238"/>
    <mergeCell ref="AG238:AI238"/>
    <mergeCell ref="O239:S239"/>
    <mergeCell ref="AG239:AI239"/>
    <mergeCell ref="O240:S240"/>
    <mergeCell ref="O241:S241"/>
    <mergeCell ref="F242:I242"/>
    <mergeCell ref="O242:R242"/>
    <mergeCell ref="Z242:AC242"/>
    <mergeCell ref="AK242:AN242"/>
    <mergeCell ref="AU242:BE242"/>
    <mergeCell ref="H243:J243"/>
    <mergeCell ref="L243:N243"/>
    <mergeCell ref="R243:T243"/>
    <mergeCell ref="V243:Y243"/>
    <mergeCell ref="AA243:AC243"/>
    <mergeCell ref="AU243:AW243"/>
    <mergeCell ref="AX243:AZ243"/>
    <mergeCell ref="BA243:BC243"/>
    <mergeCell ref="BD243:BF243"/>
    <mergeCell ref="BG243:BI243"/>
    <mergeCell ref="BJ243:BL243"/>
    <mergeCell ref="BM243:BO243"/>
    <mergeCell ref="BP243:BR243"/>
    <mergeCell ref="BS243:BU243"/>
    <mergeCell ref="BV243:BX243"/>
    <mergeCell ref="BY243:CA243"/>
    <mergeCell ref="CB243:CD243"/>
    <mergeCell ref="CE243:CG243"/>
    <mergeCell ref="CH243:CJ243"/>
    <mergeCell ref="AU244:AW244"/>
    <mergeCell ref="AX244:AZ244"/>
    <mergeCell ref="BA244:BC244"/>
    <mergeCell ref="BD244:BF244"/>
    <mergeCell ref="BG244:BI244"/>
    <mergeCell ref="BJ244:BL244"/>
    <mergeCell ref="BM244:BO244"/>
    <mergeCell ref="BP244:BR244"/>
    <mergeCell ref="BS244:BU244"/>
    <mergeCell ref="BV244:BX244"/>
    <mergeCell ref="BY244:CA244"/>
    <mergeCell ref="CB244:CD244"/>
    <mergeCell ref="CE244:CG244"/>
    <mergeCell ref="CH244:CJ244"/>
    <mergeCell ref="I245:N245"/>
    <mergeCell ref="AU245:AW245"/>
    <mergeCell ref="AX245:AZ245"/>
    <mergeCell ref="BA245:BC245"/>
    <mergeCell ref="BD245:BF245"/>
    <mergeCell ref="BG245:BI245"/>
    <mergeCell ref="BJ245:BL245"/>
    <mergeCell ref="BM245:BO245"/>
    <mergeCell ref="BP245:BR245"/>
    <mergeCell ref="BS245:BU245"/>
    <mergeCell ref="BV245:BX245"/>
    <mergeCell ref="BY245:CA245"/>
    <mergeCell ref="CB245:CD245"/>
    <mergeCell ref="CE245:CG245"/>
    <mergeCell ref="CH245:CJ245"/>
    <mergeCell ref="E246:J246"/>
    <mergeCell ref="AU246:AW246"/>
    <mergeCell ref="AX246:AZ246"/>
    <mergeCell ref="BA246:BC246"/>
    <mergeCell ref="BD246:BF246"/>
    <mergeCell ref="BG246:BI246"/>
    <mergeCell ref="BJ246:BL246"/>
    <mergeCell ref="BM246:BO246"/>
    <mergeCell ref="BP246:BR246"/>
    <mergeCell ref="BS246:BU246"/>
    <mergeCell ref="BV246:BX246"/>
    <mergeCell ref="BY246:CA246"/>
    <mergeCell ref="CB246:CD246"/>
    <mergeCell ref="CE246:CG246"/>
    <mergeCell ref="CH246:CJ246"/>
    <mergeCell ref="E247:H247"/>
    <mergeCell ref="J247:L247"/>
    <mergeCell ref="N247:Q247"/>
    <mergeCell ref="AU247:BB247"/>
    <mergeCell ref="P248:S248"/>
    <mergeCell ref="AU248:AW248"/>
    <mergeCell ref="AX248:AZ248"/>
    <mergeCell ref="BA248:BC248"/>
    <mergeCell ref="BD248:BF248"/>
    <mergeCell ref="BG248:BI248"/>
    <mergeCell ref="BJ248:BL248"/>
    <mergeCell ref="BM248:BO248"/>
    <mergeCell ref="BP248:BR248"/>
    <mergeCell ref="BS248:BU248"/>
    <mergeCell ref="BV248:BX248"/>
    <mergeCell ref="BY248:CA248"/>
    <mergeCell ref="CB248:CD248"/>
    <mergeCell ref="CE248:CG248"/>
    <mergeCell ref="CH248:CJ248"/>
    <mergeCell ref="AU249:AW249"/>
    <mergeCell ref="AX249:AZ249"/>
    <mergeCell ref="BA249:BC249"/>
    <mergeCell ref="BD249:BF249"/>
    <mergeCell ref="BG249:BI249"/>
    <mergeCell ref="BJ249:BL249"/>
    <mergeCell ref="BM249:BO249"/>
    <mergeCell ref="BP249:BR249"/>
    <mergeCell ref="BS249:BU249"/>
    <mergeCell ref="BV249:BX249"/>
    <mergeCell ref="BY249:CA249"/>
    <mergeCell ref="CB249:CD249"/>
    <mergeCell ref="CE249:CG249"/>
    <mergeCell ref="CH249:CJ249"/>
    <mergeCell ref="AU250:AW250"/>
    <mergeCell ref="AX250:AZ250"/>
    <mergeCell ref="BA250:BC250"/>
    <mergeCell ref="BD250:BF250"/>
    <mergeCell ref="BG250:BI250"/>
    <mergeCell ref="BJ250:BL250"/>
    <mergeCell ref="BM250:BO250"/>
    <mergeCell ref="BP250:BR250"/>
    <mergeCell ref="BS250:BU250"/>
    <mergeCell ref="BV250:BX250"/>
    <mergeCell ref="BY250:CA250"/>
    <mergeCell ref="CB250:CD250"/>
    <mergeCell ref="CE250:CG250"/>
    <mergeCell ref="CH250:CJ250"/>
    <mergeCell ref="AU251:AW251"/>
    <mergeCell ref="AX251:AZ251"/>
    <mergeCell ref="BA251:BC251"/>
    <mergeCell ref="BD251:BF251"/>
    <mergeCell ref="BG251:BI251"/>
    <mergeCell ref="BJ251:BL251"/>
    <mergeCell ref="BM251:BO251"/>
    <mergeCell ref="CB251:CD251"/>
    <mergeCell ref="CE251:CG251"/>
    <mergeCell ref="CH251:CJ251"/>
    <mergeCell ref="AM252:AN252"/>
    <mergeCell ref="BP251:BR251"/>
    <mergeCell ref="BS251:BU251"/>
    <mergeCell ref="BV251:BX251"/>
    <mergeCell ref="BY251:CA251"/>
    <mergeCell ref="AM253:AO253"/>
    <mergeCell ref="AO254:AP254"/>
    <mergeCell ref="Q261:R261"/>
    <mergeCell ref="T261:V261"/>
    <mergeCell ref="X261:Z261"/>
    <mergeCell ref="AB261:AE261"/>
    <mergeCell ref="AI261:AM261"/>
    <mergeCell ref="K263:O263"/>
    <mergeCell ref="Q263:T263"/>
    <mergeCell ref="V263:Y263"/>
    <mergeCell ref="AA263:AB263"/>
    <mergeCell ref="Q266:T266"/>
    <mergeCell ref="AE263:AH263"/>
    <mergeCell ref="AI263:AM263"/>
    <mergeCell ref="Q265:U265"/>
    <mergeCell ref="W265:Z265"/>
    <mergeCell ref="AB265:AE265"/>
    <mergeCell ref="AF265:AG265"/>
    <mergeCell ref="W268:Z268"/>
    <mergeCell ref="W266:Z266"/>
    <mergeCell ref="I267:K267"/>
    <mergeCell ref="L267:N267"/>
    <mergeCell ref="O267:P267"/>
    <mergeCell ref="Q267:T267"/>
    <mergeCell ref="W267:Z267"/>
    <mergeCell ref="I266:K266"/>
    <mergeCell ref="L266:N266"/>
    <mergeCell ref="O266:P266"/>
    <mergeCell ref="I268:K268"/>
    <mergeCell ref="L268:N268"/>
    <mergeCell ref="O268:P268"/>
    <mergeCell ref="Q268:T268"/>
    <mergeCell ref="W269:Z269"/>
    <mergeCell ref="AA269:AH269"/>
    <mergeCell ref="AI269:AL269"/>
    <mergeCell ref="P270:T270"/>
    <mergeCell ref="V270:Y270"/>
    <mergeCell ref="AA270:AE270"/>
    <mergeCell ref="J274:N274"/>
    <mergeCell ref="P274:S274"/>
    <mergeCell ref="V274:Z274"/>
    <mergeCell ref="C280:E281"/>
    <mergeCell ref="G280:I280"/>
    <mergeCell ref="K280:N280"/>
    <mergeCell ref="P280:Q281"/>
    <mergeCell ref="R280:T281"/>
    <mergeCell ref="U280:V281"/>
    <mergeCell ref="W280:Z281"/>
    <mergeCell ref="P284:S284"/>
    <mergeCell ref="U284:X284"/>
    <mergeCell ref="AA284:AD284"/>
    <mergeCell ref="AB289:AD289"/>
    <mergeCell ref="AB290:AD290"/>
    <mergeCell ref="D294:E295"/>
    <mergeCell ref="I294:I295"/>
    <mergeCell ref="J294:K294"/>
    <mergeCell ref="M294:O294"/>
    <mergeCell ref="Q294:T294"/>
    <mergeCell ref="U294:U295"/>
    <mergeCell ref="V294:Y295"/>
    <mergeCell ref="Z294:AB295"/>
    <mergeCell ref="AC294:AF295"/>
    <mergeCell ref="AG294:AJ295"/>
    <mergeCell ref="F295:H295"/>
    <mergeCell ref="M295:P295"/>
    <mergeCell ref="D297:J298"/>
    <mergeCell ref="K297:L297"/>
    <mergeCell ref="N297:P297"/>
    <mergeCell ref="R297:U297"/>
    <mergeCell ref="V297:V298"/>
    <mergeCell ref="W297:Z298"/>
    <mergeCell ref="AA297:AB298"/>
    <mergeCell ref="N298:Q298"/>
    <mergeCell ref="W299:Z299"/>
    <mergeCell ref="I301:N301"/>
    <mergeCell ref="E302:I302"/>
    <mergeCell ref="E303:H303"/>
    <mergeCell ref="J303:L303"/>
    <mergeCell ref="N303:Q303"/>
    <mergeCell ref="I299:K299"/>
    <mergeCell ref="L299:N299"/>
    <mergeCell ref="O299:P299"/>
    <mergeCell ref="Q299:T299"/>
    <mergeCell ref="P304:S304"/>
    <mergeCell ref="AM307:AO307"/>
    <mergeCell ref="AM308:AO308"/>
    <mergeCell ref="AO309:AP309"/>
    <mergeCell ref="R319:V319"/>
    <mergeCell ref="BA319:BC319"/>
    <mergeCell ref="BG319:BI319"/>
    <mergeCell ref="AC320:AE320"/>
    <mergeCell ref="AG320:AJ320"/>
    <mergeCell ref="AN320:AS320"/>
    <mergeCell ref="K322:P322"/>
    <mergeCell ref="R322:U322"/>
    <mergeCell ref="W322:Z322"/>
    <mergeCell ref="AA322:AB322"/>
    <mergeCell ref="Q325:T325"/>
    <mergeCell ref="AE322:AH322"/>
    <mergeCell ref="AI322:AM322"/>
    <mergeCell ref="Q324:V324"/>
    <mergeCell ref="X324:AA324"/>
    <mergeCell ref="AC324:AF324"/>
    <mergeCell ref="AG324:AH324"/>
    <mergeCell ref="W327:Z327"/>
    <mergeCell ref="W325:Z325"/>
    <mergeCell ref="I326:K326"/>
    <mergeCell ref="L326:N326"/>
    <mergeCell ref="O326:P326"/>
    <mergeCell ref="Q326:T326"/>
    <mergeCell ref="W326:Z326"/>
    <mergeCell ref="I325:K325"/>
    <mergeCell ref="L325:N325"/>
    <mergeCell ref="O325:P325"/>
    <mergeCell ref="I327:K327"/>
    <mergeCell ref="L327:N327"/>
    <mergeCell ref="O327:P327"/>
    <mergeCell ref="Q327:T327"/>
    <mergeCell ref="W328:Z328"/>
    <mergeCell ref="I330:K330"/>
    <mergeCell ref="M330:O330"/>
    <mergeCell ref="Q330:S330"/>
    <mergeCell ref="U330:W330"/>
    <mergeCell ref="Y330:AA330"/>
    <mergeCell ref="AC330:AE330"/>
    <mergeCell ref="AG330:AI330"/>
    <mergeCell ref="BA330:BB330"/>
    <mergeCell ref="BJ330:BK330"/>
    <mergeCell ref="H331:K331"/>
    <mergeCell ref="T331:W331"/>
    <mergeCell ref="Q332:V332"/>
    <mergeCell ref="X332:AA332"/>
    <mergeCell ref="AC332:AF332"/>
    <mergeCell ref="I333:K333"/>
    <mergeCell ref="M333:O333"/>
    <mergeCell ref="Q333:S333"/>
    <mergeCell ref="U333:W333"/>
    <mergeCell ref="Y333:AA333"/>
    <mergeCell ref="AC333:AE333"/>
    <mergeCell ref="AG333:AI333"/>
    <mergeCell ref="H334:K334"/>
    <mergeCell ref="L336:Q336"/>
    <mergeCell ref="S336:V336"/>
    <mergeCell ref="X336:Z336"/>
    <mergeCell ref="AB336:AE336"/>
    <mergeCell ref="J340:O340"/>
    <mergeCell ref="Q340:T340"/>
    <mergeCell ref="W340:Z340"/>
    <mergeCell ref="C346:E347"/>
    <mergeCell ref="G346:I346"/>
    <mergeCell ref="K346:N346"/>
    <mergeCell ref="P346:Q347"/>
    <mergeCell ref="R346:T347"/>
    <mergeCell ref="U346:V347"/>
    <mergeCell ref="W346:Z347"/>
    <mergeCell ref="X353:Y353"/>
    <mergeCell ref="AB353:AC353"/>
    <mergeCell ref="P350:S350"/>
    <mergeCell ref="U350:X350"/>
    <mergeCell ref="AA350:AD350"/>
    <mergeCell ref="AE353:AF353"/>
    <mergeCell ref="AH353:AK353"/>
    <mergeCell ref="P354:R354"/>
    <mergeCell ref="T354:V354"/>
    <mergeCell ref="X354:Y354"/>
    <mergeCell ref="AB354:AC354"/>
    <mergeCell ref="AE354:AF354"/>
    <mergeCell ref="AH354:AK354"/>
    <mergeCell ref="P353:R353"/>
    <mergeCell ref="T353:V353"/>
    <mergeCell ref="AE355:AF355"/>
    <mergeCell ref="AH355:AK355"/>
    <mergeCell ref="P356:R356"/>
    <mergeCell ref="T356:U356"/>
    <mergeCell ref="AH356:AK356"/>
    <mergeCell ref="P355:R355"/>
    <mergeCell ref="T355:U355"/>
    <mergeCell ref="W355:Y355"/>
    <mergeCell ref="AB355:AC355"/>
    <mergeCell ref="AH357:AK357"/>
    <mergeCell ref="AH358:AK358"/>
    <mergeCell ref="S359:X359"/>
    <mergeCell ref="Z359:AC359"/>
    <mergeCell ref="AE359:AH359"/>
    <mergeCell ref="L361:Q361"/>
    <mergeCell ref="S361:V361"/>
    <mergeCell ref="AB361:AE361"/>
    <mergeCell ref="AB365:AD365"/>
    <mergeCell ref="AB366:AD366"/>
    <mergeCell ref="O370:P370"/>
    <mergeCell ref="R370:T370"/>
    <mergeCell ref="V370:Y370"/>
    <mergeCell ref="AI371:AK371"/>
    <mergeCell ref="D373:J373"/>
    <mergeCell ref="W373:Z373"/>
    <mergeCell ref="AB373:AE373"/>
    <mergeCell ref="AG373:AJ373"/>
    <mergeCell ref="Q371:T371"/>
    <mergeCell ref="V371:Y371"/>
    <mergeCell ref="AB371:AE371"/>
    <mergeCell ref="AF371:AH371"/>
    <mergeCell ref="AM380:AP380"/>
    <mergeCell ref="AM381:AP381"/>
    <mergeCell ref="S394:U394"/>
    <mergeCell ref="I374:K374"/>
    <mergeCell ref="L374:N374"/>
    <mergeCell ref="O374:P374"/>
    <mergeCell ref="Q374:T374"/>
    <mergeCell ref="D395:F395"/>
    <mergeCell ref="D396:F396"/>
    <mergeCell ref="G396:K396"/>
    <mergeCell ref="W374:Z374"/>
    <mergeCell ref="L399:N399"/>
    <mergeCell ref="L400:N400"/>
    <mergeCell ref="D397:F397"/>
    <mergeCell ref="G397:K397"/>
    <mergeCell ref="D398:F398"/>
    <mergeCell ref="G398:K398"/>
    <mergeCell ref="L398:N398"/>
    <mergeCell ref="D399:F399"/>
    <mergeCell ref="G399:K399"/>
    <mergeCell ref="D400:F400"/>
    <mergeCell ref="G400:K400"/>
    <mergeCell ref="D401:F401"/>
    <mergeCell ref="G401:K401"/>
    <mergeCell ref="D403:G403"/>
    <mergeCell ref="I403:L403"/>
    <mergeCell ref="L401:N401"/>
    <mergeCell ref="V403:X403"/>
    <mergeCell ref="Z403:AB403"/>
    <mergeCell ref="AD403:AH403"/>
    <mergeCell ref="D404:G404"/>
    <mergeCell ref="I404:L404"/>
    <mergeCell ref="N404:Q404"/>
    <mergeCell ref="N403:Q403"/>
    <mergeCell ref="D405:G405"/>
    <mergeCell ref="I405:L405"/>
    <mergeCell ref="N405:Q405"/>
    <mergeCell ref="D406:G406"/>
    <mergeCell ref="I406:L406"/>
    <mergeCell ref="N406:Q406"/>
    <mergeCell ref="D407:G407"/>
    <mergeCell ref="I407:L407"/>
    <mergeCell ref="N407:Q407"/>
    <mergeCell ref="D408:G408"/>
    <mergeCell ref="I408:L408"/>
    <mergeCell ref="N408:Q408"/>
    <mergeCell ref="S411:U411"/>
    <mergeCell ref="D412:F412"/>
    <mergeCell ref="D413:F413"/>
    <mergeCell ref="G413:K413"/>
    <mergeCell ref="L413:N413"/>
    <mergeCell ref="L416:N416"/>
    <mergeCell ref="L417:N417"/>
    <mergeCell ref="D414:F414"/>
    <mergeCell ref="G414:K414"/>
    <mergeCell ref="D415:F415"/>
    <mergeCell ref="G415:K415"/>
    <mergeCell ref="L414:N414"/>
    <mergeCell ref="L415:N415"/>
    <mergeCell ref="D416:F416"/>
    <mergeCell ref="G416:K416"/>
    <mergeCell ref="L418:N418"/>
    <mergeCell ref="V420:X420"/>
    <mergeCell ref="D417:F417"/>
    <mergeCell ref="G417:K417"/>
    <mergeCell ref="D418:F418"/>
    <mergeCell ref="G418:K418"/>
    <mergeCell ref="Z420:AB420"/>
    <mergeCell ref="AD420:AH420"/>
    <mergeCell ref="D421:G421"/>
    <mergeCell ref="I421:L421"/>
    <mergeCell ref="N421:Q421"/>
    <mergeCell ref="N420:Q420"/>
    <mergeCell ref="D420:G420"/>
    <mergeCell ref="I420:L420"/>
    <mergeCell ref="D422:G422"/>
    <mergeCell ref="I422:L422"/>
    <mergeCell ref="N422:Q422"/>
    <mergeCell ref="D423:G423"/>
    <mergeCell ref="I423:L423"/>
    <mergeCell ref="N423:Q423"/>
    <mergeCell ref="D424:G424"/>
    <mergeCell ref="I424:L424"/>
    <mergeCell ref="N424:Q424"/>
    <mergeCell ref="D425:G425"/>
    <mergeCell ref="I425:L425"/>
    <mergeCell ref="N425:Q425"/>
    <mergeCell ref="C432:E433"/>
    <mergeCell ref="G432:I432"/>
    <mergeCell ref="K432:M432"/>
    <mergeCell ref="N432:O433"/>
    <mergeCell ref="P436:S436"/>
    <mergeCell ref="U436:X436"/>
    <mergeCell ref="AA436:AD436"/>
    <mergeCell ref="P432:R432"/>
    <mergeCell ref="T432:W432"/>
    <mergeCell ref="Y432:Z433"/>
    <mergeCell ref="AA432:AC433"/>
    <mergeCell ref="D439:F440"/>
    <mergeCell ref="G439:I439"/>
    <mergeCell ref="K439:M439"/>
    <mergeCell ref="N439:AD440"/>
    <mergeCell ref="I440:K440"/>
    <mergeCell ref="G441:H442"/>
    <mergeCell ref="I441:J442"/>
    <mergeCell ref="K441:L442"/>
    <mergeCell ref="M441:P442"/>
    <mergeCell ref="Q441:R442"/>
    <mergeCell ref="S441:V442"/>
    <mergeCell ref="W441:W442"/>
    <mergeCell ref="X441:AA442"/>
    <mergeCell ref="D445:G446"/>
    <mergeCell ref="H445:J445"/>
    <mergeCell ref="K445:L446"/>
    <mergeCell ref="M445:P446"/>
    <mergeCell ref="AE445:AF446"/>
    <mergeCell ref="H446:J446"/>
    <mergeCell ref="S446:X446"/>
    <mergeCell ref="AA447:AD447"/>
    <mergeCell ref="Q445:R446"/>
    <mergeCell ref="S445:X445"/>
    <mergeCell ref="Y445:Z446"/>
    <mergeCell ref="AA445:AD446"/>
    <mergeCell ref="AE451:AJ451"/>
    <mergeCell ref="AK451:AP451"/>
    <mergeCell ref="U448:Z448"/>
    <mergeCell ref="D450:M450"/>
    <mergeCell ref="D451:L451"/>
    <mergeCell ref="M451:R451"/>
    <mergeCell ref="S451:X451"/>
    <mergeCell ref="Y451:AD451"/>
    <mergeCell ref="D452:F452"/>
    <mergeCell ref="G452:J452"/>
    <mergeCell ref="K452:L452"/>
    <mergeCell ref="M452:R452"/>
    <mergeCell ref="S452:X452"/>
    <mergeCell ref="Y452:AD452"/>
    <mergeCell ref="AE452:AJ452"/>
    <mergeCell ref="AK452:AP452"/>
    <mergeCell ref="AE453:AJ453"/>
    <mergeCell ref="AK453:AP453"/>
    <mergeCell ref="K454:P454"/>
    <mergeCell ref="R454:W454"/>
    <mergeCell ref="Y454:AD454"/>
    <mergeCell ref="D453:L453"/>
    <mergeCell ref="M453:R453"/>
    <mergeCell ref="S453:X453"/>
    <mergeCell ref="Y453:AD453"/>
    <mergeCell ref="G455:L455"/>
    <mergeCell ref="N455:Q455"/>
    <mergeCell ref="T455:W455"/>
    <mergeCell ref="Y455:AB455"/>
    <mergeCell ref="AE455:AJ455"/>
    <mergeCell ref="H460:K460"/>
    <mergeCell ref="Q460:T460"/>
    <mergeCell ref="D462:F463"/>
    <mergeCell ref="G462:I462"/>
    <mergeCell ref="J462:L463"/>
    <mergeCell ref="M462:M463"/>
    <mergeCell ref="N462:R462"/>
    <mergeCell ref="T462:V462"/>
    <mergeCell ref="W462:X463"/>
    <mergeCell ref="Y462:AC463"/>
    <mergeCell ref="AD462:AD463"/>
    <mergeCell ref="AE462:AI463"/>
    <mergeCell ref="AJ462:AS463"/>
    <mergeCell ref="G463:I463"/>
    <mergeCell ref="O463:U463"/>
    <mergeCell ref="D464:F465"/>
    <mergeCell ref="G464:I464"/>
    <mergeCell ref="J464:L465"/>
    <mergeCell ref="M464:M465"/>
    <mergeCell ref="N464:R464"/>
    <mergeCell ref="T464:V464"/>
    <mergeCell ref="AJ464:AS465"/>
    <mergeCell ref="G465:I465"/>
    <mergeCell ref="O465:U465"/>
    <mergeCell ref="W464:X465"/>
    <mergeCell ref="Y464:AC465"/>
    <mergeCell ref="AD464:AD465"/>
    <mergeCell ref="AE464:AI465"/>
    <mergeCell ref="O470:S470"/>
    <mergeCell ref="AG470:AI470"/>
    <mergeCell ref="AN470:AP470"/>
    <mergeCell ref="O471:S471"/>
    <mergeCell ref="AG471:AI471"/>
    <mergeCell ref="O472:S472"/>
    <mergeCell ref="AG472:AI472"/>
    <mergeCell ref="O473:S473"/>
    <mergeCell ref="O474:S474"/>
    <mergeCell ref="F475:I475"/>
    <mergeCell ref="O475:R475"/>
    <mergeCell ref="Z475:AC475"/>
    <mergeCell ref="AK475:AN475"/>
    <mergeCell ref="AU475:BE475"/>
    <mergeCell ref="H476:J476"/>
    <mergeCell ref="L476:N476"/>
    <mergeCell ref="R476:T476"/>
    <mergeCell ref="V476:Y476"/>
    <mergeCell ref="AA476:AC476"/>
    <mergeCell ref="AU476:AW476"/>
    <mergeCell ref="AX476:AZ476"/>
    <mergeCell ref="BA476:BC476"/>
    <mergeCell ref="BD476:BF476"/>
    <mergeCell ref="BG476:BI476"/>
    <mergeCell ref="BJ476:BL476"/>
    <mergeCell ref="BM476:BO476"/>
    <mergeCell ref="BP476:BR476"/>
    <mergeCell ref="BS476:BU476"/>
    <mergeCell ref="BV476:BX476"/>
    <mergeCell ref="BY476:CA476"/>
    <mergeCell ref="CB476:CD476"/>
    <mergeCell ref="CE476:CG476"/>
    <mergeCell ref="CH476:CJ476"/>
    <mergeCell ref="AU477:AW477"/>
    <mergeCell ref="AX477:AZ477"/>
    <mergeCell ref="BA477:BC477"/>
    <mergeCell ref="BD477:BF477"/>
    <mergeCell ref="BG477:BI477"/>
    <mergeCell ref="BJ477:BL477"/>
    <mergeCell ref="BM477:BO477"/>
    <mergeCell ref="BP477:BR477"/>
    <mergeCell ref="BS477:BU477"/>
    <mergeCell ref="BV477:BX477"/>
    <mergeCell ref="BY477:CA477"/>
    <mergeCell ref="CB477:CD477"/>
    <mergeCell ref="CE477:CG477"/>
    <mergeCell ref="CH477:CJ477"/>
    <mergeCell ref="I478:N478"/>
    <mergeCell ref="AU478:AW478"/>
    <mergeCell ref="AX478:AZ478"/>
    <mergeCell ref="BA478:BC478"/>
    <mergeCell ref="BD478:BF478"/>
    <mergeCell ref="BG478:BI478"/>
    <mergeCell ref="BJ478:BL478"/>
    <mergeCell ref="BM478:BO478"/>
    <mergeCell ref="BP478:BR478"/>
    <mergeCell ref="BS478:BU478"/>
    <mergeCell ref="BV478:BX478"/>
    <mergeCell ref="BY478:CA478"/>
    <mergeCell ref="CB478:CD478"/>
    <mergeCell ref="CE478:CG478"/>
    <mergeCell ref="CH478:CJ478"/>
    <mergeCell ref="E479:J479"/>
    <mergeCell ref="AU479:AW479"/>
    <mergeCell ref="AX479:AZ479"/>
    <mergeCell ref="BA479:BC479"/>
    <mergeCell ref="BD479:BF479"/>
    <mergeCell ref="BG479:BI479"/>
    <mergeCell ref="BJ479:BL479"/>
    <mergeCell ref="BM479:BO479"/>
    <mergeCell ref="BP479:BR479"/>
    <mergeCell ref="BS479:BU479"/>
    <mergeCell ref="BV479:BX479"/>
    <mergeCell ref="BY479:CA479"/>
    <mergeCell ref="CB479:CD479"/>
    <mergeCell ref="CE479:CG479"/>
    <mergeCell ref="CH479:CJ479"/>
    <mergeCell ref="E480:H480"/>
    <mergeCell ref="J480:L480"/>
    <mergeCell ref="N480:Q480"/>
    <mergeCell ref="AU480:BB480"/>
    <mergeCell ref="P481:S481"/>
    <mergeCell ref="AU481:AW481"/>
    <mergeCell ref="AX481:AZ481"/>
    <mergeCell ref="BA481:BC481"/>
    <mergeCell ref="BD481:BF481"/>
    <mergeCell ref="BG481:BI481"/>
    <mergeCell ref="BJ481:BL481"/>
    <mergeCell ref="BM481:BO481"/>
    <mergeCell ref="BP481:BR481"/>
    <mergeCell ref="BS481:BU481"/>
    <mergeCell ref="BV481:BX481"/>
    <mergeCell ref="BY481:CA481"/>
    <mergeCell ref="CB481:CD481"/>
    <mergeCell ref="CE481:CG481"/>
    <mergeCell ref="CH481:CJ481"/>
    <mergeCell ref="AU482:AW482"/>
    <mergeCell ref="AX482:AZ482"/>
    <mergeCell ref="BA482:BC482"/>
    <mergeCell ref="BD482:BF482"/>
    <mergeCell ref="BG482:BI482"/>
    <mergeCell ref="BJ482:BL482"/>
    <mergeCell ref="BM482:BO482"/>
    <mergeCell ref="BP482:BR482"/>
    <mergeCell ref="BS482:BU482"/>
    <mergeCell ref="BV482:BX482"/>
    <mergeCell ref="BY482:CA482"/>
    <mergeCell ref="CB482:CD482"/>
    <mergeCell ref="CE482:CG482"/>
    <mergeCell ref="CH482:CJ482"/>
    <mergeCell ref="AU483:AW483"/>
    <mergeCell ref="AX483:AZ483"/>
    <mergeCell ref="BA483:BC483"/>
    <mergeCell ref="BD483:BF483"/>
    <mergeCell ref="BG483:BI483"/>
    <mergeCell ref="BJ483:BL483"/>
    <mergeCell ref="BM483:BO483"/>
    <mergeCell ref="BP483:BR483"/>
    <mergeCell ref="BS483:BU483"/>
    <mergeCell ref="BV483:BX483"/>
    <mergeCell ref="BY483:CA483"/>
    <mergeCell ref="CB483:CD483"/>
    <mergeCell ref="CE483:CG483"/>
    <mergeCell ref="CH483:CJ483"/>
    <mergeCell ref="AU484:AW484"/>
    <mergeCell ref="AX484:AZ484"/>
    <mergeCell ref="BA484:BC484"/>
    <mergeCell ref="BD484:BF484"/>
    <mergeCell ref="BG484:BI484"/>
    <mergeCell ref="BJ484:BL484"/>
    <mergeCell ref="BM484:BO484"/>
    <mergeCell ref="CB484:CD484"/>
    <mergeCell ref="CE484:CG484"/>
    <mergeCell ref="CH484:CJ484"/>
    <mergeCell ref="AM485:AN485"/>
    <mergeCell ref="BP484:BR484"/>
    <mergeCell ref="BS484:BU484"/>
    <mergeCell ref="BV484:BX484"/>
    <mergeCell ref="BY484:CA484"/>
    <mergeCell ref="AM486:AO486"/>
    <mergeCell ref="AO487:AP487"/>
    <mergeCell ref="Q494:R494"/>
    <mergeCell ref="T494:V494"/>
    <mergeCell ref="X494:Z494"/>
    <mergeCell ref="AB494:AE494"/>
    <mergeCell ref="AI494:AM494"/>
    <mergeCell ref="K496:O496"/>
    <mergeCell ref="Q496:T496"/>
    <mergeCell ref="V496:Y496"/>
    <mergeCell ref="AA496:AB496"/>
    <mergeCell ref="Q499:T499"/>
    <mergeCell ref="AE496:AH496"/>
    <mergeCell ref="AI496:AM496"/>
    <mergeCell ref="Q498:U498"/>
    <mergeCell ref="W498:Z498"/>
    <mergeCell ref="AB498:AE498"/>
    <mergeCell ref="AF498:AG498"/>
    <mergeCell ref="W501:Z501"/>
    <mergeCell ref="W499:Z499"/>
    <mergeCell ref="I500:K500"/>
    <mergeCell ref="L500:N500"/>
    <mergeCell ref="O500:P500"/>
    <mergeCell ref="Q500:T500"/>
    <mergeCell ref="W500:Z500"/>
    <mergeCell ref="I499:K499"/>
    <mergeCell ref="L499:N499"/>
    <mergeCell ref="O499:P499"/>
    <mergeCell ref="I501:K501"/>
    <mergeCell ref="L501:N501"/>
    <mergeCell ref="O501:P501"/>
    <mergeCell ref="Q501:T501"/>
    <mergeCell ref="W502:Z502"/>
    <mergeCell ref="AA502:AH502"/>
    <mergeCell ref="AI502:AL502"/>
    <mergeCell ref="P503:T503"/>
    <mergeCell ref="V503:Y503"/>
    <mergeCell ref="AA503:AE503"/>
    <mergeCell ref="J507:N507"/>
    <mergeCell ref="P507:S507"/>
    <mergeCell ref="V507:Z507"/>
    <mergeCell ref="C513:E514"/>
    <mergeCell ref="G513:I513"/>
    <mergeCell ref="K513:N513"/>
    <mergeCell ref="P513:Q514"/>
    <mergeCell ref="R513:T514"/>
    <mergeCell ref="U513:V514"/>
    <mergeCell ref="W513:Z514"/>
    <mergeCell ref="P517:S517"/>
    <mergeCell ref="U517:X517"/>
    <mergeCell ref="AA517:AD517"/>
    <mergeCell ref="AB522:AD522"/>
    <mergeCell ref="AB523:AD523"/>
    <mergeCell ref="D527:E528"/>
    <mergeCell ref="I527:I528"/>
    <mergeCell ref="J527:K527"/>
    <mergeCell ref="M527:O527"/>
    <mergeCell ref="Q527:T527"/>
    <mergeCell ref="U527:U528"/>
    <mergeCell ref="V527:Y528"/>
    <mergeCell ref="Z527:AB528"/>
    <mergeCell ref="AC527:AF528"/>
    <mergeCell ref="AG527:AJ528"/>
    <mergeCell ref="F528:H528"/>
    <mergeCell ref="M528:P528"/>
    <mergeCell ref="D530:J531"/>
    <mergeCell ref="K530:L530"/>
    <mergeCell ref="N530:P530"/>
    <mergeCell ref="R530:U530"/>
    <mergeCell ref="V530:V531"/>
    <mergeCell ref="W530:Z531"/>
    <mergeCell ref="AA530:AB531"/>
    <mergeCell ref="N531:Q531"/>
    <mergeCell ref="W532:Z532"/>
    <mergeCell ref="I534:N534"/>
    <mergeCell ref="E535:I535"/>
    <mergeCell ref="E536:H536"/>
    <mergeCell ref="J536:L536"/>
    <mergeCell ref="N536:Q536"/>
    <mergeCell ref="I532:K532"/>
    <mergeCell ref="L532:N532"/>
    <mergeCell ref="O532:P532"/>
    <mergeCell ref="Q532:T532"/>
    <mergeCell ref="P537:S537"/>
    <mergeCell ref="AM540:AO540"/>
    <mergeCell ref="AM541:AO541"/>
    <mergeCell ref="AO542:AP542"/>
    <mergeCell ref="R552:V552"/>
    <mergeCell ref="BA552:BC552"/>
    <mergeCell ref="BG552:BI552"/>
    <mergeCell ref="AC553:AE553"/>
    <mergeCell ref="AG553:AJ553"/>
    <mergeCell ref="AN553:AS553"/>
    <mergeCell ref="K555:P555"/>
    <mergeCell ref="R555:U555"/>
    <mergeCell ref="W555:Z555"/>
    <mergeCell ref="AA555:AB555"/>
    <mergeCell ref="Q558:T558"/>
    <mergeCell ref="AE555:AH555"/>
    <mergeCell ref="AI555:AM555"/>
    <mergeCell ref="Q557:V557"/>
    <mergeCell ref="X557:AA557"/>
    <mergeCell ref="AC557:AF557"/>
    <mergeCell ref="AG557:AH557"/>
    <mergeCell ref="W560:Z560"/>
    <mergeCell ref="W558:Z558"/>
    <mergeCell ref="I559:K559"/>
    <mergeCell ref="L559:N559"/>
    <mergeCell ref="O559:P559"/>
    <mergeCell ref="Q559:T559"/>
    <mergeCell ref="W559:Z559"/>
    <mergeCell ref="I558:K558"/>
    <mergeCell ref="L558:N558"/>
    <mergeCell ref="O558:P558"/>
    <mergeCell ref="I560:K560"/>
    <mergeCell ref="L560:N560"/>
    <mergeCell ref="O560:P560"/>
    <mergeCell ref="Q560:T560"/>
    <mergeCell ref="W561:Z561"/>
    <mergeCell ref="I563:K563"/>
    <mergeCell ref="M563:O563"/>
    <mergeCell ref="Q563:S563"/>
    <mergeCell ref="U563:W563"/>
    <mergeCell ref="Y563:AA563"/>
    <mergeCell ref="AC563:AE563"/>
    <mergeCell ref="AG563:AI563"/>
    <mergeCell ref="BA563:BB563"/>
    <mergeCell ref="BJ563:BK563"/>
    <mergeCell ref="H564:K564"/>
    <mergeCell ref="T564:W564"/>
    <mergeCell ref="Q565:V565"/>
    <mergeCell ref="X565:AA565"/>
    <mergeCell ref="AC565:AF565"/>
    <mergeCell ref="I566:K566"/>
    <mergeCell ref="M566:O566"/>
    <mergeCell ref="Q566:S566"/>
    <mergeCell ref="U566:W566"/>
    <mergeCell ref="Y566:AA566"/>
    <mergeCell ref="AC566:AE566"/>
    <mergeCell ref="AG566:AI566"/>
    <mergeCell ref="H567:K567"/>
    <mergeCell ref="L569:Q569"/>
    <mergeCell ref="S569:V569"/>
    <mergeCell ref="X569:Z569"/>
    <mergeCell ref="AB569:AE569"/>
    <mergeCell ref="J573:O573"/>
    <mergeCell ref="Q573:T573"/>
    <mergeCell ref="W573:Z573"/>
    <mergeCell ref="C579:E580"/>
    <mergeCell ref="G579:I579"/>
    <mergeCell ref="K579:N579"/>
    <mergeCell ref="P579:Q580"/>
    <mergeCell ref="R579:T580"/>
    <mergeCell ref="U579:V580"/>
    <mergeCell ref="W579:Z580"/>
    <mergeCell ref="X586:Y586"/>
    <mergeCell ref="AB586:AC586"/>
    <mergeCell ref="P583:S583"/>
    <mergeCell ref="U583:X583"/>
    <mergeCell ref="AA583:AD583"/>
    <mergeCell ref="T586:V586"/>
    <mergeCell ref="AA579:AJ580"/>
    <mergeCell ref="AE586:AF586"/>
    <mergeCell ref="AH586:AK586"/>
    <mergeCell ref="P587:R587"/>
    <mergeCell ref="T587:V587"/>
    <mergeCell ref="X587:Y587"/>
    <mergeCell ref="AB587:AC587"/>
    <mergeCell ref="AE587:AF587"/>
    <mergeCell ref="AH587:AK587"/>
    <mergeCell ref="P586:R586"/>
    <mergeCell ref="AE588:AF588"/>
    <mergeCell ref="AH588:AK588"/>
    <mergeCell ref="P589:R589"/>
    <mergeCell ref="T589:U589"/>
    <mergeCell ref="AH589:AK589"/>
    <mergeCell ref="P588:R588"/>
    <mergeCell ref="T588:U588"/>
    <mergeCell ref="W588:Y588"/>
    <mergeCell ref="AB588:AC588"/>
    <mergeCell ref="AH590:AK590"/>
    <mergeCell ref="AH591:AK591"/>
    <mergeCell ref="S592:X592"/>
    <mergeCell ref="Z592:AC592"/>
    <mergeCell ref="AE592:AH592"/>
    <mergeCell ref="L594:Q594"/>
    <mergeCell ref="S594:V594"/>
    <mergeCell ref="AB594:AE594"/>
    <mergeCell ref="AB598:AD598"/>
    <mergeCell ref="AB599:AD599"/>
    <mergeCell ref="O603:P603"/>
    <mergeCell ref="R603:T603"/>
    <mergeCell ref="V603:Y603"/>
    <mergeCell ref="AI604:AK604"/>
    <mergeCell ref="D606:J606"/>
    <mergeCell ref="W606:Z606"/>
    <mergeCell ref="AB606:AE606"/>
    <mergeCell ref="AG606:AJ606"/>
    <mergeCell ref="Q604:T604"/>
    <mergeCell ref="V604:Y604"/>
    <mergeCell ref="AB604:AE604"/>
    <mergeCell ref="AF604:AH604"/>
    <mergeCell ref="I607:K607"/>
    <mergeCell ref="L607:N607"/>
    <mergeCell ref="O607:P607"/>
    <mergeCell ref="Q607:T607"/>
    <mergeCell ref="W607:Z607"/>
    <mergeCell ref="AM613:AP613"/>
    <mergeCell ref="AM614:AP614"/>
    <mergeCell ref="S627:U627"/>
    <mergeCell ref="D628:F628"/>
    <mergeCell ref="D629:F629"/>
    <mergeCell ref="G629:K629"/>
    <mergeCell ref="L629:N629"/>
    <mergeCell ref="L632:N632"/>
    <mergeCell ref="L633:N633"/>
    <mergeCell ref="D630:F630"/>
    <mergeCell ref="G630:K630"/>
    <mergeCell ref="D631:F631"/>
    <mergeCell ref="G631:K631"/>
    <mergeCell ref="L630:N630"/>
    <mergeCell ref="L631:N631"/>
    <mergeCell ref="D632:F632"/>
    <mergeCell ref="G632:K632"/>
    <mergeCell ref="L634:N634"/>
    <mergeCell ref="V636:X636"/>
    <mergeCell ref="D633:F633"/>
    <mergeCell ref="G633:K633"/>
    <mergeCell ref="D634:F634"/>
    <mergeCell ref="G634:K634"/>
    <mergeCell ref="Z636:AB636"/>
    <mergeCell ref="AD636:AH636"/>
    <mergeCell ref="D637:G637"/>
    <mergeCell ref="I637:L637"/>
    <mergeCell ref="N637:Q637"/>
    <mergeCell ref="N636:Q636"/>
    <mergeCell ref="D636:G636"/>
    <mergeCell ref="I636:L636"/>
    <mergeCell ref="D638:G638"/>
    <mergeCell ref="I638:L638"/>
    <mergeCell ref="N638:Q638"/>
    <mergeCell ref="D639:G639"/>
    <mergeCell ref="I639:L639"/>
    <mergeCell ref="N639:Q639"/>
    <mergeCell ref="D640:G640"/>
    <mergeCell ref="I640:L640"/>
    <mergeCell ref="N640:Q640"/>
    <mergeCell ref="D641:G641"/>
    <mergeCell ref="I641:L641"/>
    <mergeCell ref="N641:Q641"/>
    <mergeCell ref="S644:U644"/>
    <mergeCell ref="D645:F645"/>
    <mergeCell ref="D646:F646"/>
    <mergeCell ref="G646:K646"/>
    <mergeCell ref="L646:N646"/>
    <mergeCell ref="L649:N649"/>
    <mergeCell ref="L650:N650"/>
    <mergeCell ref="D647:F647"/>
    <mergeCell ref="G647:K647"/>
    <mergeCell ref="D648:F648"/>
    <mergeCell ref="G648:K648"/>
    <mergeCell ref="L647:N647"/>
    <mergeCell ref="L648:N648"/>
    <mergeCell ref="D649:F649"/>
    <mergeCell ref="G649:K649"/>
    <mergeCell ref="L651:N651"/>
    <mergeCell ref="V653:X653"/>
    <mergeCell ref="D650:F650"/>
    <mergeCell ref="G650:K650"/>
    <mergeCell ref="D651:F651"/>
    <mergeCell ref="G651:K651"/>
    <mergeCell ref="Z653:AB653"/>
    <mergeCell ref="AD653:AH653"/>
    <mergeCell ref="D654:G654"/>
    <mergeCell ref="I654:L654"/>
    <mergeCell ref="N654:Q654"/>
    <mergeCell ref="N653:Q653"/>
    <mergeCell ref="D653:G653"/>
    <mergeCell ref="I653:L653"/>
    <mergeCell ref="D655:G655"/>
    <mergeCell ref="I655:L655"/>
    <mergeCell ref="N655:Q655"/>
    <mergeCell ref="D656:G656"/>
    <mergeCell ref="I656:L656"/>
    <mergeCell ref="N656:Q656"/>
    <mergeCell ref="D657:G657"/>
    <mergeCell ref="I657:L657"/>
    <mergeCell ref="N657:Q657"/>
    <mergeCell ref="D658:G658"/>
    <mergeCell ref="I658:L658"/>
    <mergeCell ref="N658:Q658"/>
    <mergeCell ref="C665:E666"/>
    <mergeCell ref="G665:I665"/>
    <mergeCell ref="K665:M665"/>
    <mergeCell ref="N665:O666"/>
    <mergeCell ref="P669:S669"/>
    <mergeCell ref="U669:X669"/>
    <mergeCell ref="AA669:AD669"/>
    <mergeCell ref="P665:R665"/>
    <mergeCell ref="T665:W665"/>
    <mergeCell ref="Y665:Z666"/>
    <mergeCell ref="AA665:AC666"/>
    <mergeCell ref="D672:F673"/>
    <mergeCell ref="G672:I672"/>
    <mergeCell ref="K672:M672"/>
    <mergeCell ref="N672:AD673"/>
    <mergeCell ref="I673:K673"/>
    <mergeCell ref="G674:H675"/>
    <mergeCell ref="I674:J675"/>
    <mergeCell ref="K674:L675"/>
    <mergeCell ref="M674:P675"/>
    <mergeCell ref="Q674:R675"/>
    <mergeCell ref="S674:V675"/>
    <mergeCell ref="W674:W675"/>
    <mergeCell ref="X674:AA675"/>
    <mergeCell ref="D678:G679"/>
    <mergeCell ref="H678:J678"/>
    <mergeCell ref="K678:L679"/>
    <mergeCell ref="M678:P679"/>
    <mergeCell ref="AE678:AF679"/>
    <mergeCell ref="H679:J679"/>
    <mergeCell ref="S679:X679"/>
    <mergeCell ref="AA680:AD680"/>
    <mergeCell ref="Q678:R679"/>
    <mergeCell ref="S678:X678"/>
    <mergeCell ref="Y678:Z679"/>
    <mergeCell ref="AA678:AD679"/>
    <mergeCell ref="AE684:AJ684"/>
    <mergeCell ref="AK684:AP684"/>
    <mergeCell ref="U681:Z681"/>
    <mergeCell ref="D683:M683"/>
    <mergeCell ref="D684:L684"/>
    <mergeCell ref="M684:R684"/>
    <mergeCell ref="S684:X684"/>
    <mergeCell ref="Y684:AD684"/>
    <mergeCell ref="D685:F685"/>
    <mergeCell ref="G685:J685"/>
    <mergeCell ref="K685:L685"/>
    <mergeCell ref="M685:R685"/>
    <mergeCell ref="S685:X685"/>
    <mergeCell ref="Y685:AD685"/>
    <mergeCell ref="AE685:AJ685"/>
    <mergeCell ref="AK685:AP685"/>
    <mergeCell ref="AE686:AJ686"/>
    <mergeCell ref="AK686:AP686"/>
    <mergeCell ref="K687:P687"/>
    <mergeCell ref="R687:W687"/>
    <mergeCell ref="Y687:AD687"/>
    <mergeCell ref="D686:L686"/>
    <mergeCell ref="M686:R686"/>
    <mergeCell ref="S686:X686"/>
    <mergeCell ref="Y686:AD686"/>
    <mergeCell ref="G688:L688"/>
    <mergeCell ref="N688:Q688"/>
    <mergeCell ref="T688:W688"/>
    <mergeCell ref="Y688:AB688"/>
    <mergeCell ref="AE688:AJ688"/>
    <mergeCell ref="H693:K693"/>
    <mergeCell ref="Q693:T693"/>
    <mergeCell ref="D695:F696"/>
    <mergeCell ref="G695:I695"/>
    <mergeCell ref="J695:L696"/>
    <mergeCell ref="M695:M696"/>
    <mergeCell ref="N695:R695"/>
    <mergeCell ref="T695:V695"/>
    <mergeCell ref="W695:X696"/>
    <mergeCell ref="Y695:AC696"/>
    <mergeCell ref="AD695:AD696"/>
    <mergeCell ref="AE695:AI696"/>
    <mergeCell ref="AJ695:AS696"/>
    <mergeCell ref="G696:I696"/>
    <mergeCell ref="O696:U696"/>
    <mergeCell ref="D697:F698"/>
    <mergeCell ref="G697:I697"/>
    <mergeCell ref="J697:L698"/>
    <mergeCell ref="M697:M698"/>
    <mergeCell ref="N697:R697"/>
    <mergeCell ref="T697:V697"/>
    <mergeCell ref="AJ697:AS698"/>
    <mergeCell ref="G698:I698"/>
    <mergeCell ref="O698:U698"/>
    <mergeCell ref="W697:X698"/>
    <mergeCell ref="Y697:AC698"/>
    <mergeCell ref="AD697:AD698"/>
    <mergeCell ref="AE697:AI698"/>
    <mergeCell ref="O703:S703"/>
    <mergeCell ref="AG703:AI703"/>
    <mergeCell ref="AN703:AP703"/>
    <mergeCell ref="O704:S704"/>
    <mergeCell ref="AG704:AI704"/>
    <mergeCell ref="O705:S705"/>
    <mergeCell ref="AG705:AI705"/>
    <mergeCell ref="O706:S706"/>
    <mergeCell ref="O707:S707"/>
    <mergeCell ref="F708:I708"/>
    <mergeCell ref="O708:R708"/>
    <mergeCell ref="Z708:AC708"/>
    <mergeCell ref="AK708:AN708"/>
    <mergeCell ref="AU708:BE708"/>
    <mergeCell ref="H709:J709"/>
    <mergeCell ref="L709:N709"/>
    <mergeCell ref="R709:T709"/>
    <mergeCell ref="V709:Y709"/>
    <mergeCell ref="AA709:AC709"/>
    <mergeCell ref="AU709:AW709"/>
    <mergeCell ref="AX709:AZ709"/>
    <mergeCell ref="BA709:BC709"/>
    <mergeCell ref="BD709:BF709"/>
    <mergeCell ref="BG709:BI709"/>
    <mergeCell ref="BJ709:BL709"/>
    <mergeCell ref="BM709:BO709"/>
    <mergeCell ref="BP709:BR709"/>
    <mergeCell ref="BS709:BU709"/>
    <mergeCell ref="BV709:BX709"/>
    <mergeCell ref="BY709:CA709"/>
    <mergeCell ref="CB709:CD709"/>
    <mergeCell ref="CE709:CG709"/>
    <mergeCell ref="CH709:CJ709"/>
    <mergeCell ref="AU710:AW710"/>
    <mergeCell ref="AX710:AZ710"/>
    <mergeCell ref="BA710:BC710"/>
    <mergeCell ref="BD710:BF710"/>
    <mergeCell ref="BG710:BI710"/>
    <mergeCell ref="BJ710:BL710"/>
    <mergeCell ref="BM710:BO710"/>
    <mergeCell ref="BP710:BR710"/>
    <mergeCell ref="BS710:BU710"/>
    <mergeCell ref="BV710:BX710"/>
    <mergeCell ref="BY710:CA710"/>
    <mergeCell ref="CB710:CD710"/>
    <mergeCell ref="CE710:CG710"/>
    <mergeCell ref="CH710:CJ710"/>
    <mergeCell ref="I711:N711"/>
    <mergeCell ref="AU711:AW711"/>
    <mergeCell ref="AX711:AZ711"/>
    <mergeCell ref="BA711:BC711"/>
    <mergeCell ref="BD711:BF711"/>
    <mergeCell ref="BG711:BI711"/>
    <mergeCell ref="BJ711:BL711"/>
    <mergeCell ref="BM711:BO711"/>
    <mergeCell ref="BP711:BR711"/>
    <mergeCell ref="BS711:BU711"/>
    <mergeCell ref="BV711:BX711"/>
    <mergeCell ref="BY711:CA711"/>
    <mergeCell ref="CB711:CD711"/>
    <mergeCell ref="CE711:CG711"/>
    <mergeCell ref="CH711:CJ711"/>
    <mergeCell ref="E712:J712"/>
    <mergeCell ref="AU712:AW712"/>
    <mergeCell ref="AX712:AZ712"/>
    <mergeCell ref="BA712:BC712"/>
    <mergeCell ref="BD712:BF712"/>
    <mergeCell ref="BG712:BI712"/>
    <mergeCell ref="BJ712:BL712"/>
    <mergeCell ref="BM712:BO712"/>
    <mergeCell ref="BP712:BR712"/>
    <mergeCell ref="BS712:BU712"/>
    <mergeCell ref="BV712:BX712"/>
    <mergeCell ref="BY712:CA712"/>
    <mergeCell ref="CB712:CD712"/>
    <mergeCell ref="CE712:CG712"/>
    <mergeCell ref="CH712:CJ712"/>
    <mergeCell ref="E713:H713"/>
    <mergeCell ref="J713:L713"/>
    <mergeCell ref="N713:Q713"/>
    <mergeCell ref="AU713:BB713"/>
    <mergeCell ref="P714:S714"/>
    <mergeCell ref="AU714:AW714"/>
    <mergeCell ref="AX714:AZ714"/>
    <mergeCell ref="BA714:BC714"/>
    <mergeCell ref="BD714:BF714"/>
    <mergeCell ref="BG714:BI714"/>
    <mergeCell ref="BJ714:BL714"/>
    <mergeCell ref="BM714:BO714"/>
    <mergeCell ref="BP714:BR714"/>
    <mergeCell ref="BS714:BU714"/>
    <mergeCell ref="BV714:BX714"/>
    <mergeCell ref="BY714:CA714"/>
    <mergeCell ref="CB714:CD714"/>
    <mergeCell ref="CE714:CG714"/>
    <mergeCell ref="CH714:CJ714"/>
    <mergeCell ref="AU715:AW715"/>
    <mergeCell ref="AX715:AZ715"/>
    <mergeCell ref="BA715:BC715"/>
    <mergeCell ref="BD715:BF715"/>
    <mergeCell ref="BG715:BI715"/>
    <mergeCell ref="BJ715:BL715"/>
    <mergeCell ref="BM715:BO715"/>
    <mergeCell ref="BP715:BR715"/>
    <mergeCell ref="BS715:BU715"/>
    <mergeCell ref="BV715:BX715"/>
    <mergeCell ref="BY715:CA715"/>
    <mergeCell ref="CB715:CD715"/>
    <mergeCell ref="CE715:CG715"/>
    <mergeCell ref="CH715:CJ715"/>
    <mergeCell ref="AU716:AW716"/>
    <mergeCell ref="AX716:AZ716"/>
    <mergeCell ref="BA716:BC716"/>
    <mergeCell ref="BD716:BF716"/>
    <mergeCell ref="BG716:BI716"/>
    <mergeCell ref="BJ716:BL716"/>
    <mergeCell ref="BM716:BO716"/>
    <mergeCell ref="BP716:BR716"/>
    <mergeCell ref="BS716:BU716"/>
    <mergeCell ref="BV716:BX716"/>
    <mergeCell ref="BY716:CA716"/>
    <mergeCell ref="CB716:CD716"/>
    <mergeCell ref="CE716:CG716"/>
    <mergeCell ref="CH716:CJ716"/>
    <mergeCell ref="AU717:AW717"/>
    <mergeCell ref="AX717:AZ717"/>
    <mergeCell ref="BA717:BC717"/>
    <mergeCell ref="BD717:BF717"/>
    <mergeCell ref="BG717:BI717"/>
    <mergeCell ref="BJ717:BL717"/>
    <mergeCell ref="BM717:BO717"/>
    <mergeCell ref="CB717:CD717"/>
    <mergeCell ref="CE717:CG717"/>
    <mergeCell ref="CH717:CJ717"/>
    <mergeCell ref="AM718:AN718"/>
    <mergeCell ref="BP717:BR717"/>
    <mergeCell ref="BS717:BU717"/>
    <mergeCell ref="BV717:BX717"/>
    <mergeCell ref="BY717:CA717"/>
    <mergeCell ref="AM719:AO719"/>
    <mergeCell ref="AO720:AP720"/>
    <mergeCell ref="Q727:R727"/>
    <mergeCell ref="T727:V727"/>
    <mergeCell ref="X727:Z727"/>
    <mergeCell ref="AB727:AE727"/>
    <mergeCell ref="AI727:AM727"/>
    <mergeCell ref="K729:O729"/>
    <mergeCell ref="Q729:T729"/>
    <mergeCell ref="V729:Y729"/>
    <mergeCell ref="AA729:AB729"/>
    <mergeCell ref="Q732:T732"/>
    <mergeCell ref="AE729:AH729"/>
    <mergeCell ref="AI729:AM729"/>
    <mergeCell ref="Q731:U731"/>
    <mergeCell ref="W731:Z731"/>
    <mergeCell ref="AB731:AE731"/>
    <mergeCell ref="AF731:AG731"/>
    <mergeCell ref="W734:Z734"/>
    <mergeCell ref="W732:Z732"/>
    <mergeCell ref="I733:K733"/>
    <mergeCell ref="L733:N733"/>
    <mergeCell ref="O733:P733"/>
    <mergeCell ref="Q733:T733"/>
    <mergeCell ref="W733:Z733"/>
    <mergeCell ref="I732:K732"/>
    <mergeCell ref="L732:N732"/>
    <mergeCell ref="O732:P732"/>
    <mergeCell ref="I734:K734"/>
    <mergeCell ref="L734:N734"/>
    <mergeCell ref="O734:P734"/>
    <mergeCell ref="Q734:T734"/>
    <mergeCell ref="W735:Z735"/>
    <mergeCell ref="AA735:AH735"/>
    <mergeCell ref="AI735:AL735"/>
    <mergeCell ref="P736:T736"/>
    <mergeCell ref="V736:Y736"/>
    <mergeCell ref="AA736:AE736"/>
    <mergeCell ref="J740:N740"/>
    <mergeCell ref="P740:S740"/>
    <mergeCell ref="V740:Z740"/>
    <mergeCell ref="C746:E747"/>
    <mergeCell ref="G746:I746"/>
    <mergeCell ref="K746:N746"/>
    <mergeCell ref="P746:Q747"/>
    <mergeCell ref="R746:T747"/>
    <mergeCell ref="U746:V747"/>
    <mergeCell ref="W746:Z747"/>
    <mergeCell ref="P750:S750"/>
    <mergeCell ref="U750:X750"/>
    <mergeCell ref="AA750:AD750"/>
    <mergeCell ref="AB755:AD755"/>
    <mergeCell ref="AB756:AD756"/>
    <mergeCell ref="D760:E761"/>
    <mergeCell ref="I760:I761"/>
    <mergeCell ref="J760:K760"/>
    <mergeCell ref="M760:O760"/>
    <mergeCell ref="Q760:T760"/>
    <mergeCell ref="U760:U761"/>
    <mergeCell ref="V760:Y761"/>
    <mergeCell ref="Z760:AB761"/>
    <mergeCell ref="AC760:AF761"/>
    <mergeCell ref="AG760:AJ761"/>
    <mergeCell ref="F761:H761"/>
    <mergeCell ref="M761:P761"/>
    <mergeCell ref="D763:J764"/>
    <mergeCell ref="K763:L763"/>
    <mergeCell ref="N763:P763"/>
    <mergeCell ref="R763:U763"/>
    <mergeCell ref="V763:V764"/>
    <mergeCell ref="W763:Z764"/>
    <mergeCell ref="AA763:AB764"/>
    <mergeCell ref="N764:Q764"/>
    <mergeCell ref="W765:Z765"/>
    <mergeCell ref="I767:N767"/>
    <mergeCell ref="E768:I768"/>
    <mergeCell ref="E769:H769"/>
    <mergeCell ref="J769:L769"/>
    <mergeCell ref="N769:Q769"/>
    <mergeCell ref="I765:K765"/>
    <mergeCell ref="L765:N765"/>
    <mergeCell ref="O765:P765"/>
    <mergeCell ref="Q765:T765"/>
    <mergeCell ref="P770:S770"/>
    <mergeCell ref="AM773:AO773"/>
    <mergeCell ref="AM774:AO774"/>
    <mergeCell ref="AO775:AP775"/>
    <mergeCell ref="R785:V785"/>
    <mergeCell ref="BA785:BC785"/>
    <mergeCell ref="BG785:BI785"/>
    <mergeCell ref="AC786:AE786"/>
    <mergeCell ref="AG786:AJ786"/>
    <mergeCell ref="AN786:AS786"/>
    <mergeCell ref="K788:P788"/>
    <mergeCell ref="R788:U788"/>
    <mergeCell ref="W788:Z788"/>
    <mergeCell ref="AA788:AB788"/>
    <mergeCell ref="Q791:T791"/>
    <mergeCell ref="AE788:AH788"/>
    <mergeCell ref="AI788:AM788"/>
    <mergeCell ref="Q790:V790"/>
    <mergeCell ref="X790:AA790"/>
    <mergeCell ref="AC790:AF790"/>
    <mergeCell ref="AG790:AH790"/>
    <mergeCell ref="W793:Z793"/>
    <mergeCell ref="W791:Z791"/>
    <mergeCell ref="I792:K792"/>
    <mergeCell ref="L792:N792"/>
    <mergeCell ref="O792:P792"/>
    <mergeCell ref="Q792:T792"/>
    <mergeCell ref="W792:Z792"/>
    <mergeCell ref="I791:K791"/>
    <mergeCell ref="L791:N791"/>
    <mergeCell ref="O791:P791"/>
    <mergeCell ref="I793:K793"/>
    <mergeCell ref="L793:N793"/>
    <mergeCell ref="O793:P793"/>
    <mergeCell ref="Q793:T793"/>
    <mergeCell ref="W794:Z794"/>
    <mergeCell ref="I796:K796"/>
    <mergeCell ref="M796:O796"/>
    <mergeCell ref="Q796:S796"/>
    <mergeCell ref="U796:W796"/>
    <mergeCell ref="Y796:AA796"/>
    <mergeCell ref="AC796:AE796"/>
    <mergeCell ref="AG796:AI796"/>
    <mergeCell ref="BA796:BB796"/>
    <mergeCell ref="BJ796:BK796"/>
    <mergeCell ref="H797:K797"/>
    <mergeCell ref="T797:W797"/>
    <mergeCell ref="Q798:V798"/>
    <mergeCell ref="X798:AA798"/>
    <mergeCell ref="AC798:AF798"/>
    <mergeCell ref="I799:K799"/>
    <mergeCell ref="M799:O799"/>
    <mergeCell ref="Q799:S799"/>
    <mergeCell ref="U799:W799"/>
    <mergeCell ref="Y799:AA799"/>
    <mergeCell ref="AC799:AE799"/>
    <mergeCell ref="AG799:AI799"/>
    <mergeCell ref="H800:K800"/>
    <mergeCell ref="L802:Q802"/>
    <mergeCell ref="S802:V802"/>
    <mergeCell ref="X802:Z802"/>
    <mergeCell ref="AB802:AE802"/>
    <mergeCell ref="J806:O806"/>
    <mergeCell ref="Q806:T806"/>
    <mergeCell ref="W806:Z806"/>
    <mergeCell ref="C812:E813"/>
    <mergeCell ref="G812:I812"/>
    <mergeCell ref="K812:N812"/>
    <mergeCell ref="P812:Q813"/>
    <mergeCell ref="R812:T813"/>
    <mergeCell ref="U812:V813"/>
    <mergeCell ref="W812:Z813"/>
    <mergeCell ref="X819:Y819"/>
    <mergeCell ref="AB819:AC819"/>
    <mergeCell ref="P816:S816"/>
    <mergeCell ref="U816:X816"/>
    <mergeCell ref="AA816:AD816"/>
    <mergeCell ref="T819:V819"/>
    <mergeCell ref="AA812:AJ813"/>
    <mergeCell ref="AE819:AF819"/>
    <mergeCell ref="AH819:AK819"/>
    <mergeCell ref="P820:R820"/>
    <mergeCell ref="T820:V820"/>
    <mergeCell ref="X820:Y820"/>
    <mergeCell ref="AB820:AC820"/>
    <mergeCell ref="AE820:AF820"/>
    <mergeCell ref="AH820:AK820"/>
    <mergeCell ref="P819:R819"/>
    <mergeCell ref="AE821:AF821"/>
    <mergeCell ref="AH821:AK821"/>
    <mergeCell ref="P822:R822"/>
    <mergeCell ref="T822:U822"/>
    <mergeCell ref="AH822:AK822"/>
    <mergeCell ref="P821:R821"/>
    <mergeCell ref="T821:U821"/>
    <mergeCell ref="W821:Y821"/>
    <mergeCell ref="AB821:AC821"/>
    <mergeCell ref="AH823:AK823"/>
    <mergeCell ref="AH824:AK824"/>
    <mergeCell ref="S825:X825"/>
    <mergeCell ref="Z825:AC825"/>
    <mergeCell ref="AE825:AH825"/>
    <mergeCell ref="L827:Q827"/>
    <mergeCell ref="S827:V827"/>
    <mergeCell ref="AB827:AE827"/>
    <mergeCell ref="AB831:AD831"/>
    <mergeCell ref="AB832:AD832"/>
    <mergeCell ref="O836:P836"/>
    <mergeCell ref="R836:T836"/>
    <mergeCell ref="V836:Y836"/>
    <mergeCell ref="AI837:AK837"/>
    <mergeCell ref="D839:J839"/>
    <mergeCell ref="W839:Z839"/>
    <mergeCell ref="AB839:AE839"/>
    <mergeCell ref="AG839:AJ839"/>
    <mergeCell ref="Q837:T837"/>
    <mergeCell ref="V837:Y837"/>
    <mergeCell ref="AB837:AE837"/>
    <mergeCell ref="AF837:AH837"/>
    <mergeCell ref="I840:K840"/>
    <mergeCell ref="L840:N840"/>
    <mergeCell ref="O840:P840"/>
    <mergeCell ref="Q840:T840"/>
    <mergeCell ref="W840:Z840"/>
    <mergeCell ref="AM846:AP846"/>
    <mergeCell ref="AM847:AP847"/>
    <mergeCell ref="S860:U860"/>
    <mergeCell ref="D861:F861"/>
    <mergeCell ref="D862:F862"/>
    <mergeCell ref="G862:K862"/>
    <mergeCell ref="L862:N862"/>
    <mergeCell ref="L865:N865"/>
    <mergeCell ref="L866:N866"/>
    <mergeCell ref="D863:F863"/>
    <mergeCell ref="G863:K863"/>
    <mergeCell ref="D864:F864"/>
    <mergeCell ref="G864:K864"/>
    <mergeCell ref="L863:N863"/>
    <mergeCell ref="L864:N864"/>
    <mergeCell ref="D865:F865"/>
    <mergeCell ref="G865:K865"/>
    <mergeCell ref="L867:N867"/>
    <mergeCell ref="V869:X869"/>
    <mergeCell ref="D866:F866"/>
    <mergeCell ref="G866:K866"/>
    <mergeCell ref="D867:F867"/>
    <mergeCell ref="G867:K867"/>
    <mergeCell ref="Z869:AB869"/>
    <mergeCell ref="AD869:AH869"/>
    <mergeCell ref="D870:G870"/>
    <mergeCell ref="I870:L870"/>
    <mergeCell ref="N870:Q870"/>
    <mergeCell ref="N869:Q869"/>
    <mergeCell ref="D869:G869"/>
    <mergeCell ref="I869:L869"/>
    <mergeCell ref="D871:G871"/>
    <mergeCell ref="I871:L871"/>
    <mergeCell ref="N871:Q871"/>
    <mergeCell ref="D872:G872"/>
    <mergeCell ref="I872:L872"/>
    <mergeCell ref="N872:Q872"/>
    <mergeCell ref="D873:G873"/>
    <mergeCell ref="I873:L873"/>
    <mergeCell ref="N873:Q873"/>
    <mergeCell ref="D874:G874"/>
    <mergeCell ref="I874:L874"/>
    <mergeCell ref="N874:Q874"/>
    <mergeCell ref="S877:U877"/>
    <mergeCell ref="D878:F878"/>
    <mergeCell ref="D879:F879"/>
    <mergeCell ref="G879:K879"/>
    <mergeCell ref="L879:N879"/>
    <mergeCell ref="L882:N882"/>
    <mergeCell ref="L883:N883"/>
    <mergeCell ref="D880:F880"/>
    <mergeCell ref="G880:K880"/>
    <mergeCell ref="D881:F881"/>
    <mergeCell ref="G881:K881"/>
    <mergeCell ref="L880:N880"/>
    <mergeCell ref="L881:N881"/>
    <mergeCell ref="D882:F882"/>
    <mergeCell ref="G882:K882"/>
    <mergeCell ref="L884:N884"/>
    <mergeCell ref="V886:X886"/>
    <mergeCell ref="D883:F883"/>
    <mergeCell ref="G883:K883"/>
    <mergeCell ref="D884:F884"/>
    <mergeCell ref="G884:K884"/>
    <mergeCell ref="Z886:AB886"/>
    <mergeCell ref="AD886:AH886"/>
    <mergeCell ref="D887:G887"/>
    <mergeCell ref="I887:L887"/>
    <mergeCell ref="N887:Q887"/>
    <mergeCell ref="N886:Q886"/>
    <mergeCell ref="D886:G886"/>
    <mergeCell ref="I886:L886"/>
    <mergeCell ref="D888:G888"/>
    <mergeCell ref="I888:L888"/>
    <mergeCell ref="N888:Q888"/>
    <mergeCell ref="D889:G889"/>
    <mergeCell ref="I889:L889"/>
    <mergeCell ref="N889:Q889"/>
    <mergeCell ref="D890:G890"/>
    <mergeCell ref="I890:L890"/>
    <mergeCell ref="N890:Q890"/>
    <mergeCell ref="D891:G891"/>
    <mergeCell ref="I891:L891"/>
    <mergeCell ref="N891:Q891"/>
    <mergeCell ref="C898:E899"/>
    <mergeCell ref="G898:I898"/>
    <mergeCell ref="K898:M898"/>
    <mergeCell ref="N898:O899"/>
    <mergeCell ref="P902:S902"/>
    <mergeCell ref="U902:X902"/>
    <mergeCell ref="AA902:AD902"/>
    <mergeCell ref="P898:R898"/>
    <mergeCell ref="T898:W898"/>
    <mergeCell ref="Y898:Z899"/>
    <mergeCell ref="AA898:AC899"/>
    <mergeCell ref="D905:F906"/>
    <mergeCell ref="G905:I905"/>
    <mergeCell ref="K905:M905"/>
    <mergeCell ref="N905:AD906"/>
    <mergeCell ref="I906:K906"/>
    <mergeCell ref="G907:H908"/>
    <mergeCell ref="I907:J908"/>
    <mergeCell ref="K907:L908"/>
    <mergeCell ref="M907:P908"/>
    <mergeCell ref="Q907:R908"/>
    <mergeCell ref="S907:V908"/>
    <mergeCell ref="W907:W908"/>
    <mergeCell ref="X907:AA908"/>
    <mergeCell ref="D911:G912"/>
    <mergeCell ref="H911:J911"/>
    <mergeCell ref="K911:L912"/>
    <mergeCell ref="M911:P912"/>
    <mergeCell ref="AE911:AF912"/>
    <mergeCell ref="H912:J912"/>
    <mergeCell ref="S912:X912"/>
    <mergeCell ref="AA913:AD913"/>
    <mergeCell ref="Q911:R912"/>
    <mergeCell ref="S911:X911"/>
    <mergeCell ref="Y911:Z912"/>
    <mergeCell ref="AA911:AD912"/>
    <mergeCell ref="AE917:AJ917"/>
    <mergeCell ref="AK917:AP917"/>
    <mergeCell ref="U914:Z914"/>
    <mergeCell ref="D916:M916"/>
    <mergeCell ref="D917:L917"/>
    <mergeCell ref="M917:R917"/>
    <mergeCell ref="S917:X917"/>
    <mergeCell ref="Y917:AD917"/>
    <mergeCell ref="D918:F918"/>
    <mergeCell ref="G918:J918"/>
    <mergeCell ref="K918:L918"/>
    <mergeCell ref="M918:R918"/>
    <mergeCell ref="S918:X918"/>
    <mergeCell ref="Y918:AD918"/>
    <mergeCell ref="AE918:AJ918"/>
    <mergeCell ref="AK918:AP918"/>
    <mergeCell ref="AE919:AJ919"/>
    <mergeCell ref="AK919:AP919"/>
    <mergeCell ref="K920:P920"/>
    <mergeCell ref="R920:W920"/>
    <mergeCell ref="Y920:AD920"/>
    <mergeCell ref="D919:L919"/>
    <mergeCell ref="M919:R919"/>
    <mergeCell ref="S919:X919"/>
    <mergeCell ref="Y919:AD919"/>
    <mergeCell ref="G921:L921"/>
    <mergeCell ref="N921:Q921"/>
    <mergeCell ref="T921:W921"/>
    <mergeCell ref="Y921:AB921"/>
    <mergeCell ref="AJ928:AS929"/>
    <mergeCell ref="AE921:AJ921"/>
    <mergeCell ref="H926:K926"/>
    <mergeCell ref="Q926:T926"/>
    <mergeCell ref="G928:I928"/>
    <mergeCell ref="J928:L929"/>
    <mergeCell ref="M928:M929"/>
    <mergeCell ref="N928:R928"/>
    <mergeCell ref="T928:V928"/>
    <mergeCell ref="W928:X929"/>
    <mergeCell ref="G929:I929"/>
    <mergeCell ref="O929:U929"/>
    <mergeCell ref="D930:F931"/>
    <mergeCell ref="G930:I930"/>
    <mergeCell ref="J930:L931"/>
    <mergeCell ref="M930:M931"/>
    <mergeCell ref="N930:R930"/>
    <mergeCell ref="T930:V930"/>
    <mergeCell ref="D928:F929"/>
    <mergeCell ref="AJ930:AS931"/>
    <mergeCell ref="G931:I931"/>
    <mergeCell ref="O931:U931"/>
    <mergeCell ref="W930:X931"/>
    <mergeCell ref="Y930:AC931"/>
    <mergeCell ref="AD930:AD931"/>
    <mergeCell ref="AE930:AI931"/>
    <mergeCell ref="O936:S936"/>
    <mergeCell ref="AG936:AI936"/>
    <mergeCell ref="AN936:AP936"/>
    <mergeCell ref="O937:S937"/>
    <mergeCell ref="AG937:AI937"/>
    <mergeCell ref="O938:S938"/>
    <mergeCell ref="AG938:AI938"/>
    <mergeCell ref="O939:S939"/>
    <mergeCell ref="O940:S940"/>
    <mergeCell ref="F941:I941"/>
    <mergeCell ref="O941:R941"/>
    <mergeCell ref="Z941:AC941"/>
    <mergeCell ref="AK941:AN941"/>
    <mergeCell ref="AU941:BE941"/>
    <mergeCell ref="H942:J942"/>
    <mergeCell ref="L942:N942"/>
    <mergeCell ref="R942:T942"/>
    <mergeCell ref="V942:Y942"/>
    <mergeCell ref="AA942:AC942"/>
    <mergeCell ref="AU942:AW942"/>
    <mergeCell ref="AX942:AZ942"/>
    <mergeCell ref="BA942:BC942"/>
    <mergeCell ref="BD942:BF942"/>
    <mergeCell ref="BG942:BI942"/>
    <mergeCell ref="BJ942:BL942"/>
    <mergeCell ref="BM942:BO942"/>
    <mergeCell ref="BP942:BR942"/>
    <mergeCell ref="BS942:BU942"/>
    <mergeCell ref="BV942:BX942"/>
    <mergeCell ref="BY942:CA942"/>
    <mergeCell ref="CB942:CD942"/>
    <mergeCell ref="CE942:CG942"/>
    <mergeCell ref="CH942:CJ942"/>
    <mergeCell ref="AU943:AW943"/>
    <mergeCell ref="AX943:AZ943"/>
    <mergeCell ref="BA943:BC943"/>
    <mergeCell ref="BD943:BF943"/>
    <mergeCell ref="BG943:BI943"/>
    <mergeCell ref="BJ943:BL943"/>
    <mergeCell ref="BM943:BO943"/>
    <mergeCell ref="BP943:BR943"/>
    <mergeCell ref="BS943:BU943"/>
    <mergeCell ref="BV943:BX943"/>
    <mergeCell ref="BY943:CA943"/>
    <mergeCell ref="CB943:CD943"/>
    <mergeCell ref="CE943:CG943"/>
    <mergeCell ref="CH943:CJ943"/>
    <mergeCell ref="I944:N944"/>
    <mergeCell ref="AU944:AW944"/>
    <mergeCell ref="AX944:AZ944"/>
    <mergeCell ref="BA944:BC944"/>
    <mergeCell ref="BD944:BF944"/>
    <mergeCell ref="BG944:BI944"/>
    <mergeCell ref="BJ944:BL944"/>
    <mergeCell ref="BM944:BO944"/>
    <mergeCell ref="BP944:BR944"/>
    <mergeCell ref="BS944:BU944"/>
    <mergeCell ref="BV944:BX944"/>
    <mergeCell ref="BY944:CA944"/>
    <mergeCell ref="CB944:CD944"/>
    <mergeCell ref="CE944:CG944"/>
    <mergeCell ref="CH944:CJ944"/>
    <mergeCell ref="E945:J945"/>
    <mergeCell ref="AU945:AW945"/>
    <mergeCell ref="AX945:AZ945"/>
    <mergeCell ref="BA945:BC945"/>
    <mergeCell ref="BD945:BF945"/>
    <mergeCell ref="BG945:BI945"/>
    <mergeCell ref="BJ945:BL945"/>
    <mergeCell ref="BM945:BO945"/>
    <mergeCell ref="BP945:BR945"/>
    <mergeCell ref="BS945:BU945"/>
    <mergeCell ref="BV945:BX945"/>
    <mergeCell ref="BY945:CA945"/>
    <mergeCell ref="CB945:CD945"/>
    <mergeCell ref="CE945:CG945"/>
    <mergeCell ref="CH945:CJ945"/>
    <mergeCell ref="E946:H946"/>
    <mergeCell ref="J946:L946"/>
    <mergeCell ref="N946:Q946"/>
    <mergeCell ref="AU946:BB946"/>
    <mergeCell ref="P947:S947"/>
    <mergeCell ref="AU947:AW947"/>
    <mergeCell ref="AX947:AZ947"/>
    <mergeCell ref="BA947:BC947"/>
    <mergeCell ref="BD947:BF947"/>
    <mergeCell ref="BG947:BI947"/>
    <mergeCell ref="BJ947:BL947"/>
    <mergeCell ref="BM947:BO947"/>
    <mergeCell ref="BP947:BR947"/>
    <mergeCell ref="BS947:BU947"/>
    <mergeCell ref="BV947:BX947"/>
    <mergeCell ref="BY947:CA947"/>
    <mergeCell ref="CB947:CD947"/>
    <mergeCell ref="CE947:CG947"/>
    <mergeCell ref="CH947:CJ947"/>
    <mergeCell ref="AU948:AW948"/>
    <mergeCell ref="AX948:AZ948"/>
    <mergeCell ref="BA948:BC948"/>
    <mergeCell ref="BD948:BF948"/>
    <mergeCell ref="BG948:BI948"/>
    <mergeCell ref="BJ948:BL948"/>
    <mergeCell ref="BM948:BO948"/>
    <mergeCell ref="BP948:BR948"/>
    <mergeCell ref="BS948:BU948"/>
    <mergeCell ref="BV948:BX948"/>
    <mergeCell ref="BY948:CA948"/>
    <mergeCell ref="CB948:CD948"/>
    <mergeCell ref="CE948:CG948"/>
    <mergeCell ref="CH948:CJ948"/>
    <mergeCell ref="AU949:AW949"/>
    <mergeCell ref="AX949:AZ949"/>
    <mergeCell ref="BA949:BC949"/>
    <mergeCell ref="BD949:BF949"/>
    <mergeCell ref="BG949:BI949"/>
    <mergeCell ref="BJ949:BL949"/>
    <mergeCell ref="BM949:BO949"/>
    <mergeCell ref="BP949:BR949"/>
    <mergeCell ref="BS949:BU949"/>
    <mergeCell ref="BV949:BX949"/>
    <mergeCell ref="BY949:CA949"/>
    <mergeCell ref="CB949:CD949"/>
    <mergeCell ref="CE949:CG949"/>
    <mergeCell ref="CH949:CJ949"/>
    <mergeCell ref="AU950:AW950"/>
    <mergeCell ref="AX950:AZ950"/>
    <mergeCell ref="BA950:BC950"/>
    <mergeCell ref="BD950:BF950"/>
    <mergeCell ref="BG950:BI950"/>
    <mergeCell ref="BJ950:BL950"/>
    <mergeCell ref="BM950:BO950"/>
    <mergeCell ref="CB950:CD950"/>
    <mergeCell ref="CE950:CG950"/>
    <mergeCell ref="CH950:CJ950"/>
    <mergeCell ref="AM951:AN951"/>
    <mergeCell ref="BP950:BR950"/>
    <mergeCell ref="BS950:BU950"/>
    <mergeCell ref="BV950:BX950"/>
    <mergeCell ref="BY950:CA950"/>
    <mergeCell ref="AM952:AO952"/>
    <mergeCell ref="AO953:AP953"/>
    <mergeCell ref="Q960:R960"/>
    <mergeCell ref="T960:V960"/>
    <mergeCell ref="X960:Z960"/>
    <mergeCell ref="AB960:AE960"/>
    <mergeCell ref="AI960:AM960"/>
    <mergeCell ref="K962:O962"/>
    <mergeCell ref="Q962:T962"/>
    <mergeCell ref="V962:Y962"/>
    <mergeCell ref="AA962:AB962"/>
    <mergeCell ref="Q965:T965"/>
    <mergeCell ref="AE962:AH962"/>
    <mergeCell ref="AI962:AM962"/>
    <mergeCell ref="Q964:U964"/>
    <mergeCell ref="W964:Z964"/>
    <mergeCell ref="AB964:AE964"/>
    <mergeCell ref="AF964:AG964"/>
    <mergeCell ref="W967:Z967"/>
    <mergeCell ref="W965:Z965"/>
    <mergeCell ref="I966:K966"/>
    <mergeCell ref="L966:N966"/>
    <mergeCell ref="O966:P966"/>
    <mergeCell ref="Q966:T966"/>
    <mergeCell ref="W966:Z966"/>
    <mergeCell ref="I965:K965"/>
    <mergeCell ref="L965:N965"/>
    <mergeCell ref="O965:P965"/>
    <mergeCell ref="I967:K967"/>
    <mergeCell ref="L967:N967"/>
    <mergeCell ref="O967:P967"/>
    <mergeCell ref="Q967:T967"/>
    <mergeCell ref="W968:Z968"/>
    <mergeCell ref="AA968:AH968"/>
    <mergeCell ref="AI968:AL968"/>
    <mergeCell ref="P969:T969"/>
    <mergeCell ref="V969:Y969"/>
    <mergeCell ref="AA969:AE969"/>
    <mergeCell ref="J973:N973"/>
    <mergeCell ref="P973:S973"/>
    <mergeCell ref="V973:Z973"/>
    <mergeCell ref="C979:E980"/>
    <mergeCell ref="G979:I979"/>
    <mergeCell ref="K979:N979"/>
    <mergeCell ref="P979:Q980"/>
    <mergeCell ref="R979:T980"/>
    <mergeCell ref="U979:V980"/>
    <mergeCell ref="W979:Z980"/>
    <mergeCell ref="P983:S983"/>
    <mergeCell ref="U983:X983"/>
    <mergeCell ref="AA983:AD983"/>
    <mergeCell ref="AB988:AD988"/>
    <mergeCell ref="Q993:T993"/>
    <mergeCell ref="U993:U994"/>
    <mergeCell ref="V993:Y994"/>
    <mergeCell ref="Z993:AB994"/>
    <mergeCell ref="D993:E994"/>
    <mergeCell ref="I993:I994"/>
    <mergeCell ref="J993:K993"/>
    <mergeCell ref="M993:O993"/>
    <mergeCell ref="AG993:AJ994"/>
    <mergeCell ref="F994:H994"/>
    <mergeCell ref="M994:P994"/>
    <mergeCell ref="D996:J997"/>
    <mergeCell ref="K996:L996"/>
    <mergeCell ref="N996:P996"/>
    <mergeCell ref="R996:U996"/>
    <mergeCell ref="V996:V997"/>
    <mergeCell ref="W996:Z997"/>
    <mergeCell ref="AA996:AB997"/>
    <mergeCell ref="N997:Q997"/>
    <mergeCell ref="W998:Z998"/>
    <mergeCell ref="I1000:N1000"/>
    <mergeCell ref="E1001:I1001"/>
    <mergeCell ref="E1002:H1002"/>
    <mergeCell ref="J1002:L1002"/>
    <mergeCell ref="N1002:Q1002"/>
    <mergeCell ref="I998:K998"/>
    <mergeCell ref="L998:N998"/>
    <mergeCell ref="O998:P998"/>
    <mergeCell ref="Q998:T998"/>
    <mergeCell ref="P1003:S1003"/>
    <mergeCell ref="AM1006:AO1006"/>
    <mergeCell ref="AM1007:AO1007"/>
    <mergeCell ref="AO1008:AP1008"/>
    <mergeCell ref="R1018:V1018"/>
    <mergeCell ref="BA1018:BC1018"/>
    <mergeCell ref="BG1018:BI1018"/>
    <mergeCell ref="AC1019:AE1019"/>
    <mergeCell ref="AG1019:AJ1019"/>
    <mergeCell ref="AN1019:AS1019"/>
    <mergeCell ref="K1021:P1021"/>
    <mergeCell ref="R1021:U1021"/>
    <mergeCell ref="W1021:Z1021"/>
    <mergeCell ref="AA1021:AB1021"/>
    <mergeCell ref="Q1024:T1024"/>
    <mergeCell ref="AE1021:AH1021"/>
    <mergeCell ref="AI1021:AM1021"/>
    <mergeCell ref="Q1023:V1023"/>
    <mergeCell ref="X1023:AA1023"/>
    <mergeCell ref="AC1023:AF1023"/>
    <mergeCell ref="AG1023:AH1023"/>
    <mergeCell ref="W1026:Z1026"/>
    <mergeCell ref="W1024:Z1024"/>
    <mergeCell ref="I1025:K1025"/>
    <mergeCell ref="L1025:N1025"/>
    <mergeCell ref="O1025:P1025"/>
    <mergeCell ref="Q1025:T1025"/>
    <mergeCell ref="W1025:Z1025"/>
    <mergeCell ref="I1024:K1024"/>
    <mergeCell ref="L1024:N1024"/>
    <mergeCell ref="O1024:P1024"/>
    <mergeCell ref="I1026:K1026"/>
    <mergeCell ref="L1026:N1026"/>
    <mergeCell ref="O1026:P1026"/>
    <mergeCell ref="Q1026:T1026"/>
    <mergeCell ref="W1027:Z1027"/>
    <mergeCell ref="I1029:K1029"/>
    <mergeCell ref="M1029:O1029"/>
    <mergeCell ref="Q1029:S1029"/>
    <mergeCell ref="U1029:W1029"/>
    <mergeCell ref="Y1029:AA1029"/>
    <mergeCell ref="AC1029:AE1029"/>
    <mergeCell ref="AG1029:AI1029"/>
    <mergeCell ref="BA1029:BB1029"/>
    <mergeCell ref="BJ1029:BK1029"/>
    <mergeCell ref="H1030:K1030"/>
    <mergeCell ref="T1030:W1030"/>
    <mergeCell ref="Q1031:V1031"/>
    <mergeCell ref="X1031:AA1031"/>
    <mergeCell ref="AC1031:AF1031"/>
    <mergeCell ref="I1032:K1032"/>
    <mergeCell ref="M1032:O1032"/>
    <mergeCell ref="Q1032:S1032"/>
    <mergeCell ref="U1032:W1032"/>
    <mergeCell ref="Y1032:AA1032"/>
    <mergeCell ref="AC1032:AE1032"/>
    <mergeCell ref="AG1032:AI1032"/>
    <mergeCell ref="H1033:K1033"/>
    <mergeCell ref="L1035:Q1035"/>
    <mergeCell ref="S1035:V1035"/>
    <mergeCell ref="X1035:Z1035"/>
    <mergeCell ref="AB1035:AE1035"/>
    <mergeCell ref="J1039:O1039"/>
    <mergeCell ref="Q1039:T1039"/>
    <mergeCell ref="W1039:Z1039"/>
    <mergeCell ref="C1045:E1046"/>
    <mergeCell ref="G1045:I1045"/>
    <mergeCell ref="K1045:N1045"/>
    <mergeCell ref="P1045:Q1046"/>
    <mergeCell ref="R1045:T1046"/>
    <mergeCell ref="U1045:V1046"/>
    <mergeCell ref="W1045:Z1046"/>
    <mergeCell ref="X1052:Y1052"/>
    <mergeCell ref="AB1052:AC1052"/>
    <mergeCell ref="P1049:S1049"/>
    <mergeCell ref="U1049:X1049"/>
    <mergeCell ref="AA1049:AD1049"/>
    <mergeCell ref="T1052:V1052"/>
    <mergeCell ref="AA1045:AJ1046"/>
    <mergeCell ref="AE1052:AF1052"/>
    <mergeCell ref="AH1052:AK1052"/>
    <mergeCell ref="P1053:R1053"/>
    <mergeCell ref="T1053:V1053"/>
    <mergeCell ref="X1053:Y1053"/>
    <mergeCell ref="AB1053:AC1053"/>
    <mergeCell ref="AE1053:AF1053"/>
    <mergeCell ref="AH1053:AK1053"/>
    <mergeCell ref="P1052:R1052"/>
    <mergeCell ref="AE1054:AF1054"/>
    <mergeCell ref="AH1054:AK1054"/>
    <mergeCell ref="P1055:R1055"/>
    <mergeCell ref="T1055:U1055"/>
    <mergeCell ref="AH1055:AK1055"/>
    <mergeCell ref="P1054:R1054"/>
    <mergeCell ref="T1054:U1054"/>
    <mergeCell ref="W1054:Y1054"/>
    <mergeCell ref="AB1054:AC1054"/>
    <mergeCell ref="AH1056:AK1056"/>
    <mergeCell ref="AH1057:AK1057"/>
    <mergeCell ref="S1058:X1058"/>
    <mergeCell ref="Z1058:AC1058"/>
    <mergeCell ref="AE1058:AH1058"/>
    <mergeCell ref="L1060:Q1060"/>
    <mergeCell ref="S1060:V1060"/>
    <mergeCell ref="AB1060:AE1060"/>
    <mergeCell ref="AB1064:AD1064"/>
    <mergeCell ref="AB1065:AD1065"/>
    <mergeCell ref="O1069:P1069"/>
    <mergeCell ref="R1069:T1069"/>
    <mergeCell ref="V1069:Y1069"/>
    <mergeCell ref="AI1070:AK1070"/>
    <mergeCell ref="D1072:J1072"/>
    <mergeCell ref="W1072:Z1072"/>
    <mergeCell ref="AB1072:AE1072"/>
    <mergeCell ref="AG1072:AJ1072"/>
    <mergeCell ref="Q1070:T1070"/>
    <mergeCell ref="V1070:Y1070"/>
    <mergeCell ref="AB1070:AE1070"/>
    <mergeCell ref="AF1070:AH1070"/>
    <mergeCell ref="I1073:K1073"/>
    <mergeCell ref="L1073:N1073"/>
    <mergeCell ref="O1073:P1073"/>
    <mergeCell ref="Q1073:T1073"/>
    <mergeCell ref="W1073:Z1073"/>
    <mergeCell ref="AM1079:AP1079"/>
    <mergeCell ref="AM1080:AP1080"/>
    <mergeCell ref="S1093:U1093"/>
    <mergeCell ref="D1094:F1094"/>
    <mergeCell ref="D1095:F1095"/>
    <mergeCell ref="G1095:K1095"/>
    <mergeCell ref="L1095:N1095"/>
    <mergeCell ref="L1098:N1098"/>
    <mergeCell ref="L1099:N1099"/>
    <mergeCell ref="D1096:F1096"/>
    <mergeCell ref="G1096:K1096"/>
    <mergeCell ref="D1097:F1097"/>
    <mergeCell ref="G1097:K1097"/>
    <mergeCell ref="L1096:N1096"/>
    <mergeCell ref="L1097:N1097"/>
    <mergeCell ref="D1098:F1098"/>
    <mergeCell ref="G1098:K1098"/>
    <mergeCell ref="L1100:N1100"/>
    <mergeCell ref="V1102:X1102"/>
    <mergeCell ref="D1099:F1099"/>
    <mergeCell ref="G1099:K1099"/>
    <mergeCell ref="D1100:F1100"/>
    <mergeCell ref="G1100:K1100"/>
    <mergeCell ref="Z1102:AB1102"/>
    <mergeCell ref="AD1102:AH1102"/>
    <mergeCell ref="D1103:G1103"/>
    <mergeCell ref="I1103:L1103"/>
    <mergeCell ref="N1103:Q1103"/>
    <mergeCell ref="N1102:Q1102"/>
    <mergeCell ref="D1102:G1102"/>
    <mergeCell ref="I1102:L1102"/>
    <mergeCell ref="D1104:G1104"/>
    <mergeCell ref="I1104:L1104"/>
    <mergeCell ref="N1104:Q1104"/>
    <mergeCell ref="D1105:G1105"/>
    <mergeCell ref="I1105:L1105"/>
    <mergeCell ref="N1105:Q1105"/>
    <mergeCell ref="D1106:G1106"/>
    <mergeCell ref="I1106:L1106"/>
    <mergeCell ref="N1106:Q1106"/>
    <mergeCell ref="D1107:G1107"/>
    <mergeCell ref="I1107:L1107"/>
    <mergeCell ref="N1107:Q1107"/>
    <mergeCell ref="S1110:U1110"/>
    <mergeCell ref="D1111:F1111"/>
    <mergeCell ref="D1112:F1112"/>
    <mergeCell ref="G1112:K1112"/>
    <mergeCell ref="L1112:N1112"/>
    <mergeCell ref="L1115:N1115"/>
    <mergeCell ref="L1116:N1116"/>
    <mergeCell ref="D1113:F1113"/>
    <mergeCell ref="G1113:K1113"/>
    <mergeCell ref="D1114:F1114"/>
    <mergeCell ref="G1114:K1114"/>
    <mergeCell ref="L1113:N1113"/>
    <mergeCell ref="L1114:N1114"/>
    <mergeCell ref="D1115:F1115"/>
    <mergeCell ref="G1115:K1115"/>
    <mergeCell ref="L1117:N1117"/>
    <mergeCell ref="V1119:X1119"/>
    <mergeCell ref="D1116:F1116"/>
    <mergeCell ref="G1116:K1116"/>
    <mergeCell ref="D1117:F1117"/>
    <mergeCell ref="G1117:K1117"/>
    <mergeCell ref="Z1119:AB1119"/>
    <mergeCell ref="AD1119:AH1119"/>
    <mergeCell ref="D1120:G1120"/>
    <mergeCell ref="I1120:L1120"/>
    <mergeCell ref="N1120:Q1120"/>
    <mergeCell ref="N1119:Q1119"/>
    <mergeCell ref="D1119:G1119"/>
    <mergeCell ref="I1119:L1119"/>
    <mergeCell ref="D1121:G1121"/>
    <mergeCell ref="I1121:L1121"/>
    <mergeCell ref="N1121:Q1121"/>
    <mergeCell ref="D1122:G1122"/>
    <mergeCell ref="I1122:L1122"/>
    <mergeCell ref="N1122:Q1122"/>
    <mergeCell ref="D1123:G1123"/>
    <mergeCell ref="I1123:L1123"/>
    <mergeCell ref="N1123:Q1123"/>
    <mergeCell ref="D1124:G1124"/>
    <mergeCell ref="I1124:L1124"/>
    <mergeCell ref="N1124:Q1124"/>
    <mergeCell ref="C1131:E1132"/>
    <mergeCell ref="G1131:I1131"/>
    <mergeCell ref="K1131:M1131"/>
    <mergeCell ref="N1131:O1132"/>
    <mergeCell ref="AD1131:AE1132"/>
    <mergeCell ref="AF1131:AI1132"/>
    <mergeCell ref="AJ1131:AP1132"/>
    <mergeCell ref="P1135:S1135"/>
    <mergeCell ref="U1135:X1135"/>
    <mergeCell ref="AA1135:AD1135"/>
    <mergeCell ref="P1131:R1131"/>
    <mergeCell ref="T1131:W1131"/>
    <mergeCell ref="Y1131:Z1132"/>
    <mergeCell ref="AA1131:AC1132"/>
    <mergeCell ref="D1138:F1139"/>
    <mergeCell ref="G1138:I1138"/>
    <mergeCell ref="K1138:M1138"/>
    <mergeCell ref="N1138:AD1139"/>
    <mergeCell ref="I1139:K1139"/>
    <mergeCell ref="G1140:H1141"/>
    <mergeCell ref="I1140:J1141"/>
    <mergeCell ref="K1140:L1141"/>
    <mergeCell ref="M1140:P1141"/>
    <mergeCell ref="Q1140:R1141"/>
    <mergeCell ref="S1140:V1141"/>
    <mergeCell ref="W1140:W1141"/>
    <mergeCell ref="X1140:AA1141"/>
    <mergeCell ref="AB1140:AD1141"/>
    <mergeCell ref="AE1140:AJ1141"/>
    <mergeCell ref="AK1140:AL1141"/>
    <mergeCell ref="D1144:G1145"/>
    <mergeCell ref="H1144:J1144"/>
    <mergeCell ref="K1144:L1145"/>
    <mergeCell ref="M1144:P1145"/>
    <mergeCell ref="Q1144:R1145"/>
    <mergeCell ref="S1144:X1144"/>
    <mergeCell ref="Y1144:Z1145"/>
    <mergeCell ref="AA1144:AD1145"/>
    <mergeCell ref="AE1144:AF1145"/>
    <mergeCell ref="H1145:J1145"/>
    <mergeCell ref="S1145:X1145"/>
    <mergeCell ref="D1149:M1149"/>
    <mergeCell ref="D1150:L1150"/>
    <mergeCell ref="M1150:R1150"/>
    <mergeCell ref="S1150:X1150"/>
    <mergeCell ref="AE1150:AJ1150"/>
    <mergeCell ref="AK1150:AP1150"/>
    <mergeCell ref="AA1146:AD1146"/>
    <mergeCell ref="U1147:Z1147"/>
    <mergeCell ref="Y1150:AD1150"/>
    <mergeCell ref="D1151:F1151"/>
    <mergeCell ref="G1151:J1151"/>
    <mergeCell ref="K1151:L1151"/>
    <mergeCell ref="M1151:R1151"/>
    <mergeCell ref="S1151:X1151"/>
    <mergeCell ref="Y1151:AD1151"/>
    <mergeCell ref="AE1151:AJ1151"/>
    <mergeCell ref="AK1151:AP1151"/>
    <mergeCell ref="AE1152:AJ1152"/>
    <mergeCell ref="AK1152:AP1152"/>
    <mergeCell ref="K1153:P1153"/>
    <mergeCell ref="R1153:W1153"/>
    <mergeCell ref="Y1153:AD1153"/>
    <mergeCell ref="D1152:L1152"/>
    <mergeCell ref="M1152:R1152"/>
    <mergeCell ref="S1152:X1152"/>
    <mergeCell ref="Y1152:AD1152"/>
    <mergeCell ref="G1154:L1154"/>
    <mergeCell ref="N1154:Q1154"/>
    <mergeCell ref="T1154:W1154"/>
    <mergeCell ref="Y1154:AB1154"/>
    <mergeCell ref="AE1154:AJ1154"/>
    <mergeCell ref="H1159:K1159"/>
    <mergeCell ref="Q1159:T1159"/>
    <mergeCell ref="D1161:F1162"/>
    <mergeCell ref="G1161:I1161"/>
    <mergeCell ref="J1161:L1162"/>
    <mergeCell ref="M1161:M1162"/>
    <mergeCell ref="N1161:R1161"/>
    <mergeCell ref="T1161:V1161"/>
    <mergeCell ref="W1161:X1162"/>
    <mergeCell ref="Y1161:AC1162"/>
    <mergeCell ref="AD1161:AD1162"/>
    <mergeCell ref="AE1161:AI1162"/>
    <mergeCell ref="AJ1161:AS1162"/>
    <mergeCell ref="G1162:I1162"/>
    <mergeCell ref="O1162:U1162"/>
    <mergeCell ref="D1163:F1164"/>
    <mergeCell ref="G1163:I1163"/>
    <mergeCell ref="J1163:L1164"/>
    <mergeCell ref="M1163:M1164"/>
    <mergeCell ref="N1163:R1163"/>
    <mergeCell ref="T1163:V1163"/>
    <mergeCell ref="AJ1163:AS1164"/>
    <mergeCell ref="G1164:I1164"/>
    <mergeCell ref="O1164:U1164"/>
    <mergeCell ref="W1163:X1164"/>
    <mergeCell ref="Y1163:AC1164"/>
    <mergeCell ref="AD1163:AD1164"/>
    <mergeCell ref="AE1163:AI1164"/>
    <mergeCell ref="L163:N163"/>
    <mergeCell ref="L164:N164"/>
    <mergeCell ref="L165:N165"/>
    <mergeCell ref="L166:N166"/>
    <mergeCell ref="L167:N167"/>
    <mergeCell ref="L168:N168"/>
    <mergeCell ref="L396:N396"/>
    <mergeCell ref="L397:N397"/>
    <mergeCell ref="L180:N180"/>
    <mergeCell ref="L181:N181"/>
    <mergeCell ref="L182:N182"/>
    <mergeCell ref="L183:N183"/>
    <mergeCell ref="L184:N184"/>
    <mergeCell ref="L185:N185"/>
    <mergeCell ref="AB1017:AD1017"/>
    <mergeCell ref="AB85:AD85"/>
    <mergeCell ref="AB318:AD318"/>
    <mergeCell ref="AB551:AD551"/>
    <mergeCell ref="AB784:AD784"/>
    <mergeCell ref="AB989:AD989"/>
    <mergeCell ref="AC993:AF994"/>
    <mergeCell ref="Y928:AC929"/>
    <mergeCell ref="AD928:AD929"/>
    <mergeCell ref="AE928:AI929"/>
  </mergeCells>
  <printOptions/>
  <pageMargins left="0.5905511811023623" right="0"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CJ697"/>
  <sheetViews>
    <sheetView zoomScaleSheetLayoutView="100" workbookViewId="0" topLeftCell="A1">
      <selection activeCell="A1" sqref="A1:IV16384"/>
    </sheetView>
  </sheetViews>
  <sheetFormatPr defaultColWidth="8.88671875" defaultRowHeight="24.75" customHeight="1"/>
  <cols>
    <col min="1" max="16384" width="1.77734375" style="5" customWidth="1"/>
  </cols>
  <sheetData>
    <row r="1" spans="1:2" ht="24.75" customHeight="1">
      <c r="A1" s="4"/>
      <c r="B1" s="145" t="s">
        <v>272</v>
      </c>
    </row>
    <row r="2" spans="3:43" ht="24.75" customHeight="1">
      <c r="C2" s="5" t="s">
        <v>207</v>
      </c>
      <c r="O2" s="146">
        <v>9915.31546302</v>
      </c>
      <c r="P2" s="146"/>
      <c r="Q2" s="146"/>
      <c r="R2" s="146"/>
      <c r="S2" s="146"/>
      <c r="T2" s="5" t="s">
        <v>111</v>
      </c>
      <c r="Z2" s="5" t="s">
        <v>12</v>
      </c>
      <c r="AE2" s="5" t="s">
        <v>105</v>
      </c>
      <c r="AG2" s="146">
        <v>2.4</v>
      </c>
      <c r="AH2" s="146"/>
      <c r="AI2" s="146"/>
      <c r="AJ2" s="5" t="s">
        <v>106</v>
      </c>
      <c r="AL2" s="5" t="s">
        <v>107</v>
      </c>
      <c r="AN2" s="146">
        <v>2.1</v>
      </c>
      <c r="AO2" s="146"/>
      <c r="AP2" s="146"/>
      <c r="AQ2" s="5" t="s">
        <v>106</v>
      </c>
    </row>
    <row r="3" spans="3:36" ht="24.75" customHeight="1">
      <c r="C3" s="5" t="s">
        <v>208</v>
      </c>
      <c r="O3" s="146">
        <v>662.16738704</v>
      </c>
      <c r="P3" s="146"/>
      <c r="Q3" s="146"/>
      <c r="R3" s="146"/>
      <c r="S3" s="146"/>
      <c r="T3" s="5" t="s">
        <v>112</v>
      </c>
      <c r="Z3" s="5" t="s">
        <v>13</v>
      </c>
      <c r="AE3" s="5" t="s">
        <v>108</v>
      </c>
      <c r="AG3" s="146">
        <v>2.2</v>
      </c>
      <c r="AH3" s="146"/>
      <c r="AI3" s="146"/>
      <c r="AJ3" s="5" t="s">
        <v>106</v>
      </c>
    </row>
    <row r="4" spans="3:36" ht="24.75" customHeight="1">
      <c r="C4" s="5" t="s">
        <v>174</v>
      </c>
      <c r="J4" s="53"/>
      <c r="K4" s="53"/>
      <c r="L4" s="53"/>
      <c r="M4" s="53"/>
      <c r="N4" s="53"/>
      <c r="O4" s="146">
        <v>236.19187506</v>
      </c>
      <c r="P4" s="146"/>
      <c r="Q4" s="146"/>
      <c r="R4" s="146"/>
      <c r="S4" s="146"/>
      <c r="T4" s="5" t="s">
        <v>111</v>
      </c>
      <c r="Z4" s="5" t="s">
        <v>14</v>
      </c>
      <c r="AE4" s="147" t="s">
        <v>109</v>
      </c>
      <c r="AF4" s="147"/>
      <c r="AG4" s="148">
        <f>DEGREES(ATAN((AG2-AN2)/2/AG3))</f>
        <v>3.900493742381888</v>
      </c>
      <c r="AH4" s="148"/>
      <c r="AI4" s="148"/>
      <c r="AJ4" s="149" t="s">
        <v>110</v>
      </c>
    </row>
    <row r="5" spans="3:28" ht="24.75" customHeight="1">
      <c r="C5" s="5" t="s">
        <v>175</v>
      </c>
      <c r="O5" s="150">
        <v>-80.444482921</v>
      </c>
      <c r="P5" s="150"/>
      <c r="Q5" s="150"/>
      <c r="R5" s="150"/>
      <c r="S5" s="150"/>
      <c r="T5" s="5" t="s">
        <v>218</v>
      </c>
      <c r="AB5" s="151" t="s">
        <v>11</v>
      </c>
    </row>
    <row r="6" spans="3:47" ht="24.75" customHeight="1">
      <c r="C6" s="5" t="s">
        <v>176</v>
      </c>
      <c r="O6" s="150">
        <v>92.945606718</v>
      </c>
      <c r="P6" s="150"/>
      <c r="Q6" s="150"/>
      <c r="R6" s="150"/>
      <c r="S6" s="150"/>
      <c r="T6" s="5" t="s">
        <v>218</v>
      </c>
      <c r="AU6" s="152"/>
    </row>
    <row r="7" spans="3:85" ht="24.75" customHeight="1">
      <c r="C7" s="5" t="s">
        <v>177</v>
      </c>
      <c r="F7" s="153" t="s">
        <v>266</v>
      </c>
      <c r="G7" s="153"/>
      <c r="H7" s="153"/>
      <c r="I7" s="153"/>
      <c r="J7" s="145" t="s">
        <v>257</v>
      </c>
      <c r="L7" s="5" t="s">
        <v>148</v>
      </c>
      <c r="O7" s="102">
        <f>HLOOKUP(F7,AX8:CJ11,AU8,FALSE)</f>
        <v>210</v>
      </c>
      <c r="P7" s="102"/>
      <c r="Q7" s="102"/>
      <c r="R7" s="102"/>
      <c r="S7" s="5" t="s">
        <v>218</v>
      </c>
      <c r="W7" s="5" t="s">
        <v>149</v>
      </c>
      <c r="Z7" s="150">
        <v>188.533333333</v>
      </c>
      <c r="AA7" s="150"/>
      <c r="AB7" s="150"/>
      <c r="AC7" s="150"/>
      <c r="AD7" s="5" t="s">
        <v>218</v>
      </c>
      <c r="AH7" s="5" t="s">
        <v>150</v>
      </c>
      <c r="AK7" s="102">
        <f>HLOOKUP(F7,AX13:CJ16,AU13,FALSE)</f>
        <v>120</v>
      </c>
      <c r="AL7" s="102"/>
      <c r="AM7" s="102"/>
      <c r="AN7" s="102"/>
      <c r="AO7" s="5" t="s">
        <v>218</v>
      </c>
      <c r="AU7" s="143" t="s">
        <v>220</v>
      </c>
      <c r="AV7" s="143"/>
      <c r="AW7" s="143"/>
      <c r="AX7" s="143"/>
      <c r="AY7" s="143"/>
      <c r="AZ7" s="143"/>
      <c r="BA7" s="143"/>
      <c r="BB7" s="143"/>
      <c r="BC7" s="143"/>
      <c r="BD7" s="143"/>
      <c r="BE7" s="143"/>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row>
    <row r="8" spans="3:88" ht="24.75" customHeight="1">
      <c r="C8" s="5" t="s">
        <v>189</v>
      </c>
      <c r="H8" s="154">
        <v>22</v>
      </c>
      <c r="I8" s="154"/>
      <c r="J8" s="154"/>
      <c r="K8" s="155" t="s">
        <v>267</v>
      </c>
      <c r="L8" s="156">
        <v>10</v>
      </c>
      <c r="M8" s="156"/>
      <c r="N8" s="156"/>
      <c r="O8" s="5" t="s">
        <v>40</v>
      </c>
      <c r="R8" s="124">
        <f>IF(H8=20,IF(L8=10,39000,31000),IF(H8=22,IF(L8=10,48000,39000),IF(H8=24,IF(L8=10,56000,45000),"確認希望")))</f>
        <v>48000</v>
      </c>
      <c r="S8" s="124"/>
      <c r="T8" s="124"/>
      <c r="U8" s="5" t="s">
        <v>41</v>
      </c>
      <c r="V8" s="144">
        <v>2</v>
      </c>
      <c r="W8" s="144"/>
      <c r="X8" s="144"/>
      <c r="Y8" s="144"/>
      <c r="Z8" s="8" t="s">
        <v>34</v>
      </c>
      <c r="AA8" s="92">
        <f>+R8*V8</f>
        <v>96000</v>
      </c>
      <c r="AB8" s="92"/>
      <c r="AC8" s="92"/>
      <c r="AD8" s="5" t="s">
        <v>113</v>
      </c>
      <c r="AU8" s="135">
        <f>IF(AM17&lt;=40,2,IF(AM17&lt;=75,3,4))</f>
        <v>2</v>
      </c>
      <c r="AV8" s="136"/>
      <c r="AW8" s="137"/>
      <c r="AX8" s="138" t="s">
        <v>91</v>
      </c>
      <c r="AY8" s="139"/>
      <c r="AZ8" s="140"/>
      <c r="BA8" s="138" t="s">
        <v>92</v>
      </c>
      <c r="BB8" s="139"/>
      <c r="BC8" s="140"/>
      <c r="BD8" s="138" t="s">
        <v>93</v>
      </c>
      <c r="BE8" s="139"/>
      <c r="BF8" s="140"/>
      <c r="BG8" s="138" t="s">
        <v>132</v>
      </c>
      <c r="BH8" s="139"/>
      <c r="BI8" s="140"/>
      <c r="BJ8" s="138" t="s">
        <v>90</v>
      </c>
      <c r="BK8" s="139"/>
      <c r="BL8" s="140"/>
      <c r="BM8" s="157" t="s">
        <v>133</v>
      </c>
      <c r="BN8" s="158"/>
      <c r="BO8" s="159"/>
      <c r="BP8" s="138" t="s">
        <v>94</v>
      </c>
      <c r="BQ8" s="139"/>
      <c r="BR8" s="140"/>
      <c r="BS8" s="138" t="s">
        <v>95</v>
      </c>
      <c r="BT8" s="139"/>
      <c r="BU8" s="140"/>
      <c r="BV8" s="138" t="s">
        <v>96</v>
      </c>
      <c r="BW8" s="139"/>
      <c r="BX8" s="140"/>
      <c r="BY8" s="157" t="s">
        <v>134</v>
      </c>
      <c r="BZ8" s="158"/>
      <c r="CA8" s="159"/>
      <c r="CB8" s="138" t="s">
        <v>97</v>
      </c>
      <c r="CC8" s="139"/>
      <c r="CD8" s="140"/>
      <c r="CE8" s="138" t="s">
        <v>98</v>
      </c>
      <c r="CF8" s="139"/>
      <c r="CG8" s="140"/>
      <c r="CH8" s="157" t="s">
        <v>135</v>
      </c>
      <c r="CI8" s="158"/>
      <c r="CJ8" s="159"/>
    </row>
    <row r="9" spans="10:88" ht="24.75" customHeight="1">
      <c r="J9" s="160"/>
      <c r="AU9" s="161">
        <v>40</v>
      </c>
      <c r="AV9" s="161"/>
      <c r="AW9" s="161"/>
      <c r="AX9" s="135">
        <v>140</v>
      </c>
      <c r="AY9" s="136"/>
      <c r="AZ9" s="137"/>
      <c r="BA9" s="135">
        <f>AX9</f>
        <v>140</v>
      </c>
      <c r="BB9" s="136"/>
      <c r="BC9" s="137"/>
      <c r="BD9" s="135">
        <f>AX9</f>
        <v>140</v>
      </c>
      <c r="BE9" s="136"/>
      <c r="BF9" s="137"/>
      <c r="BG9" s="135">
        <v>140</v>
      </c>
      <c r="BH9" s="136"/>
      <c r="BI9" s="137"/>
      <c r="BJ9" s="135">
        <v>185</v>
      </c>
      <c r="BK9" s="136"/>
      <c r="BL9" s="137"/>
      <c r="BM9" s="135">
        <f>BJ9</f>
        <v>185</v>
      </c>
      <c r="BN9" s="136"/>
      <c r="BO9" s="137"/>
      <c r="BP9" s="135">
        <v>210</v>
      </c>
      <c r="BQ9" s="136"/>
      <c r="BR9" s="137"/>
      <c r="BS9" s="135">
        <f>BP9</f>
        <v>210</v>
      </c>
      <c r="BT9" s="136"/>
      <c r="BU9" s="137"/>
      <c r="BV9" s="135">
        <f>BP9</f>
        <v>210</v>
      </c>
      <c r="BW9" s="136"/>
      <c r="BX9" s="137"/>
      <c r="BY9" s="135">
        <v>210</v>
      </c>
      <c r="BZ9" s="136"/>
      <c r="CA9" s="137"/>
      <c r="CB9" s="135">
        <v>255</v>
      </c>
      <c r="CC9" s="136"/>
      <c r="CD9" s="137"/>
      <c r="CE9" s="135">
        <f>CB9</f>
        <v>255</v>
      </c>
      <c r="CF9" s="136"/>
      <c r="CG9" s="137"/>
      <c r="CH9" s="135">
        <f>CE9</f>
        <v>255</v>
      </c>
      <c r="CI9" s="136"/>
      <c r="CJ9" s="137"/>
    </row>
    <row r="10" spans="2:88" ht="24.75" customHeight="1">
      <c r="B10" s="5" t="s">
        <v>0</v>
      </c>
      <c r="I10" s="92" t="str">
        <f>IF(O2&gt;0,"(上フランジ)","(下フランジ)")</f>
        <v>(上フランジ)</v>
      </c>
      <c r="J10" s="92"/>
      <c r="K10" s="92"/>
      <c r="L10" s="92"/>
      <c r="M10" s="92"/>
      <c r="N10" s="92"/>
      <c r="O10" s="5" t="s">
        <v>249</v>
      </c>
      <c r="AU10" s="162" t="s">
        <v>99</v>
      </c>
      <c r="AV10" s="162"/>
      <c r="AW10" s="162"/>
      <c r="AX10" s="135">
        <v>125</v>
      </c>
      <c r="AY10" s="136"/>
      <c r="AZ10" s="137"/>
      <c r="BA10" s="135">
        <f>AX10</f>
        <v>125</v>
      </c>
      <c r="BB10" s="136"/>
      <c r="BC10" s="137"/>
      <c r="BD10" s="135">
        <f>AX10</f>
        <v>125</v>
      </c>
      <c r="BE10" s="136"/>
      <c r="BF10" s="137"/>
      <c r="BG10" s="135">
        <v>140</v>
      </c>
      <c r="BH10" s="136"/>
      <c r="BI10" s="137"/>
      <c r="BJ10" s="135">
        <v>175</v>
      </c>
      <c r="BK10" s="136"/>
      <c r="BL10" s="137"/>
      <c r="BM10" s="135">
        <f>BM9</f>
        <v>185</v>
      </c>
      <c r="BN10" s="136"/>
      <c r="BO10" s="137"/>
      <c r="BP10" s="135">
        <v>200</v>
      </c>
      <c r="BQ10" s="136"/>
      <c r="BR10" s="137"/>
      <c r="BS10" s="135">
        <f>BP10</f>
        <v>200</v>
      </c>
      <c r="BT10" s="136"/>
      <c r="BU10" s="137"/>
      <c r="BV10" s="135">
        <f>BP10</f>
        <v>200</v>
      </c>
      <c r="BW10" s="136"/>
      <c r="BX10" s="137"/>
      <c r="BY10" s="135">
        <v>210</v>
      </c>
      <c r="BZ10" s="136"/>
      <c r="CA10" s="137"/>
      <c r="CB10" s="135">
        <v>245</v>
      </c>
      <c r="CC10" s="136"/>
      <c r="CD10" s="137"/>
      <c r="CE10" s="135">
        <f>CB10</f>
        <v>245</v>
      </c>
      <c r="CF10" s="136"/>
      <c r="CG10" s="137"/>
      <c r="CH10" s="135">
        <f>CH9</f>
        <v>255</v>
      </c>
      <c r="CI10" s="136"/>
      <c r="CJ10" s="137"/>
    </row>
    <row r="11" spans="3:88" ht="24.75" customHeight="1">
      <c r="C11" s="5" t="s">
        <v>115</v>
      </c>
      <c r="E11" s="142">
        <f>IF(O2&gt;0,ABS(O5),ABS(O6))</f>
        <v>80.444482921</v>
      </c>
      <c r="F11" s="142"/>
      <c r="G11" s="142"/>
      <c r="H11" s="142"/>
      <c r="I11" s="142"/>
      <c r="J11" s="142"/>
      <c r="K11" s="5" t="str">
        <f>+T5</f>
        <v>N/㎟</v>
      </c>
      <c r="AU11" s="162" t="s">
        <v>100</v>
      </c>
      <c r="AV11" s="162"/>
      <c r="AW11" s="162"/>
      <c r="AX11" s="135">
        <v>125</v>
      </c>
      <c r="AY11" s="136"/>
      <c r="AZ11" s="137"/>
      <c r="BA11" s="135">
        <f>AX11</f>
        <v>125</v>
      </c>
      <c r="BB11" s="136"/>
      <c r="BC11" s="137"/>
      <c r="BD11" s="135">
        <f>AX11</f>
        <v>125</v>
      </c>
      <c r="BE11" s="136"/>
      <c r="BF11" s="137"/>
      <c r="BG11" s="135">
        <v>140</v>
      </c>
      <c r="BH11" s="136"/>
      <c r="BI11" s="137"/>
      <c r="BJ11" s="135">
        <v>175</v>
      </c>
      <c r="BK11" s="136"/>
      <c r="BL11" s="137"/>
      <c r="BM11" s="135">
        <f>BM9</f>
        <v>185</v>
      </c>
      <c r="BN11" s="136"/>
      <c r="BO11" s="137"/>
      <c r="BP11" s="135">
        <v>195</v>
      </c>
      <c r="BQ11" s="136"/>
      <c r="BR11" s="137"/>
      <c r="BS11" s="135">
        <f>BP11</f>
        <v>195</v>
      </c>
      <c r="BT11" s="136"/>
      <c r="BU11" s="137"/>
      <c r="BV11" s="135">
        <f>BP11</f>
        <v>195</v>
      </c>
      <c r="BW11" s="136"/>
      <c r="BX11" s="137"/>
      <c r="BY11" s="135">
        <v>210</v>
      </c>
      <c r="BZ11" s="136"/>
      <c r="CA11" s="137"/>
      <c r="CB11" s="135">
        <v>240</v>
      </c>
      <c r="CC11" s="136"/>
      <c r="CD11" s="137"/>
      <c r="CE11" s="135">
        <f>CB11</f>
        <v>240</v>
      </c>
      <c r="CF11" s="136"/>
      <c r="CG11" s="137"/>
      <c r="CH11" s="135">
        <f>CH9</f>
        <v>255</v>
      </c>
      <c r="CI11" s="136"/>
      <c r="CJ11" s="137"/>
    </row>
    <row r="12" spans="3:54" ht="24.75" customHeight="1">
      <c r="C12" s="5" t="s">
        <v>116</v>
      </c>
      <c r="E12" s="130">
        <v>0.75</v>
      </c>
      <c r="F12" s="130"/>
      <c r="G12" s="130"/>
      <c r="H12" s="130"/>
      <c r="I12" s="5" t="s">
        <v>41</v>
      </c>
      <c r="J12" s="102">
        <f>Z7</f>
        <v>188.533333333</v>
      </c>
      <c r="K12" s="102"/>
      <c r="L12" s="102"/>
      <c r="M12" s="5" t="s">
        <v>34</v>
      </c>
      <c r="N12" s="89">
        <f>+E12*J12</f>
        <v>141.39999999975</v>
      </c>
      <c r="O12" s="89"/>
      <c r="P12" s="89"/>
      <c r="Q12" s="89"/>
      <c r="R12" s="5" t="str">
        <f>+K11</f>
        <v>N/㎟</v>
      </c>
      <c r="T12" s="10"/>
      <c r="U12" s="11"/>
      <c r="V12" s="12" t="s">
        <v>178</v>
      </c>
      <c r="AU12" s="141" t="s">
        <v>221</v>
      </c>
      <c r="AV12" s="141"/>
      <c r="AW12" s="141"/>
      <c r="AX12" s="141"/>
      <c r="AY12" s="141"/>
      <c r="AZ12" s="141"/>
      <c r="BA12" s="141"/>
      <c r="BB12" s="141"/>
    </row>
    <row r="13" spans="3:88" ht="24.75" customHeight="1">
      <c r="C13" s="5" t="s">
        <v>247</v>
      </c>
      <c r="L13" s="5" t="str">
        <f>IF(O2&gt;0,"σu","σl")</f>
        <v>σu</v>
      </c>
      <c r="N13" s="5" t="s">
        <v>179</v>
      </c>
      <c r="P13" s="89">
        <f>+MAX(E11,N12)</f>
        <v>141.39999999975</v>
      </c>
      <c r="Q13" s="89"/>
      <c r="R13" s="89"/>
      <c r="S13" s="89"/>
      <c r="T13" s="5" t="s">
        <v>222</v>
      </c>
      <c r="AU13" s="135">
        <f>AU8</f>
        <v>2</v>
      </c>
      <c r="AV13" s="136"/>
      <c r="AW13" s="137"/>
      <c r="AX13" s="138" t="s">
        <v>91</v>
      </c>
      <c r="AY13" s="139"/>
      <c r="AZ13" s="140"/>
      <c r="BA13" s="138" t="s">
        <v>92</v>
      </c>
      <c r="BB13" s="139"/>
      <c r="BC13" s="140"/>
      <c r="BD13" s="138" t="s">
        <v>93</v>
      </c>
      <c r="BE13" s="139"/>
      <c r="BF13" s="140"/>
      <c r="BG13" s="138" t="s">
        <v>132</v>
      </c>
      <c r="BH13" s="139"/>
      <c r="BI13" s="140"/>
      <c r="BJ13" s="138" t="s">
        <v>90</v>
      </c>
      <c r="BK13" s="139"/>
      <c r="BL13" s="140"/>
      <c r="BM13" s="157" t="s">
        <v>133</v>
      </c>
      <c r="BN13" s="158"/>
      <c r="BO13" s="159"/>
      <c r="BP13" s="138" t="s">
        <v>94</v>
      </c>
      <c r="BQ13" s="139"/>
      <c r="BR13" s="140"/>
      <c r="BS13" s="138" t="s">
        <v>95</v>
      </c>
      <c r="BT13" s="139"/>
      <c r="BU13" s="140"/>
      <c r="BV13" s="138" t="s">
        <v>96</v>
      </c>
      <c r="BW13" s="139"/>
      <c r="BX13" s="140"/>
      <c r="BY13" s="157" t="s">
        <v>134</v>
      </c>
      <c r="BZ13" s="158"/>
      <c r="CA13" s="159"/>
      <c r="CB13" s="138" t="s">
        <v>97</v>
      </c>
      <c r="CC13" s="139"/>
      <c r="CD13" s="140"/>
      <c r="CE13" s="138" t="s">
        <v>98</v>
      </c>
      <c r="CF13" s="139"/>
      <c r="CG13" s="140"/>
      <c r="CH13" s="157" t="s">
        <v>135</v>
      </c>
      <c r="CI13" s="158"/>
      <c r="CJ13" s="159"/>
    </row>
    <row r="14" spans="7:88" ht="24.75" customHeight="1">
      <c r="G14" s="9"/>
      <c r="AU14" s="161">
        <v>40</v>
      </c>
      <c r="AV14" s="161"/>
      <c r="AW14" s="161"/>
      <c r="AX14" s="135">
        <v>80</v>
      </c>
      <c r="AY14" s="136"/>
      <c r="AZ14" s="137"/>
      <c r="BA14" s="135">
        <f>AX14</f>
        <v>80</v>
      </c>
      <c r="BB14" s="136"/>
      <c r="BC14" s="137"/>
      <c r="BD14" s="135">
        <f>AX14</f>
        <v>80</v>
      </c>
      <c r="BE14" s="136"/>
      <c r="BF14" s="137"/>
      <c r="BG14" s="135">
        <v>80</v>
      </c>
      <c r="BH14" s="136"/>
      <c r="BI14" s="137"/>
      <c r="BJ14" s="135">
        <v>105</v>
      </c>
      <c r="BK14" s="136"/>
      <c r="BL14" s="137"/>
      <c r="BM14" s="135">
        <v>105</v>
      </c>
      <c r="BN14" s="136"/>
      <c r="BO14" s="137"/>
      <c r="BP14" s="135">
        <v>120</v>
      </c>
      <c r="BQ14" s="136"/>
      <c r="BR14" s="137"/>
      <c r="BS14" s="135">
        <f>BP14</f>
        <v>120</v>
      </c>
      <c r="BT14" s="136"/>
      <c r="BU14" s="137"/>
      <c r="BV14" s="135">
        <f>BP14</f>
        <v>120</v>
      </c>
      <c r="BW14" s="136"/>
      <c r="BX14" s="137"/>
      <c r="BY14" s="135">
        <v>120</v>
      </c>
      <c r="BZ14" s="136"/>
      <c r="CA14" s="137"/>
      <c r="CB14" s="135">
        <v>145</v>
      </c>
      <c r="CC14" s="136"/>
      <c r="CD14" s="137"/>
      <c r="CE14" s="135">
        <f>CB14</f>
        <v>145</v>
      </c>
      <c r="CF14" s="136"/>
      <c r="CG14" s="137"/>
      <c r="CH14" s="135">
        <v>145</v>
      </c>
      <c r="CI14" s="136"/>
      <c r="CJ14" s="137"/>
    </row>
    <row r="15" spans="7:88" ht="24.75" customHeight="1">
      <c r="G15" s="9"/>
      <c r="AU15" s="162" t="s">
        <v>99</v>
      </c>
      <c r="AV15" s="162"/>
      <c r="AW15" s="162"/>
      <c r="AX15" s="135">
        <v>75</v>
      </c>
      <c r="AY15" s="136"/>
      <c r="AZ15" s="137"/>
      <c r="BA15" s="135">
        <f>AX15</f>
        <v>75</v>
      </c>
      <c r="BB15" s="136"/>
      <c r="BC15" s="137"/>
      <c r="BD15" s="135">
        <f>AX15</f>
        <v>75</v>
      </c>
      <c r="BE15" s="136"/>
      <c r="BF15" s="137"/>
      <c r="BG15" s="135">
        <v>80</v>
      </c>
      <c r="BH15" s="136"/>
      <c r="BI15" s="137"/>
      <c r="BJ15" s="135">
        <v>100</v>
      </c>
      <c r="BK15" s="136"/>
      <c r="BL15" s="137"/>
      <c r="BM15" s="135">
        <v>105</v>
      </c>
      <c r="BN15" s="136"/>
      <c r="BO15" s="137"/>
      <c r="BP15" s="135">
        <v>115</v>
      </c>
      <c r="BQ15" s="136"/>
      <c r="BR15" s="137"/>
      <c r="BS15" s="135">
        <f>BP15</f>
        <v>115</v>
      </c>
      <c r="BT15" s="136"/>
      <c r="BU15" s="137"/>
      <c r="BV15" s="135">
        <f>BP15</f>
        <v>115</v>
      </c>
      <c r="BW15" s="136"/>
      <c r="BX15" s="137"/>
      <c r="BY15" s="135">
        <v>120</v>
      </c>
      <c r="BZ15" s="136"/>
      <c r="CA15" s="137"/>
      <c r="CB15" s="135">
        <v>140</v>
      </c>
      <c r="CC15" s="136"/>
      <c r="CD15" s="137"/>
      <c r="CE15" s="135">
        <f>CB15</f>
        <v>140</v>
      </c>
      <c r="CF15" s="136"/>
      <c r="CG15" s="137"/>
      <c r="CH15" s="135">
        <v>145</v>
      </c>
      <c r="CI15" s="136"/>
      <c r="CJ15" s="137"/>
    </row>
    <row r="16" spans="7:88" ht="24.75" customHeight="1">
      <c r="G16" s="9"/>
      <c r="AU16" s="162" t="s">
        <v>100</v>
      </c>
      <c r="AV16" s="162"/>
      <c r="AW16" s="162"/>
      <c r="AX16" s="135">
        <v>75</v>
      </c>
      <c r="AY16" s="136"/>
      <c r="AZ16" s="137"/>
      <c r="BA16" s="135">
        <f>AX16</f>
        <v>75</v>
      </c>
      <c r="BB16" s="136"/>
      <c r="BC16" s="137"/>
      <c r="BD16" s="135">
        <f>AX16</f>
        <v>75</v>
      </c>
      <c r="BE16" s="136"/>
      <c r="BF16" s="137"/>
      <c r="BG16" s="135">
        <v>80</v>
      </c>
      <c r="BH16" s="136"/>
      <c r="BI16" s="137"/>
      <c r="BJ16" s="135">
        <v>100</v>
      </c>
      <c r="BK16" s="136"/>
      <c r="BL16" s="137"/>
      <c r="BM16" s="135">
        <v>105</v>
      </c>
      <c r="BN16" s="136"/>
      <c r="BO16" s="137"/>
      <c r="BP16" s="135">
        <v>110</v>
      </c>
      <c r="BQ16" s="136"/>
      <c r="BR16" s="137"/>
      <c r="BS16" s="135">
        <f>BP16</f>
        <v>110</v>
      </c>
      <c r="BT16" s="136"/>
      <c r="BU16" s="137"/>
      <c r="BV16" s="135">
        <f>BP16</f>
        <v>110</v>
      </c>
      <c r="BW16" s="136"/>
      <c r="BX16" s="137"/>
      <c r="BY16" s="135">
        <v>120</v>
      </c>
      <c r="BZ16" s="136"/>
      <c r="CA16" s="137"/>
      <c r="CB16" s="135">
        <v>135</v>
      </c>
      <c r="CC16" s="136"/>
      <c r="CD16" s="137"/>
      <c r="CE16" s="135">
        <f>CB16</f>
        <v>135</v>
      </c>
      <c r="CF16" s="136"/>
      <c r="CG16" s="137"/>
      <c r="CH16" s="135">
        <v>145</v>
      </c>
      <c r="CI16" s="136"/>
      <c r="CJ16" s="137"/>
    </row>
    <row r="17" spans="7:41" ht="24.75" customHeight="1">
      <c r="G17" s="9"/>
      <c r="AH17" s="5" t="s">
        <v>180</v>
      </c>
      <c r="AM17" s="163">
        <v>15</v>
      </c>
      <c r="AN17" s="163"/>
      <c r="AO17" s="5" t="s">
        <v>84</v>
      </c>
    </row>
    <row r="18" spans="34:42" ht="24.75" customHeight="1">
      <c r="AH18" s="5" t="s">
        <v>217</v>
      </c>
      <c r="AM18" s="163">
        <v>2640</v>
      </c>
      <c r="AN18" s="163"/>
      <c r="AO18" s="163"/>
      <c r="AP18" s="4" t="s">
        <v>84</v>
      </c>
    </row>
    <row r="19" spans="34:43" ht="24.75" customHeight="1">
      <c r="AH19" s="5" t="s">
        <v>210</v>
      </c>
      <c r="AO19" s="163">
        <v>120</v>
      </c>
      <c r="AP19" s="163"/>
      <c r="AQ19" s="5" t="s">
        <v>84</v>
      </c>
    </row>
    <row r="20" spans="34:38" ht="24.75" customHeight="1">
      <c r="AH20" s="5" t="s">
        <v>201</v>
      </c>
      <c r="AL20" s="5" t="s">
        <v>223</v>
      </c>
    </row>
    <row r="25" ht="24.75" customHeight="1">
      <c r="C25" s="5" t="s">
        <v>181</v>
      </c>
    </row>
    <row r="26" spans="4:40" ht="24.75" customHeight="1">
      <c r="D26" s="5" t="s">
        <v>182</v>
      </c>
      <c r="I26" s="5" t="str">
        <f>IF(O2&gt;0,"Asσs ＋ 2 Pfwu","Asσs ＋ 2 Pfwl")</f>
        <v>Asσs ＋ 2 Pfwu</v>
      </c>
      <c r="P26" s="5" t="s">
        <v>89</v>
      </c>
      <c r="Q26" s="95">
        <f>+AM17</f>
        <v>15</v>
      </c>
      <c r="R26" s="95"/>
      <c r="S26" s="14" t="s">
        <v>41</v>
      </c>
      <c r="T26" s="114">
        <f>+AM18</f>
        <v>2640</v>
      </c>
      <c r="U26" s="114"/>
      <c r="V26" s="114"/>
      <c r="W26" s="14" t="s">
        <v>41</v>
      </c>
      <c r="X26" s="108">
        <f>P13</f>
        <v>141.39999999975</v>
      </c>
      <c r="Y26" s="108"/>
      <c r="Z26" s="108"/>
      <c r="AA26" s="14" t="s">
        <v>143</v>
      </c>
      <c r="AB26" s="95">
        <f>IF(O2&gt;0,AD168,AD185)</f>
        <v>44025.09888112242</v>
      </c>
      <c r="AC26" s="95"/>
      <c r="AD26" s="95"/>
      <c r="AE26" s="95"/>
      <c r="AF26" s="14" t="s">
        <v>138</v>
      </c>
      <c r="AG26" s="14"/>
      <c r="AH26" s="5" t="s">
        <v>89</v>
      </c>
      <c r="AI26" s="102">
        <f>Q26*T26*X26+AB26*2</f>
        <v>5687490.197752345</v>
      </c>
      <c r="AJ26" s="102"/>
      <c r="AK26" s="102"/>
      <c r="AL26" s="102"/>
      <c r="AM26" s="102"/>
      <c r="AN26" s="5" t="s">
        <v>113</v>
      </c>
    </row>
    <row r="27" spans="9:31" ht="24.75" customHeight="1">
      <c r="I27" s="5" t="s">
        <v>200</v>
      </c>
      <c r="V27" s="5" t="str">
        <f>IF(O2&gt;0,"Pfwu","Pfwl")</f>
        <v>Pfwu</v>
      </c>
      <c r="X27" s="14" t="s">
        <v>183</v>
      </c>
      <c r="Y27" s="14"/>
      <c r="AA27" s="6"/>
      <c r="AB27" s="6"/>
      <c r="AC27" s="6"/>
      <c r="AD27" s="6"/>
      <c r="AE27" s="6"/>
    </row>
    <row r="28" spans="4:41" ht="24.75" customHeight="1">
      <c r="D28" s="5" t="s">
        <v>151</v>
      </c>
      <c r="F28" s="14" t="s">
        <v>152</v>
      </c>
      <c r="J28" s="5" t="s">
        <v>89</v>
      </c>
      <c r="K28" s="102">
        <f>AI26</f>
        <v>5687490.197752345</v>
      </c>
      <c r="L28" s="102"/>
      <c r="M28" s="102"/>
      <c r="N28" s="102"/>
      <c r="O28" s="102"/>
      <c r="P28" s="17" t="s">
        <v>88</v>
      </c>
      <c r="Q28" s="89">
        <f>+AA8</f>
        <v>96000</v>
      </c>
      <c r="R28" s="89"/>
      <c r="S28" s="89"/>
      <c r="T28" s="89"/>
      <c r="U28" s="8" t="s">
        <v>30</v>
      </c>
      <c r="V28" s="113">
        <f>ROUNDUP(K28/Q28,1)</f>
        <v>59.300000000000004</v>
      </c>
      <c r="W28" s="113"/>
      <c r="X28" s="113"/>
      <c r="Y28" s="113"/>
      <c r="AA28" s="92" t="s">
        <v>43</v>
      </c>
      <c r="AB28" s="92"/>
      <c r="AC28" s="6"/>
      <c r="AE28" s="164">
        <v>80</v>
      </c>
      <c r="AF28" s="164"/>
      <c r="AG28" s="164"/>
      <c r="AH28" s="164"/>
      <c r="AI28" s="92" t="s">
        <v>5</v>
      </c>
      <c r="AJ28" s="92"/>
      <c r="AK28" s="92"/>
      <c r="AL28" s="92"/>
      <c r="AM28" s="92"/>
      <c r="AO28" s="5" t="str">
        <f>IF(V28&lt;=AE28,"O.K.","N.G.")</f>
        <v>O.K.</v>
      </c>
    </row>
    <row r="29" ht="24.75" customHeight="1">
      <c r="C29" s="5" t="s">
        <v>239</v>
      </c>
    </row>
    <row r="30" spans="4:33" ht="24.75" customHeight="1">
      <c r="D30" s="18" t="s">
        <v>184</v>
      </c>
      <c r="E30" s="18"/>
      <c r="F30" s="18"/>
      <c r="G30" s="18"/>
      <c r="H30" s="18"/>
      <c r="I30" s="18"/>
      <c r="J30" s="18"/>
      <c r="P30" s="15"/>
      <c r="Q30" s="102">
        <f>AI26</f>
        <v>5687490.197752345</v>
      </c>
      <c r="R30" s="102"/>
      <c r="S30" s="102"/>
      <c r="T30" s="102"/>
      <c r="U30" s="102"/>
      <c r="V30" s="17" t="s">
        <v>88</v>
      </c>
      <c r="W30" s="108">
        <f>Z7</f>
        <v>188.533333333</v>
      </c>
      <c r="X30" s="108"/>
      <c r="Y30" s="108"/>
      <c r="Z30" s="108"/>
      <c r="AA30" s="8" t="s">
        <v>34</v>
      </c>
      <c r="AB30" s="89">
        <f>Q30/W30</f>
        <v>30167.02721585432</v>
      </c>
      <c r="AC30" s="89"/>
      <c r="AD30" s="89"/>
      <c r="AE30" s="89"/>
      <c r="AF30" s="92" t="s">
        <v>101</v>
      </c>
      <c r="AG30" s="92"/>
    </row>
    <row r="31" spans="4:27" ht="24.75" customHeight="1">
      <c r="D31" s="5" t="s">
        <v>240</v>
      </c>
      <c r="I31" s="165">
        <v>2</v>
      </c>
      <c r="J31" s="165"/>
      <c r="K31" s="165"/>
      <c r="L31" s="126">
        <v>80</v>
      </c>
      <c r="M31" s="126"/>
      <c r="N31" s="126"/>
      <c r="O31" s="163">
        <v>9</v>
      </c>
      <c r="P31" s="163"/>
      <c r="Q31" s="127">
        <v>630</v>
      </c>
      <c r="R31" s="127"/>
      <c r="S31" s="127"/>
      <c r="T31" s="127"/>
      <c r="U31" s="5" t="s">
        <v>31</v>
      </c>
      <c r="W31" s="89">
        <f>+L31*O31*I31</f>
        <v>1440</v>
      </c>
      <c r="X31" s="89"/>
      <c r="Y31" s="89"/>
      <c r="Z31" s="89"/>
      <c r="AA31" s="5" t="s">
        <v>101</v>
      </c>
    </row>
    <row r="32" spans="9:45" ht="24.75" customHeight="1">
      <c r="I32" s="165">
        <v>6</v>
      </c>
      <c r="J32" s="165"/>
      <c r="K32" s="165"/>
      <c r="L32" s="126">
        <v>280</v>
      </c>
      <c r="M32" s="126"/>
      <c r="N32" s="126"/>
      <c r="O32" s="163">
        <v>9</v>
      </c>
      <c r="P32" s="163"/>
      <c r="Q32" s="127">
        <f>Q31</f>
        <v>630</v>
      </c>
      <c r="R32" s="127"/>
      <c r="S32" s="127"/>
      <c r="T32" s="127"/>
      <c r="U32" s="5" t="s">
        <v>31</v>
      </c>
      <c r="W32" s="89">
        <f>+L32*O32*I32</f>
        <v>15120</v>
      </c>
      <c r="X32" s="89"/>
      <c r="Y32" s="89"/>
      <c r="Z32" s="89"/>
      <c r="AA32" s="5" t="s">
        <v>101</v>
      </c>
      <c r="AR32" s="18"/>
      <c r="AS32" s="18"/>
    </row>
    <row r="33" spans="9:28" ht="24.75" customHeight="1">
      <c r="I33" s="165">
        <v>1</v>
      </c>
      <c r="J33" s="165"/>
      <c r="K33" s="165"/>
      <c r="L33" s="126">
        <f>+AM18-10</f>
        <v>2630</v>
      </c>
      <c r="M33" s="126"/>
      <c r="N33" s="126"/>
      <c r="O33" s="163">
        <v>9</v>
      </c>
      <c r="P33" s="163"/>
      <c r="Q33" s="127">
        <f>Q32</f>
        <v>630</v>
      </c>
      <c r="R33" s="127"/>
      <c r="S33" s="127"/>
      <c r="T33" s="127"/>
      <c r="U33" s="19" t="s">
        <v>31</v>
      </c>
      <c r="V33" s="19"/>
      <c r="W33" s="105">
        <f>+L33*O33*I33</f>
        <v>23670</v>
      </c>
      <c r="X33" s="105"/>
      <c r="Y33" s="105"/>
      <c r="Z33" s="105"/>
      <c r="AA33" s="19" t="s">
        <v>101</v>
      </c>
      <c r="AB33" s="19"/>
    </row>
    <row r="34" spans="21:39" ht="24.75" customHeight="1">
      <c r="U34" s="5" t="s">
        <v>32</v>
      </c>
      <c r="W34" s="89">
        <f>+SUM(W31:W33)</f>
        <v>40230</v>
      </c>
      <c r="X34" s="89"/>
      <c r="Y34" s="89"/>
      <c r="Z34" s="89"/>
      <c r="AA34" s="92" t="str">
        <f>IF(W34&gt;AB30,"mm² ＞  Asreq'd =","mm² ＜   Asreq'd =")</f>
        <v>mm² ＞  Asreq'd =</v>
      </c>
      <c r="AB34" s="92"/>
      <c r="AC34" s="92"/>
      <c r="AD34" s="92"/>
      <c r="AE34" s="92"/>
      <c r="AF34" s="92"/>
      <c r="AG34" s="92"/>
      <c r="AH34" s="92"/>
      <c r="AI34" s="89">
        <f>+AB30</f>
        <v>30167.02721585432</v>
      </c>
      <c r="AJ34" s="89"/>
      <c r="AK34" s="89"/>
      <c r="AL34" s="89"/>
      <c r="AM34" s="5" t="str">
        <f>IF(W34&gt;AB30,"mm² O.K","mm² N.G")</f>
        <v>mm² O.K</v>
      </c>
    </row>
    <row r="35" spans="4:38" ht="24.75" customHeight="1">
      <c r="D35" s="4" t="s">
        <v>241</v>
      </c>
      <c r="E35" s="4"/>
      <c r="F35" s="4"/>
      <c r="G35" s="4"/>
      <c r="H35" s="4"/>
      <c r="I35" s="4"/>
      <c r="J35" s="4"/>
      <c r="K35" s="4"/>
      <c r="O35" s="5" t="s">
        <v>89</v>
      </c>
      <c r="P35" s="102">
        <f>AI26</f>
        <v>5687490.197752345</v>
      </c>
      <c r="Q35" s="102"/>
      <c r="R35" s="102"/>
      <c r="S35" s="102"/>
      <c r="T35" s="102"/>
      <c r="U35" s="17" t="s">
        <v>88</v>
      </c>
      <c r="V35" s="89">
        <f>W34</f>
        <v>40230</v>
      </c>
      <c r="W35" s="89"/>
      <c r="X35" s="89"/>
      <c r="Y35" s="89"/>
      <c r="Z35" s="8" t="s">
        <v>34</v>
      </c>
      <c r="AA35" s="134">
        <f>P35/V35</f>
        <v>141.37435241740855</v>
      </c>
      <c r="AB35" s="134"/>
      <c r="AC35" s="134"/>
      <c r="AD35" s="134"/>
      <c r="AE35" s="134"/>
      <c r="AF35" s="18" t="str">
        <f>IF(AA35&gt;Z7,"N/㎟ ＞  σca , N.G","N/㎟＜  σca , O.K")</f>
        <v>N/㎟＜  σca , O.K</v>
      </c>
      <c r="AG35" s="18"/>
      <c r="AH35" s="18"/>
      <c r="AI35" s="18"/>
      <c r="AJ35" s="18"/>
      <c r="AK35" s="18"/>
      <c r="AL35" s="18"/>
    </row>
    <row r="36" spans="4:44" ht="24.75" customHeight="1">
      <c r="D36" s="21"/>
      <c r="E36" s="21"/>
      <c r="F36" s="21"/>
      <c r="G36" s="21"/>
      <c r="H36" s="21"/>
      <c r="I36" s="21"/>
      <c r="J36" s="21"/>
      <c r="K36" s="21"/>
      <c r="W36" s="8"/>
      <c r="X36" s="20"/>
      <c r="Y36" s="20"/>
      <c r="Z36" s="20"/>
      <c r="AA36" s="20"/>
      <c r="AR36" s="18"/>
    </row>
    <row r="37" ht="24.75" customHeight="1">
      <c r="C37" s="5" t="s">
        <v>192</v>
      </c>
    </row>
    <row r="38" spans="3:23" ht="24.75" customHeight="1">
      <c r="C38" s="5" t="s">
        <v>193</v>
      </c>
      <c r="M38" s="13"/>
      <c r="N38" s="13"/>
      <c r="O38" s="14"/>
      <c r="P38" s="15"/>
      <c r="Q38" s="15"/>
      <c r="R38" s="15"/>
      <c r="S38" s="14"/>
      <c r="T38" s="16"/>
      <c r="U38" s="16"/>
      <c r="V38" s="16"/>
      <c r="W38" s="16"/>
    </row>
    <row r="39" spans="4:38" ht="24.75" customHeight="1">
      <c r="D39" s="4" t="s">
        <v>153</v>
      </c>
      <c r="E39" s="21"/>
      <c r="F39" s="21"/>
      <c r="G39" s="13"/>
      <c r="H39" s="13"/>
      <c r="I39" s="8"/>
      <c r="J39" s="102">
        <f>AI26</f>
        <v>5687490.197752345</v>
      </c>
      <c r="K39" s="102"/>
      <c r="L39" s="102"/>
      <c r="M39" s="102"/>
      <c r="N39" s="102"/>
      <c r="O39" s="17" t="s">
        <v>88</v>
      </c>
      <c r="P39" s="133">
        <f>+AE28</f>
        <v>80</v>
      </c>
      <c r="Q39" s="133"/>
      <c r="R39" s="133"/>
      <c r="S39" s="133"/>
      <c r="U39" s="8" t="s">
        <v>34</v>
      </c>
      <c r="V39" s="100">
        <f>J39/P39</f>
        <v>71093.62747190431</v>
      </c>
      <c r="W39" s="100"/>
      <c r="X39" s="100"/>
      <c r="Y39" s="100"/>
      <c r="Z39" s="100"/>
      <c r="AA39" s="18" t="s">
        <v>202</v>
      </c>
      <c r="AB39" s="8"/>
      <c r="AC39" s="8"/>
      <c r="AD39" s="18" t="str">
        <f>IF(V39&gt;AA8," ＞  ρa    N.G","＜ ρa    O.K")</f>
        <v>＜ ρa    O.K</v>
      </c>
      <c r="AE39" s="8"/>
      <c r="AF39" s="8"/>
      <c r="AG39" s="8"/>
      <c r="AH39" s="8"/>
      <c r="AI39" s="8"/>
      <c r="AJ39" s="8"/>
      <c r="AK39" s="8"/>
      <c r="AL39" s="8"/>
    </row>
    <row r="40" spans="3:38" ht="24.75" customHeight="1">
      <c r="C40" s="14"/>
      <c r="D40" s="34"/>
      <c r="E40" s="34"/>
      <c r="F40" s="34"/>
      <c r="G40" s="13"/>
      <c r="H40" s="13"/>
      <c r="I40" s="13"/>
      <c r="J40" s="14"/>
      <c r="K40" s="14"/>
      <c r="L40" s="14"/>
      <c r="M40" s="35"/>
      <c r="N40" s="35"/>
      <c r="O40" s="35"/>
      <c r="P40" s="35"/>
      <c r="Q40" s="14"/>
      <c r="R40" s="14"/>
      <c r="S40" s="14"/>
      <c r="T40" s="14"/>
      <c r="U40" s="13"/>
      <c r="V40" s="71"/>
      <c r="W40" s="71"/>
      <c r="X40" s="71"/>
      <c r="Y40" s="71"/>
      <c r="Z40" s="71"/>
      <c r="AA40" s="13"/>
      <c r="AB40" s="13"/>
      <c r="AC40" s="13"/>
      <c r="AD40" s="13"/>
      <c r="AE40" s="13"/>
      <c r="AF40" s="13"/>
      <c r="AG40" s="13"/>
      <c r="AH40" s="13"/>
      <c r="AI40" s="13"/>
      <c r="AJ40" s="13"/>
      <c r="AK40" s="13"/>
      <c r="AL40" s="8"/>
    </row>
    <row r="41" spans="3:38" ht="24.75" customHeight="1">
      <c r="C41" s="5" t="s">
        <v>206</v>
      </c>
      <c r="D41" s="21"/>
      <c r="E41" s="21"/>
      <c r="F41" s="21"/>
      <c r="G41" s="8"/>
      <c r="H41" s="8"/>
      <c r="I41" s="8"/>
      <c r="U41" s="8"/>
      <c r="V41" s="22"/>
      <c r="W41" s="22"/>
      <c r="X41" s="22"/>
      <c r="Y41" s="22"/>
      <c r="Z41" s="22"/>
      <c r="AA41" s="8"/>
      <c r="AB41" s="8"/>
      <c r="AC41" s="8"/>
      <c r="AD41" s="8"/>
      <c r="AE41" s="8"/>
      <c r="AF41" s="8"/>
      <c r="AG41" s="8"/>
      <c r="AH41" s="8"/>
      <c r="AI41" s="8"/>
      <c r="AJ41" s="8"/>
      <c r="AK41" s="8"/>
      <c r="AL41" s="8"/>
    </row>
    <row r="42" spans="4:47" ht="24.75" customHeight="1">
      <c r="D42" s="5" t="s">
        <v>205</v>
      </c>
      <c r="AU42" s="23"/>
    </row>
    <row r="43" spans="5:47" ht="24.75" customHeight="1">
      <c r="E43" s="5" t="s">
        <v>211</v>
      </c>
      <c r="AU43" s="23"/>
    </row>
    <row r="44" ht="24.75" customHeight="1">
      <c r="D44" s="5" t="s">
        <v>7</v>
      </c>
    </row>
    <row r="45" spans="3:36" ht="24.75" customHeight="1">
      <c r="C45" s="106" t="s">
        <v>49</v>
      </c>
      <c r="D45" s="106"/>
      <c r="E45" s="106"/>
      <c r="G45" s="105">
        <f>O4</f>
        <v>236.19187506</v>
      </c>
      <c r="H45" s="105"/>
      <c r="I45" s="105"/>
      <c r="J45" s="19" t="s">
        <v>41</v>
      </c>
      <c r="K45" s="97">
        <v>1000000</v>
      </c>
      <c r="L45" s="97"/>
      <c r="M45" s="97"/>
      <c r="N45" s="97"/>
      <c r="P45" s="106" t="s">
        <v>47</v>
      </c>
      <c r="Q45" s="106"/>
      <c r="R45" s="122">
        <f>P39</f>
        <v>80</v>
      </c>
      <c r="S45" s="122"/>
      <c r="T45" s="122"/>
      <c r="U45" s="92" t="s">
        <v>34</v>
      </c>
      <c r="V45" s="92"/>
      <c r="W45" s="102">
        <f>ROUND((G45*K45/(I46*K46))/R45,1)</f>
        <v>671</v>
      </c>
      <c r="X45" s="102"/>
      <c r="Y45" s="102"/>
      <c r="Z45" s="102"/>
      <c r="AA45" s="92" t="str">
        <f>IF(W45&gt;AA8,"N/本   ＞ ρa   N.G.","N/本  ＜  ρa   O.K.")</f>
        <v>N/本  ＜  ρa   O.K.</v>
      </c>
      <c r="AB45" s="92"/>
      <c r="AC45" s="92"/>
      <c r="AD45" s="92"/>
      <c r="AE45" s="92"/>
      <c r="AF45" s="92"/>
      <c r="AG45" s="92"/>
      <c r="AH45" s="92"/>
      <c r="AI45" s="92"/>
      <c r="AJ45" s="92"/>
    </row>
    <row r="46" spans="3:36" ht="24.75" customHeight="1">
      <c r="C46" s="106"/>
      <c r="D46" s="106"/>
      <c r="E46" s="106"/>
      <c r="I46" s="8">
        <v>2</v>
      </c>
      <c r="J46" s="14" t="s">
        <v>41</v>
      </c>
      <c r="K46" s="24">
        <f>AM145</f>
        <v>2200</v>
      </c>
      <c r="L46" s="25"/>
      <c r="M46" s="25"/>
      <c r="P46" s="106"/>
      <c r="Q46" s="106"/>
      <c r="R46" s="122"/>
      <c r="S46" s="122"/>
      <c r="T46" s="122"/>
      <c r="U46" s="92"/>
      <c r="V46" s="92"/>
      <c r="W46" s="102"/>
      <c r="X46" s="102"/>
      <c r="Y46" s="102"/>
      <c r="Z46" s="102"/>
      <c r="AA46" s="92"/>
      <c r="AB46" s="92"/>
      <c r="AC46" s="92"/>
      <c r="AD46" s="92"/>
      <c r="AE46" s="92"/>
      <c r="AF46" s="92"/>
      <c r="AG46" s="92"/>
      <c r="AH46" s="92"/>
      <c r="AI46" s="92"/>
      <c r="AJ46" s="92"/>
    </row>
    <row r="48" spans="3:9" ht="24.75" customHeight="1">
      <c r="C48" s="5" t="s">
        <v>212</v>
      </c>
      <c r="I48" s="23"/>
    </row>
    <row r="49" spans="4:31" ht="24.75" customHeight="1">
      <c r="D49" s="5" t="s">
        <v>50</v>
      </c>
      <c r="P49" s="119">
        <f>V39</f>
        <v>71093.62747190431</v>
      </c>
      <c r="Q49" s="119"/>
      <c r="R49" s="119"/>
      <c r="S49" s="119"/>
      <c r="T49" s="5" t="s">
        <v>48</v>
      </c>
      <c r="U49" s="104">
        <f>+W45</f>
        <v>671</v>
      </c>
      <c r="V49" s="104"/>
      <c r="W49" s="104"/>
      <c r="X49" s="104"/>
      <c r="Y49" s="5" t="s">
        <v>33</v>
      </c>
      <c r="AA49" s="100">
        <f>ROUND(SQRT(P49^2+U49^2),1)</f>
        <v>71096.8</v>
      </c>
      <c r="AB49" s="100"/>
      <c r="AC49" s="100"/>
      <c r="AD49" s="100"/>
      <c r="AE49" s="5" t="str">
        <f>IF(AA49&gt;$AA$8,"N/本  ＞  ρa ,  N.G","N/本  ＜  ρa ,  O.K")</f>
        <v>N/本  ＜  ρa ,  O.K</v>
      </c>
    </row>
    <row r="50" spans="16:30" ht="24.75" customHeight="1">
      <c r="P50" s="26"/>
      <c r="Q50" s="26"/>
      <c r="R50" s="26"/>
      <c r="S50" s="26"/>
      <c r="U50" s="26"/>
      <c r="V50" s="26"/>
      <c r="W50" s="26"/>
      <c r="X50" s="26"/>
      <c r="AA50" s="9"/>
      <c r="AB50" s="9"/>
      <c r="AC50" s="9"/>
      <c r="AD50" s="9"/>
    </row>
    <row r="51" spans="2:11" ht="24.75" customHeight="1">
      <c r="B51" s="5" t="s">
        <v>187</v>
      </c>
      <c r="H51" s="27"/>
      <c r="K51" s="9"/>
    </row>
    <row r="52" spans="7:9" ht="24.75" customHeight="1">
      <c r="G52" s="27"/>
      <c r="I52" s="27"/>
    </row>
    <row r="53" spans="5:17" ht="24.75" customHeight="1">
      <c r="E53" s="166"/>
      <c r="F53" s="166"/>
      <c r="G53" s="166"/>
      <c r="K53" s="29"/>
      <c r="L53" s="29"/>
      <c r="M53" s="29"/>
      <c r="N53" s="166"/>
      <c r="Q53" s="30"/>
    </row>
    <row r="54" spans="17:31" ht="24.75" customHeight="1">
      <c r="Q54" s="30"/>
      <c r="U54" s="31"/>
      <c r="V54" s="31"/>
      <c r="X54" s="5" t="s">
        <v>185</v>
      </c>
      <c r="AB54" s="163">
        <v>150</v>
      </c>
      <c r="AC54" s="163"/>
      <c r="AD54" s="163"/>
      <c r="AE54" s="5" t="s">
        <v>84</v>
      </c>
    </row>
    <row r="55" spans="17:31" ht="24.75" customHeight="1">
      <c r="Q55" s="30"/>
      <c r="R55" s="30"/>
      <c r="S55" s="32"/>
      <c r="T55" s="32"/>
      <c r="U55" s="167"/>
      <c r="V55" s="33"/>
      <c r="X55" s="5" t="s">
        <v>186</v>
      </c>
      <c r="AB55" s="163">
        <v>14</v>
      </c>
      <c r="AC55" s="163"/>
      <c r="AD55" s="163"/>
      <c r="AE55" s="5" t="s">
        <v>84</v>
      </c>
    </row>
    <row r="56" spans="1:19" ht="24.75" customHeight="1">
      <c r="A56" s="53"/>
      <c r="B56" s="53"/>
      <c r="C56" s="53"/>
      <c r="D56" s="53"/>
      <c r="E56" s="53"/>
      <c r="F56" s="53"/>
      <c r="G56" s="53"/>
      <c r="H56" s="53"/>
      <c r="I56" s="53"/>
      <c r="J56" s="53"/>
      <c r="K56" s="53"/>
      <c r="L56" s="53"/>
      <c r="M56" s="53"/>
      <c r="N56" s="53"/>
      <c r="O56" s="53"/>
      <c r="P56" s="53"/>
      <c r="Q56" s="53"/>
      <c r="R56" s="53"/>
      <c r="S56" s="53"/>
    </row>
    <row r="57" spans="7:11" ht="24.75" customHeight="1">
      <c r="G57" s="27"/>
      <c r="I57" s="27"/>
      <c r="K57" s="9"/>
    </row>
    <row r="58" ht="24.75" customHeight="1">
      <c r="C58" s="5" t="s">
        <v>181</v>
      </c>
    </row>
    <row r="59" spans="4:41" ht="24.75" customHeight="1">
      <c r="D59" s="106" t="s">
        <v>42</v>
      </c>
      <c r="E59" s="106"/>
      <c r="F59" s="19" t="str">
        <f>IF(O2&gt;0,"As σu","As σl")</f>
        <v>As σu</v>
      </c>
      <c r="G59" s="19"/>
      <c r="H59" s="19"/>
      <c r="I59" s="92" t="s">
        <v>34</v>
      </c>
      <c r="J59" s="97">
        <f>+AB55</f>
        <v>14</v>
      </c>
      <c r="K59" s="97"/>
      <c r="L59" s="19" t="s">
        <v>41</v>
      </c>
      <c r="M59" s="132">
        <f>+AB54</f>
        <v>150</v>
      </c>
      <c r="N59" s="132"/>
      <c r="O59" s="132"/>
      <c r="P59" s="19" t="s">
        <v>41</v>
      </c>
      <c r="Q59" s="105">
        <f>P13</f>
        <v>141.39999999975</v>
      </c>
      <c r="R59" s="105"/>
      <c r="S59" s="105"/>
      <c r="T59" s="105"/>
      <c r="U59" s="92" t="s">
        <v>30</v>
      </c>
      <c r="V59" s="113">
        <f>ROUND(+J59*M59*Q59/M60,1)</f>
        <v>3.1</v>
      </c>
      <c r="W59" s="113"/>
      <c r="X59" s="113"/>
      <c r="Y59" s="113"/>
      <c r="Z59" s="92" t="s">
        <v>43</v>
      </c>
      <c r="AA59" s="92"/>
      <c r="AB59" s="92"/>
      <c r="AC59" s="164">
        <v>5</v>
      </c>
      <c r="AD59" s="164"/>
      <c r="AE59" s="164"/>
      <c r="AF59" s="164"/>
      <c r="AG59" s="92" t="s">
        <v>4</v>
      </c>
      <c r="AH59" s="92"/>
      <c r="AI59" s="92"/>
      <c r="AJ59" s="92"/>
      <c r="AM59" s="92" t="str">
        <f>IF(V59&lt;=AC59,"O.K.","N.G.")</f>
        <v>O.K.</v>
      </c>
      <c r="AN59" s="92"/>
      <c r="AO59" s="92"/>
    </row>
    <row r="60" spans="4:51" ht="24.75" customHeight="1">
      <c r="D60" s="106"/>
      <c r="E60" s="106"/>
      <c r="F60" s="92" t="s">
        <v>44</v>
      </c>
      <c r="G60" s="92"/>
      <c r="H60" s="92"/>
      <c r="I60" s="92"/>
      <c r="M60" s="89">
        <f>AA8</f>
        <v>96000</v>
      </c>
      <c r="N60" s="89"/>
      <c r="O60" s="89"/>
      <c r="P60" s="89"/>
      <c r="U60" s="92"/>
      <c r="V60" s="113"/>
      <c r="W60" s="113"/>
      <c r="X60" s="113"/>
      <c r="Y60" s="113"/>
      <c r="Z60" s="92"/>
      <c r="AA60" s="92"/>
      <c r="AB60" s="92"/>
      <c r="AC60" s="164"/>
      <c r="AD60" s="164"/>
      <c r="AE60" s="164"/>
      <c r="AF60" s="164"/>
      <c r="AG60" s="92"/>
      <c r="AH60" s="92"/>
      <c r="AI60" s="92"/>
      <c r="AJ60" s="92"/>
      <c r="AM60" s="92"/>
      <c r="AN60" s="92"/>
      <c r="AO60" s="92"/>
      <c r="AW60" s="8"/>
      <c r="AY60" s="18"/>
    </row>
    <row r="61" ht="24.75" customHeight="1">
      <c r="C61" s="5" t="s">
        <v>239</v>
      </c>
    </row>
    <row r="62" spans="4:28" ht="24.75" customHeight="1">
      <c r="D62" s="92" t="s">
        <v>188</v>
      </c>
      <c r="E62" s="106"/>
      <c r="F62" s="106"/>
      <c r="G62" s="106"/>
      <c r="H62" s="106"/>
      <c r="I62" s="106"/>
      <c r="J62" s="106"/>
      <c r="K62" s="132">
        <f>+J59</f>
        <v>14</v>
      </c>
      <c r="L62" s="132"/>
      <c r="M62" s="19" t="s">
        <v>41</v>
      </c>
      <c r="N62" s="132">
        <f>+M59</f>
        <v>150</v>
      </c>
      <c r="O62" s="132"/>
      <c r="P62" s="132"/>
      <c r="Q62" s="19" t="s">
        <v>41</v>
      </c>
      <c r="R62" s="105">
        <f>+Q59</f>
        <v>141.39999999975</v>
      </c>
      <c r="S62" s="105"/>
      <c r="T62" s="105"/>
      <c r="U62" s="105"/>
      <c r="V62" s="92" t="s">
        <v>34</v>
      </c>
      <c r="W62" s="89">
        <f>+K62*N62*R62/N63</f>
        <v>1575.0000000000002</v>
      </c>
      <c r="X62" s="89"/>
      <c r="Y62" s="89"/>
      <c r="Z62" s="89"/>
      <c r="AA62" s="103" t="s">
        <v>101</v>
      </c>
      <c r="AB62" s="103"/>
    </row>
    <row r="63" spans="4:54" ht="24.75" customHeight="1">
      <c r="D63" s="106"/>
      <c r="E63" s="106"/>
      <c r="F63" s="106"/>
      <c r="G63" s="106"/>
      <c r="H63" s="106"/>
      <c r="I63" s="106"/>
      <c r="J63" s="106"/>
      <c r="N63" s="89">
        <f>Z7</f>
        <v>188.533333333</v>
      </c>
      <c r="O63" s="89"/>
      <c r="P63" s="89"/>
      <c r="Q63" s="89"/>
      <c r="V63" s="92"/>
      <c r="W63" s="89"/>
      <c r="X63" s="89"/>
      <c r="Y63" s="89"/>
      <c r="Z63" s="89"/>
      <c r="AA63" s="103"/>
      <c r="AB63" s="103"/>
      <c r="AX63" s="23"/>
      <c r="AZ63" s="23"/>
      <c r="BB63" s="23"/>
    </row>
    <row r="64" spans="4:54" ht="24.75" customHeight="1">
      <c r="D64" s="5" t="s">
        <v>240</v>
      </c>
      <c r="I64" s="165">
        <v>2</v>
      </c>
      <c r="J64" s="165"/>
      <c r="K64" s="165"/>
      <c r="L64" s="126">
        <v>80</v>
      </c>
      <c r="M64" s="126"/>
      <c r="N64" s="126"/>
      <c r="O64" s="92">
        <v>9</v>
      </c>
      <c r="P64" s="92"/>
      <c r="Q64" s="127">
        <v>780</v>
      </c>
      <c r="R64" s="127"/>
      <c r="S64" s="127"/>
      <c r="T64" s="127"/>
      <c r="U64" s="5" t="s">
        <v>31</v>
      </c>
      <c r="W64" s="89">
        <f>+L64*O64*I64</f>
        <v>1440</v>
      </c>
      <c r="X64" s="89"/>
      <c r="Y64" s="89"/>
      <c r="Z64" s="89"/>
      <c r="AA64" s="5" t="s">
        <v>101</v>
      </c>
      <c r="AD64" s="5" t="str">
        <f>IF(W64&gt;=W62,"O.K.","N.G.")</f>
        <v>N.G.</v>
      </c>
      <c r="AT64" s="4"/>
      <c r="BB64" s="8"/>
    </row>
    <row r="66" spans="2:15" ht="24.75" customHeight="1">
      <c r="B66" s="5" t="s">
        <v>1</v>
      </c>
      <c r="I66" s="92" t="str">
        <f>IF(O2&gt;0,"(下フランジ)","(上フランジ)")</f>
        <v>(下フランジ)</v>
      </c>
      <c r="J66" s="92"/>
      <c r="K66" s="92"/>
      <c r="L66" s="92"/>
      <c r="M66" s="92"/>
      <c r="N66" s="92"/>
      <c r="O66" s="5" t="s">
        <v>249</v>
      </c>
    </row>
    <row r="67" spans="3:10" ht="24.75" customHeight="1">
      <c r="C67" s="5" t="s">
        <v>115</v>
      </c>
      <c r="E67" s="131">
        <f>IF(O2&gt;0,ABS(O6),ABS(O5))</f>
        <v>92.945606718</v>
      </c>
      <c r="F67" s="131"/>
      <c r="G67" s="131"/>
      <c r="H67" s="131"/>
      <c r="I67" s="131"/>
      <c r="J67" s="5" t="s">
        <v>218</v>
      </c>
    </row>
    <row r="68" spans="3:22" ht="24.75" customHeight="1">
      <c r="C68" s="5" t="s">
        <v>116</v>
      </c>
      <c r="E68" s="130">
        <f>+E12</f>
        <v>0.75</v>
      </c>
      <c r="F68" s="130"/>
      <c r="G68" s="130"/>
      <c r="H68" s="130"/>
      <c r="I68" s="5" t="s">
        <v>41</v>
      </c>
      <c r="J68" s="102">
        <f>O7</f>
        <v>210</v>
      </c>
      <c r="K68" s="102"/>
      <c r="L68" s="102"/>
      <c r="M68" s="5" t="s">
        <v>34</v>
      </c>
      <c r="N68" s="89">
        <f>+E68*J68</f>
        <v>157.5</v>
      </c>
      <c r="O68" s="89"/>
      <c r="P68" s="89"/>
      <c r="Q68" s="89"/>
      <c r="R68" s="5" t="str">
        <f>+J67</f>
        <v>N/㎟</v>
      </c>
      <c r="T68" s="10"/>
      <c r="U68" s="11"/>
      <c r="V68" s="12" t="s">
        <v>178</v>
      </c>
    </row>
    <row r="69" spans="3:20" ht="24.75" customHeight="1">
      <c r="C69" s="5" t="s">
        <v>247</v>
      </c>
      <c r="L69" s="5" t="str">
        <f>IF(O2&gt;0,"σl","σu")</f>
        <v>σl</v>
      </c>
      <c r="N69" s="5" t="s">
        <v>179</v>
      </c>
      <c r="P69" s="89">
        <f>+MAX(E67,N68)</f>
        <v>157.5</v>
      </c>
      <c r="Q69" s="89"/>
      <c r="R69" s="89"/>
      <c r="S69" s="89"/>
      <c r="T69" s="5" t="s">
        <v>222</v>
      </c>
    </row>
    <row r="71" ht="24.75" customHeight="1">
      <c r="G71" s="9"/>
    </row>
    <row r="72" spans="7:42" ht="24.75" customHeight="1">
      <c r="G72" s="9"/>
      <c r="AH72" s="5" t="s">
        <v>180</v>
      </c>
      <c r="AM72" s="163">
        <v>15</v>
      </c>
      <c r="AN72" s="163"/>
      <c r="AO72" s="163"/>
      <c r="AP72" s="5" t="s">
        <v>84</v>
      </c>
    </row>
    <row r="73" spans="7:42" ht="24.75" customHeight="1">
      <c r="G73" s="9"/>
      <c r="AH73" s="5" t="s">
        <v>217</v>
      </c>
      <c r="AM73" s="163">
        <v>2340</v>
      </c>
      <c r="AN73" s="163"/>
      <c r="AO73" s="163"/>
      <c r="AP73" s="5" t="s">
        <v>84</v>
      </c>
    </row>
    <row r="74" spans="34:43" ht="24.75" customHeight="1">
      <c r="AH74" s="5" t="s">
        <v>210</v>
      </c>
      <c r="AO74" s="163">
        <v>120</v>
      </c>
      <c r="AP74" s="163"/>
      <c r="AQ74" s="5" t="s">
        <v>84</v>
      </c>
    </row>
    <row r="75" spans="34:38" ht="24.75" customHeight="1">
      <c r="AH75" s="5" t="s">
        <v>201</v>
      </c>
      <c r="AL75" s="5" t="s">
        <v>213</v>
      </c>
    </row>
    <row r="76" spans="5:38" ht="24.75" customHeight="1">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row>
    <row r="77" spans="5:38" ht="24.75" customHeight="1">
      <c r="E77" s="34"/>
      <c r="F77" s="34"/>
      <c r="G77" s="14"/>
      <c r="H77" s="14"/>
      <c r="I77" s="14"/>
      <c r="J77" s="13"/>
      <c r="K77" s="13"/>
      <c r="L77" s="13"/>
      <c r="M77" s="14"/>
      <c r="N77" s="16"/>
      <c r="O77" s="16"/>
      <c r="P77" s="16"/>
      <c r="Q77" s="14"/>
      <c r="R77" s="16"/>
      <c r="S77" s="16"/>
      <c r="T77" s="16"/>
      <c r="U77" s="16"/>
      <c r="V77" s="13"/>
      <c r="W77" s="35"/>
      <c r="X77" s="35"/>
      <c r="Y77" s="35"/>
      <c r="Z77" s="35"/>
      <c r="AA77" s="13"/>
      <c r="AB77" s="13"/>
      <c r="AC77" s="13"/>
      <c r="AD77" s="168"/>
      <c r="AE77" s="168"/>
      <c r="AF77" s="168"/>
      <c r="AG77" s="168"/>
      <c r="AH77" s="13"/>
      <c r="AI77" s="13"/>
      <c r="AJ77" s="13"/>
      <c r="AK77" s="13"/>
      <c r="AL77" s="14"/>
    </row>
    <row r="78" spans="5:38" ht="24.75" customHeight="1">
      <c r="E78" s="34"/>
      <c r="F78" s="34"/>
      <c r="G78" s="13"/>
      <c r="H78" s="13"/>
      <c r="I78" s="13"/>
      <c r="J78" s="13"/>
      <c r="K78" s="14"/>
      <c r="L78" s="14"/>
      <c r="M78" s="14"/>
      <c r="N78" s="16"/>
      <c r="O78" s="16"/>
      <c r="P78" s="16"/>
      <c r="Q78" s="16"/>
      <c r="R78" s="14"/>
      <c r="S78" s="14"/>
      <c r="T78" s="14"/>
      <c r="U78" s="14"/>
      <c r="V78" s="13"/>
      <c r="W78" s="35"/>
      <c r="X78" s="35"/>
      <c r="Y78" s="35"/>
      <c r="Z78" s="35"/>
      <c r="AA78" s="13"/>
      <c r="AB78" s="13"/>
      <c r="AC78" s="13"/>
      <c r="AD78" s="168"/>
      <c r="AE78" s="168"/>
      <c r="AF78" s="168"/>
      <c r="AG78" s="168"/>
      <c r="AH78" s="13"/>
      <c r="AI78" s="13"/>
      <c r="AJ78" s="13"/>
      <c r="AK78" s="13"/>
      <c r="AL78" s="14"/>
    </row>
    <row r="79" spans="5:38" ht="24.75" customHeight="1">
      <c r="E79" s="13"/>
      <c r="F79" s="34"/>
      <c r="G79" s="34"/>
      <c r="H79" s="34"/>
      <c r="I79" s="34"/>
      <c r="J79" s="34"/>
      <c r="K79" s="34"/>
      <c r="L79" s="16"/>
      <c r="M79" s="16"/>
      <c r="N79" s="14"/>
      <c r="O79" s="16"/>
      <c r="P79" s="16"/>
      <c r="Q79" s="16"/>
      <c r="R79" s="14"/>
      <c r="S79" s="16"/>
      <c r="T79" s="16"/>
      <c r="U79" s="16"/>
      <c r="V79" s="16"/>
      <c r="W79" s="13"/>
      <c r="X79" s="16"/>
      <c r="Y79" s="16"/>
      <c r="Z79" s="16"/>
      <c r="AA79" s="16"/>
      <c r="AB79" s="36"/>
      <c r="AC79" s="36"/>
      <c r="AD79" s="14"/>
      <c r="AE79" s="14"/>
      <c r="AF79" s="14"/>
      <c r="AG79" s="14"/>
      <c r="AH79" s="14"/>
      <c r="AI79" s="14"/>
      <c r="AJ79" s="14"/>
      <c r="AK79" s="14"/>
      <c r="AL79" s="14"/>
    </row>
    <row r="80" spans="7:30" ht="24.75" customHeight="1">
      <c r="G80" s="34"/>
      <c r="H80" s="34"/>
      <c r="I80" s="34"/>
      <c r="J80" s="34"/>
      <c r="K80" s="34"/>
      <c r="L80" s="14"/>
      <c r="M80" s="14"/>
      <c r="N80" s="14"/>
      <c r="O80" s="16"/>
      <c r="P80" s="16"/>
      <c r="Q80" s="16"/>
      <c r="R80" s="16"/>
      <c r="S80" s="14"/>
      <c r="T80" s="14"/>
      <c r="U80" s="14"/>
      <c r="V80" s="14"/>
      <c r="W80" s="13"/>
      <c r="X80" s="16"/>
      <c r="Y80" s="16"/>
      <c r="Z80" s="16"/>
      <c r="AA80" s="16"/>
      <c r="AB80" s="36"/>
      <c r="AC80" s="36"/>
      <c r="AD80" s="14"/>
    </row>
    <row r="81" ht="24.75" customHeight="1">
      <c r="C81" s="5" t="s">
        <v>181</v>
      </c>
    </row>
    <row r="82" ht="24.75" customHeight="1">
      <c r="D82" s="5" t="s">
        <v>2</v>
      </c>
    </row>
    <row r="83" spans="4:38" ht="24.75" customHeight="1">
      <c r="D83" s="5" t="s">
        <v>3</v>
      </c>
      <c r="S83" s="5" t="s">
        <v>190</v>
      </c>
      <c r="AB83" s="150">
        <v>26.5</v>
      </c>
      <c r="AC83" s="150"/>
      <c r="AD83" s="150"/>
      <c r="AE83" s="5" t="s">
        <v>191</v>
      </c>
      <c r="AK83" s="169">
        <v>2</v>
      </c>
      <c r="AL83" s="5" t="s">
        <v>203</v>
      </c>
    </row>
    <row r="84" spans="5:71" ht="24.75" customHeight="1">
      <c r="E84" s="37" t="str">
        <f>IF(AW84=1,"Ar = ( "&amp;AB83&amp;" + "&amp;ROUND(AB83-(BA84^2/4/BG84),3)&amp;" ) × "&amp;AB131&amp;" = ","Ar = "&amp;AB83&amp;"× "&amp;BR84&amp;"本 ×"&amp;AB131&amp;" = ")</f>
        <v>Ar = 26.5× 1本 ×14 = </v>
      </c>
      <c r="F84" s="34"/>
      <c r="R84" s="128">
        <f>IF(AW84=1,(AB83+(AB83-(BA84^2/4/BG84)))*AB131,AB83*BR84*AB131)</f>
        <v>371</v>
      </c>
      <c r="S84" s="128"/>
      <c r="T84" s="128"/>
      <c r="U84" s="128"/>
      <c r="V84" s="128"/>
      <c r="W84" s="5">
        <f>IF(AW84=1,"∵ w = d - p2/4g = "&amp;AB83&amp;" - "&amp;BA84&amp;"²/ ( 4 × "&amp;BG84&amp;" ) = "&amp;ROUND(AB83-(BA84^2/4/BG84),3)&amp;" mm","")</f>
      </c>
      <c r="Y84" s="38"/>
      <c r="Z84" s="39"/>
      <c r="AA84" s="39"/>
      <c r="AB84" s="39"/>
      <c r="AD84" s="40"/>
      <c r="AE84" s="40"/>
      <c r="AF84" s="40"/>
      <c r="AG84" s="18"/>
      <c r="AI84" s="28"/>
      <c r="AJ84" s="28"/>
      <c r="AL84" s="41"/>
      <c r="AM84" s="41"/>
      <c r="AN84" s="41"/>
      <c r="AP84" s="13"/>
      <c r="AU84" s="5" t="s">
        <v>154</v>
      </c>
      <c r="AW84" s="169">
        <v>0</v>
      </c>
      <c r="AX84" s="5" t="s">
        <v>155</v>
      </c>
      <c r="AY84" s="5" t="s">
        <v>141</v>
      </c>
      <c r="BA84" s="163">
        <v>75</v>
      </c>
      <c r="BB84" s="163"/>
      <c r="BC84" s="163"/>
      <c r="BD84" s="5" t="s">
        <v>155</v>
      </c>
      <c r="BE84" s="5" t="s">
        <v>142</v>
      </c>
      <c r="BG84" s="163">
        <v>0</v>
      </c>
      <c r="BH84" s="163"/>
      <c r="BI84" s="163"/>
      <c r="BJ84" s="5" t="s">
        <v>155</v>
      </c>
      <c r="BK84" s="5" t="s">
        <v>254</v>
      </c>
      <c r="BR84" s="169">
        <v>1</v>
      </c>
      <c r="BS84" s="5" t="s">
        <v>204</v>
      </c>
    </row>
    <row r="85" spans="4:45" ht="24.75" customHeight="1">
      <c r="D85" s="5" t="s">
        <v>182</v>
      </c>
      <c r="I85" s="5" t="str">
        <f>IF(O2&gt;0,"(As＋Ar×"&amp;AK83&amp;")σs＋2 Pfwl","(As＋Ar×"&amp;AK83&amp;")σs＋2 Pfwu")</f>
        <v>(As＋Ar×2)σs＋2 Pfwl</v>
      </c>
      <c r="R85" s="5" t="s">
        <v>89</v>
      </c>
      <c r="S85" s="5" t="s">
        <v>87</v>
      </c>
      <c r="T85" s="42">
        <f>AM72*AM73</f>
        <v>35100</v>
      </c>
      <c r="U85" s="42"/>
      <c r="V85" s="43"/>
      <c r="W85" s="43" t="s">
        <v>143</v>
      </c>
      <c r="X85" s="39">
        <f>R84*AK83</f>
        <v>742</v>
      </c>
      <c r="Y85" s="39"/>
      <c r="Z85" s="39"/>
      <c r="AA85" s="5" t="s">
        <v>144</v>
      </c>
      <c r="AB85" s="14" t="s">
        <v>137</v>
      </c>
      <c r="AC85" s="108">
        <f>P69</f>
        <v>157.5</v>
      </c>
      <c r="AD85" s="108"/>
      <c r="AE85" s="108"/>
      <c r="AF85" s="14" t="s">
        <v>143</v>
      </c>
      <c r="AG85" s="95">
        <f>IF(O2&gt;0,AD185,AD168)</f>
        <v>49101.80113505784</v>
      </c>
      <c r="AH85" s="95"/>
      <c r="AI85" s="95"/>
      <c r="AJ85" s="95"/>
      <c r="AK85" s="14" t="s">
        <v>138</v>
      </c>
      <c r="AL85" s="14"/>
      <c r="AM85" s="5" t="s">
        <v>89</v>
      </c>
      <c r="AN85" s="129">
        <f>(T85+X85)*AC85+AG85*2</f>
        <v>5743318.602270116</v>
      </c>
      <c r="AO85" s="129"/>
      <c r="AP85" s="129"/>
      <c r="AQ85" s="129"/>
      <c r="AR85" s="129"/>
      <c r="AS85" s="129"/>
    </row>
    <row r="86" spans="9:31" ht="24.75" customHeight="1">
      <c r="I86" s="5" t="s">
        <v>200</v>
      </c>
      <c r="V86" s="5" t="str">
        <f>IF(O2&gt;0,"Pfwl","Pfwu")</f>
        <v>Pfwl</v>
      </c>
      <c r="X86" s="14" t="s">
        <v>183</v>
      </c>
      <c r="Y86" s="14"/>
      <c r="AA86" s="6"/>
      <c r="AB86" s="6"/>
      <c r="AC86" s="6"/>
      <c r="AD86" s="6"/>
      <c r="AE86" s="6"/>
    </row>
    <row r="87" spans="4:41" ht="24.75" customHeight="1">
      <c r="D87" s="5" t="s">
        <v>151</v>
      </c>
      <c r="F87" s="14" t="s">
        <v>152</v>
      </c>
      <c r="J87" s="5" t="s">
        <v>89</v>
      </c>
      <c r="K87" s="102">
        <f>AN85</f>
        <v>5743318.602270116</v>
      </c>
      <c r="L87" s="102"/>
      <c r="M87" s="102"/>
      <c r="N87" s="102"/>
      <c r="O87" s="102"/>
      <c r="P87" s="102"/>
      <c r="Q87" s="17" t="s">
        <v>88</v>
      </c>
      <c r="R87" s="89">
        <f>AA8</f>
        <v>96000</v>
      </c>
      <c r="S87" s="89"/>
      <c r="T87" s="89"/>
      <c r="U87" s="89"/>
      <c r="V87" s="8" t="s">
        <v>89</v>
      </c>
      <c r="W87" s="113">
        <f>ROUND(K87/R87,1)</f>
        <v>59.8</v>
      </c>
      <c r="X87" s="113"/>
      <c r="Y87" s="113"/>
      <c r="Z87" s="113"/>
      <c r="AA87" s="92" t="s">
        <v>43</v>
      </c>
      <c r="AB87" s="92"/>
      <c r="AC87" s="6"/>
      <c r="AD87" s="6"/>
      <c r="AE87" s="164">
        <v>83</v>
      </c>
      <c r="AF87" s="164"/>
      <c r="AG87" s="164"/>
      <c r="AH87" s="164"/>
      <c r="AI87" s="92" t="s">
        <v>5</v>
      </c>
      <c r="AJ87" s="92"/>
      <c r="AK87" s="92"/>
      <c r="AL87" s="92"/>
      <c r="AM87" s="92"/>
      <c r="AO87" s="5" t="str">
        <f>IF(W87&lt;=AE87,"O.K.","N.G.")</f>
        <v>O.K.</v>
      </c>
    </row>
    <row r="88" ht="24.75" customHeight="1">
      <c r="C88" s="5" t="s">
        <v>239</v>
      </c>
    </row>
    <row r="89" spans="4:34" ht="24.75" customHeight="1">
      <c r="D89" s="18" t="s">
        <v>194</v>
      </c>
      <c r="E89" s="18"/>
      <c r="F89" s="18"/>
      <c r="G89" s="18"/>
      <c r="H89" s="18"/>
      <c r="I89" s="18"/>
      <c r="J89" s="18"/>
      <c r="P89" s="15"/>
      <c r="Q89" s="102">
        <f>AN85</f>
        <v>5743318.602270116</v>
      </c>
      <c r="R89" s="102"/>
      <c r="S89" s="102"/>
      <c r="T89" s="102"/>
      <c r="U89" s="102"/>
      <c r="V89" s="102"/>
      <c r="W89" s="17" t="s">
        <v>88</v>
      </c>
      <c r="X89" s="108">
        <f>O7</f>
        <v>210</v>
      </c>
      <c r="Y89" s="108"/>
      <c r="Z89" s="108"/>
      <c r="AA89" s="108"/>
      <c r="AB89" s="8" t="s">
        <v>34</v>
      </c>
      <c r="AC89" s="89">
        <f>Q89/X89</f>
        <v>27349.136201286266</v>
      </c>
      <c r="AD89" s="89"/>
      <c r="AE89" s="89"/>
      <c r="AF89" s="89"/>
      <c r="AG89" s="92" t="s">
        <v>101</v>
      </c>
      <c r="AH89" s="92"/>
    </row>
    <row r="90" spans="4:27" ht="24.75" customHeight="1">
      <c r="D90" s="5" t="s">
        <v>240</v>
      </c>
      <c r="I90" s="165">
        <v>2</v>
      </c>
      <c r="J90" s="165"/>
      <c r="K90" s="165"/>
      <c r="L90" s="126">
        <v>80</v>
      </c>
      <c r="M90" s="126"/>
      <c r="N90" s="126"/>
      <c r="O90" s="163">
        <v>9</v>
      </c>
      <c r="P90" s="163"/>
      <c r="Q90" s="127">
        <v>630</v>
      </c>
      <c r="R90" s="127"/>
      <c r="S90" s="127"/>
      <c r="T90" s="127"/>
      <c r="U90" s="5" t="s">
        <v>31</v>
      </c>
      <c r="W90" s="89">
        <f>+L90*O90*I90</f>
        <v>1440</v>
      </c>
      <c r="X90" s="89"/>
      <c r="Y90" s="89"/>
      <c r="Z90" s="89"/>
      <c r="AA90" s="5" t="s">
        <v>101</v>
      </c>
    </row>
    <row r="91" spans="9:27" ht="24.75" customHeight="1">
      <c r="I91" s="165">
        <v>3</v>
      </c>
      <c r="J91" s="165"/>
      <c r="K91" s="165"/>
      <c r="L91" s="126">
        <v>280</v>
      </c>
      <c r="M91" s="126"/>
      <c r="N91" s="126"/>
      <c r="O91" s="163">
        <v>9</v>
      </c>
      <c r="P91" s="163"/>
      <c r="Q91" s="127">
        <f>Q90</f>
        <v>630</v>
      </c>
      <c r="R91" s="127"/>
      <c r="S91" s="127"/>
      <c r="T91" s="127"/>
      <c r="U91" s="5" t="s">
        <v>31</v>
      </c>
      <c r="W91" s="89">
        <f>+L91*O91*I91</f>
        <v>7560</v>
      </c>
      <c r="X91" s="89"/>
      <c r="Y91" s="89"/>
      <c r="Z91" s="89"/>
      <c r="AA91" s="5" t="s">
        <v>101</v>
      </c>
    </row>
    <row r="92" spans="9:28" ht="24.75" customHeight="1">
      <c r="I92" s="165">
        <v>1</v>
      </c>
      <c r="J92" s="165"/>
      <c r="K92" s="165"/>
      <c r="L92" s="126">
        <f>+AM73-10</f>
        <v>2330</v>
      </c>
      <c r="M92" s="126"/>
      <c r="N92" s="126"/>
      <c r="O92" s="163">
        <v>9</v>
      </c>
      <c r="P92" s="163"/>
      <c r="Q92" s="127">
        <f>Q91</f>
        <v>630</v>
      </c>
      <c r="R92" s="127"/>
      <c r="S92" s="127"/>
      <c r="T92" s="127"/>
      <c r="U92" s="19" t="s">
        <v>31</v>
      </c>
      <c r="V92" s="19"/>
      <c r="W92" s="105">
        <f>+L92*O92*I92</f>
        <v>20970</v>
      </c>
      <c r="X92" s="105"/>
      <c r="Y92" s="105"/>
      <c r="Z92" s="105"/>
      <c r="AA92" s="19" t="s">
        <v>101</v>
      </c>
      <c r="AB92" s="19"/>
    </row>
    <row r="93" spans="21:27" ht="24.75" customHeight="1">
      <c r="U93" s="5" t="s">
        <v>32</v>
      </c>
      <c r="W93" s="89">
        <f>+SUM(W90:W92)</f>
        <v>29970</v>
      </c>
      <c r="X93" s="89"/>
      <c r="Y93" s="89"/>
      <c r="Z93" s="89"/>
      <c r="AA93" s="5" t="s">
        <v>101</v>
      </c>
    </row>
    <row r="94" ht="24.75" customHeight="1">
      <c r="D94" s="5" t="s">
        <v>242</v>
      </c>
    </row>
    <row r="95" spans="5:65" ht="24.75" customHeight="1">
      <c r="E95" s="5" t="s">
        <v>156</v>
      </c>
      <c r="H95" s="5" t="s">
        <v>87</v>
      </c>
      <c r="I95" s="124">
        <f>+W93</f>
        <v>29970</v>
      </c>
      <c r="J95" s="124"/>
      <c r="K95" s="124"/>
      <c r="L95" s="5" t="s">
        <v>46</v>
      </c>
      <c r="M95" s="89">
        <f>+(+H8+3)</f>
        <v>25</v>
      </c>
      <c r="N95" s="89"/>
      <c r="O95" s="89"/>
      <c r="P95" s="5" t="s">
        <v>41</v>
      </c>
      <c r="Q95" s="89">
        <f>O91</f>
        <v>9</v>
      </c>
      <c r="R95" s="89"/>
      <c r="S95" s="89"/>
      <c r="T95" s="5" t="s">
        <v>41</v>
      </c>
      <c r="U95" s="125">
        <f>BA95</f>
        <v>14</v>
      </c>
      <c r="V95" s="125"/>
      <c r="W95" s="125"/>
      <c r="X95" s="5" t="s">
        <v>41</v>
      </c>
      <c r="Y95" s="122">
        <v>2</v>
      </c>
      <c r="Z95" s="122"/>
      <c r="AA95" s="122"/>
      <c r="AB95" s="5" t="s">
        <v>140</v>
      </c>
      <c r="AC95" s="80">
        <f>IF(AW84=1,ROUND((AB83+(AB83-(BA84^2/4/BG84)))*AB131,2),ROUND(AB83*BR84*AB131,2))</f>
        <v>371</v>
      </c>
      <c r="AD95" s="80"/>
      <c r="AE95" s="80"/>
      <c r="AF95" s="5" t="s">
        <v>41</v>
      </c>
      <c r="AG95" s="122">
        <f>AK83</f>
        <v>2</v>
      </c>
      <c r="AH95" s="122"/>
      <c r="AI95" s="122"/>
      <c r="AJ95" s="5" t="s">
        <v>139</v>
      </c>
      <c r="AO95" s="5" t="str">
        <f>IF(BA95=BJ95,"","( 第1列 )")</f>
        <v>( 第1列 )</v>
      </c>
      <c r="AU95" s="5" t="s">
        <v>255</v>
      </c>
      <c r="BA95" s="163">
        <v>14</v>
      </c>
      <c r="BB95" s="163"/>
      <c r="BD95" s="5" t="s">
        <v>256</v>
      </c>
      <c r="BJ95" s="163">
        <v>23</v>
      </c>
      <c r="BK95" s="163"/>
      <c r="BM95" s="1"/>
    </row>
    <row r="96" spans="3:24" ht="24.75" customHeight="1">
      <c r="C96" s="44"/>
      <c r="E96" s="44"/>
      <c r="G96" s="5" t="s">
        <v>34</v>
      </c>
      <c r="H96" s="89">
        <f>(I95-M95*Q95*U95*Y95-AC95*AG95)*1.1</f>
        <v>25220.800000000003</v>
      </c>
      <c r="I96" s="89"/>
      <c r="J96" s="89"/>
      <c r="K96" s="89"/>
      <c r="L96" s="5" t="str">
        <f>IF(H96&gt;AC89,"mm²  ＞  Asreq'd =","cm² ＜  Asreq'd =")</f>
        <v>cm² ＜  Asreq'd =</v>
      </c>
      <c r="T96" s="89">
        <f>AC89</f>
        <v>27349.136201286266</v>
      </c>
      <c r="U96" s="89"/>
      <c r="V96" s="89"/>
      <c r="W96" s="89"/>
      <c r="X96" s="5" t="str">
        <f>IF(H96&gt;AC89,"mm²  O.K","mm²  N.G")</f>
        <v>mm²  N.G</v>
      </c>
    </row>
    <row r="97" spans="3:40" ht="24.75" customHeight="1">
      <c r="C97" s="44"/>
      <c r="D97" s="4" t="s">
        <v>243</v>
      </c>
      <c r="E97" s="4"/>
      <c r="F97" s="4"/>
      <c r="G97" s="4"/>
      <c r="H97" s="4"/>
      <c r="I97" s="4"/>
      <c r="J97" s="4"/>
      <c r="K97" s="4"/>
      <c r="P97" s="5" t="s">
        <v>89</v>
      </c>
      <c r="Q97" s="102">
        <f>AN85</f>
        <v>5743318.602270116</v>
      </c>
      <c r="R97" s="102"/>
      <c r="S97" s="102"/>
      <c r="T97" s="102"/>
      <c r="U97" s="102"/>
      <c r="V97" s="102"/>
      <c r="W97" s="17" t="s">
        <v>88</v>
      </c>
      <c r="X97" s="89">
        <f>H96</f>
        <v>25220.800000000003</v>
      </c>
      <c r="Y97" s="89"/>
      <c r="Z97" s="89"/>
      <c r="AA97" s="89"/>
      <c r="AB97" s="8" t="s">
        <v>34</v>
      </c>
      <c r="AC97" s="116">
        <f>Q97/X97</f>
        <v>227.72150773449357</v>
      </c>
      <c r="AD97" s="116"/>
      <c r="AE97" s="116"/>
      <c r="AF97" s="116"/>
      <c r="AG97" s="18" t="str">
        <f>IF(AC97&gt;O7,"N/㎟ ＞  σta ,  N.G","N/㎟ ＜  σta ,  O.K")</f>
        <v>N/㎟ ＞  σta ,  N.G</v>
      </c>
      <c r="AH97" s="18"/>
      <c r="AI97" s="18"/>
      <c r="AJ97" s="18"/>
      <c r="AK97" s="18"/>
      <c r="AL97" s="18"/>
      <c r="AM97" s="18"/>
      <c r="AN97" s="18"/>
    </row>
    <row r="98" spans="5:41" ht="24.75" customHeight="1">
      <c r="E98" s="5" t="s">
        <v>157</v>
      </c>
      <c r="H98" s="5" t="s">
        <v>87</v>
      </c>
      <c r="I98" s="124">
        <f>I95</f>
        <v>29970</v>
      </c>
      <c r="J98" s="124"/>
      <c r="K98" s="124"/>
      <c r="L98" s="5" t="s">
        <v>46</v>
      </c>
      <c r="M98" s="89">
        <f>M95</f>
        <v>25</v>
      </c>
      <c r="N98" s="89"/>
      <c r="O98" s="89"/>
      <c r="P98" s="5" t="s">
        <v>41</v>
      </c>
      <c r="Q98" s="89">
        <f>Q95</f>
        <v>9</v>
      </c>
      <c r="R98" s="89"/>
      <c r="S98" s="89"/>
      <c r="T98" s="5" t="s">
        <v>41</v>
      </c>
      <c r="U98" s="125">
        <f>BJ95</f>
        <v>23</v>
      </c>
      <c r="V98" s="125"/>
      <c r="W98" s="125"/>
      <c r="X98" s="5" t="s">
        <v>41</v>
      </c>
      <c r="Y98" s="122">
        <v>2</v>
      </c>
      <c r="Z98" s="122"/>
      <c r="AA98" s="122"/>
      <c r="AB98" s="5" t="s">
        <v>140</v>
      </c>
      <c r="AC98" s="80">
        <f>AC95</f>
        <v>371</v>
      </c>
      <c r="AD98" s="80"/>
      <c r="AE98" s="80"/>
      <c r="AF98" s="5" t="s">
        <v>41</v>
      </c>
      <c r="AG98" s="122">
        <f>AG95</f>
        <v>2</v>
      </c>
      <c r="AH98" s="122"/>
      <c r="AI98" s="122"/>
      <c r="AJ98" s="5" t="s">
        <v>139</v>
      </c>
      <c r="AO98" s="5" t="str">
        <f>IF(BA95=BJ95,"","( 第2列 )")</f>
        <v>( 第2列 )</v>
      </c>
    </row>
    <row r="99" spans="3:12" ht="24.75" customHeight="1">
      <c r="C99" s="44"/>
      <c r="E99" s="44"/>
      <c r="G99" s="5" t="s">
        <v>34</v>
      </c>
      <c r="H99" s="89">
        <f>(I98-M98*Q98*U98*Y98-AC98*AG98)*1.1</f>
        <v>20765.800000000003</v>
      </c>
      <c r="I99" s="89"/>
      <c r="J99" s="89"/>
      <c r="K99" s="89"/>
      <c r="L99" s="5" t="s">
        <v>101</v>
      </c>
    </row>
    <row r="100" spans="3:17" ht="24.75" customHeight="1">
      <c r="C100" s="44"/>
      <c r="D100" s="4" t="s">
        <v>244</v>
      </c>
      <c r="E100" s="4"/>
      <c r="F100" s="4"/>
      <c r="G100" s="4"/>
      <c r="H100" s="4"/>
      <c r="I100" s="4"/>
      <c r="J100" s="4"/>
      <c r="K100" s="4"/>
      <c r="Q100" s="5" t="str">
        <f>"("&amp;AE87&amp;" - "&amp;U95&amp;") / "&amp;AE87</f>
        <v>(83 - 14) / 83</v>
      </c>
    </row>
    <row r="101" spans="3:40" ht="24.75" customHeight="1">
      <c r="C101" s="44"/>
      <c r="D101" s="37"/>
      <c r="E101" s="37"/>
      <c r="F101" s="37"/>
      <c r="G101" s="37"/>
      <c r="H101" s="37"/>
      <c r="I101" s="37"/>
      <c r="J101" s="37"/>
      <c r="K101" s="5" t="s">
        <v>89</v>
      </c>
      <c r="L101" s="102">
        <f>Q97</f>
        <v>5743318.602270116</v>
      </c>
      <c r="M101" s="102"/>
      <c r="N101" s="102"/>
      <c r="O101" s="102"/>
      <c r="P101" s="102"/>
      <c r="Q101" s="102"/>
      <c r="R101" s="17" t="s">
        <v>88</v>
      </c>
      <c r="S101" s="89">
        <f>H99</f>
        <v>20765.800000000003</v>
      </c>
      <c r="T101" s="89"/>
      <c r="U101" s="89"/>
      <c r="V101" s="89"/>
      <c r="W101" s="5" t="s">
        <v>41</v>
      </c>
      <c r="X101" s="123">
        <f>(AE87-U95)/AE87</f>
        <v>0.8313253012048193</v>
      </c>
      <c r="Y101" s="123"/>
      <c r="Z101" s="123"/>
      <c r="AA101" s="8" t="s">
        <v>34</v>
      </c>
      <c r="AB101" s="116">
        <f>L101/S101*X101</f>
        <v>229.92449445470174</v>
      </c>
      <c r="AC101" s="116"/>
      <c r="AD101" s="116"/>
      <c r="AE101" s="116"/>
      <c r="AF101" s="18" t="str">
        <f>IF(AB101&gt;O7,"N/㎟ ＞  σta ,  N.G","N/㎟ ＜  σta ,  O.K")</f>
        <v>N/㎟ ＞  σta ,  N.G</v>
      </c>
      <c r="AG101" s="18"/>
      <c r="AH101" s="18"/>
      <c r="AI101" s="18"/>
      <c r="AJ101" s="18"/>
      <c r="AK101" s="18"/>
      <c r="AL101" s="18"/>
      <c r="AM101" s="18"/>
      <c r="AN101" s="36"/>
    </row>
    <row r="102" spans="3:17" ht="24.75" customHeight="1">
      <c r="C102" s="44"/>
      <c r="D102" s="37"/>
      <c r="E102" s="37"/>
      <c r="F102" s="37"/>
      <c r="G102" s="37"/>
      <c r="H102" s="37"/>
      <c r="I102" s="37"/>
      <c r="J102" s="37"/>
      <c r="L102" s="6"/>
      <c r="M102" s="6"/>
      <c r="N102" s="6"/>
      <c r="O102" s="6"/>
      <c r="P102" s="6"/>
      <c r="Q102" s="17"/>
    </row>
    <row r="103" ht="24.75" customHeight="1">
      <c r="C103" s="5" t="s">
        <v>192</v>
      </c>
    </row>
    <row r="104" ht="24.75" customHeight="1">
      <c r="C104" s="5" t="s">
        <v>193</v>
      </c>
    </row>
    <row r="105" spans="4:37" ht="24.75" customHeight="1">
      <c r="D105" s="4" t="s">
        <v>153</v>
      </c>
      <c r="E105" s="21"/>
      <c r="F105" s="21"/>
      <c r="G105" s="13"/>
      <c r="H105" s="13"/>
      <c r="I105" s="8"/>
      <c r="J105" s="120">
        <f>AN85</f>
        <v>5743318.602270116</v>
      </c>
      <c r="K105" s="120"/>
      <c r="L105" s="120"/>
      <c r="M105" s="120"/>
      <c r="N105" s="120"/>
      <c r="O105" s="120"/>
      <c r="P105" s="46" t="s">
        <v>88</v>
      </c>
      <c r="Q105" s="121">
        <f>AE87</f>
        <v>83</v>
      </c>
      <c r="R105" s="121"/>
      <c r="S105" s="121"/>
      <c r="T105" s="121"/>
      <c r="V105" s="8" t="s">
        <v>34</v>
      </c>
      <c r="W105" s="100">
        <f>J105/Q105</f>
        <v>69196.60966590501</v>
      </c>
      <c r="X105" s="100"/>
      <c r="Y105" s="100"/>
      <c r="Z105" s="100"/>
      <c r="AA105" s="18" t="s">
        <v>202</v>
      </c>
      <c r="AB105" s="8"/>
      <c r="AC105" s="8"/>
      <c r="AD105" s="18" t="str">
        <f>IF(W105&gt;AA8," ＞  ρa    N.G","＜ ρa    O.K")</f>
        <v>＜ ρa    O.K</v>
      </c>
      <c r="AE105" s="8"/>
      <c r="AF105" s="8"/>
      <c r="AG105" s="8"/>
      <c r="AH105" s="8"/>
      <c r="AI105" s="8"/>
      <c r="AJ105" s="8"/>
      <c r="AK105" s="8"/>
    </row>
    <row r="106" spans="4:37" ht="24.75" customHeight="1">
      <c r="D106" s="4"/>
      <c r="E106" s="21"/>
      <c r="F106" s="21"/>
      <c r="G106" s="13"/>
      <c r="H106" s="13"/>
      <c r="I106" s="8"/>
      <c r="J106" s="45"/>
      <c r="K106" s="45"/>
      <c r="L106" s="45"/>
      <c r="M106" s="45"/>
      <c r="N106" s="45"/>
      <c r="O106" s="46"/>
      <c r="P106" s="35"/>
      <c r="Q106" s="35"/>
      <c r="R106" s="35"/>
      <c r="S106" s="35"/>
      <c r="U106" s="8"/>
      <c r="V106" s="22"/>
      <c r="W106" s="22"/>
      <c r="X106" s="22"/>
      <c r="Y106" s="22"/>
      <c r="Z106" s="18"/>
      <c r="AA106" s="8"/>
      <c r="AB106" s="8"/>
      <c r="AC106" s="18"/>
      <c r="AD106" s="8"/>
      <c r="AE106" s="8"/>
      <c r="AF106" s="8"/>
      <c r="AG106" s="8"/>
      <c r="AH106" s="8"/>
      <c r="AI106" s="8"/>
      <c r="AJ106" s="8"/>
      <c r="AK106" s="8"/>
    </row>
    <row r="107" spans="3:38" ht="24.75" customHeight="1">
      <c r="C107" s="5" t="s">
        <v>206</v>
      </c>
      <c r="D107" s="21"/>
      <c r="E107" s="21"/>
      <c r="F107" s="21"/>
      <c r="G107" s="8"/>
      <c r="H107" s="8"/>
      <c r="I107" s="8"/>
      <c r="U107" s="8"/>
      <c r="V107" s="22"/>
      <c r="W107" s="22"/>
      <c r="X107" s="22"/>
      <c r="Y107" s="22"/>
      <c r="Z107" s="22"/>
      <c r="AA107" s="8"/>
      <c r="AB107" s="8"/>
      <c r="AC107" s="8"/>
      <c r="AD107" s="8"/>
      <c r="AE107" s="8"/>
      <c r="AF107" s="8"/>
      <c r="AG107" s="8"/>
      <c r="AH107" s="8"/>
      <c r="AI107" s="8"/>
      <c r="AJ107" s="8"/>
      <c r="AK107" s="8"/>
      <c r="AL107" s="8"/>
    </row>
    <row r="108" spans="4:47" ht="24.75" customHeight="1">
      <c r="D108" s="5" t="s">
        <v>205</v>
      </c>
      <c r="AU108" s="23"/>
    </row>
    <row r="109" spans="5:47" ht="24.75" customHeight="1">
      <c r="E109" s="5" t="s">
        <v>211</v>
      </c>
      <c r="AU109" s="23"/>
    </row>
    <row r="110" ht="24.75" customHeight="1">
      <c r="D110" s="5" t="s">
        <v>7</v>
      </c>
    </row>
    <row r="111" spans="3:36" ht="24.75" customHeight="1">
      <c r="C111" s="106" t="s">
        <v>49</v>
      </c>
      <c r="D111" s="106"/>
      <c r="E111" s="106"/>
      <c r="G111" s="105">
        <f>O4</f>
        <v>236.19187506</v>
      </c>
      <c r="H111" s="105"/>
      <c r="I111" s="105"/>
      <c r="J111" s="19" t="s">
        <v>41</v>
      </c>
      <c r="K111" s="97">
        <v>1000000</v>
      </c>
      <c r="L111" s="97"/>
      <c r="M111" s="97"/>
      <c r="N111" s="97"/>
      <c r="P111" s="106" t="s">
        <v>47</v>
      </c>
      <c r="Q111" s="106"/>
      <c r="R111" s="122">
        <f>Q105</f>
        <v>83</v>
      </c>
      <c r="S111" s="122"/>
      <c r="T111" s="122"/>
      <c r="U111" s="92" t="s">
        <v>34</v>
      </c>
      <c r="V111" s="92"/>
      <c r="W111" s="102">
        <f>ROUND((G111*K111/(I112*K112))/R111,1)</f>
        <v>646.7</v>
      </c>
      <c r="X111" s="102"/>
      <c r="Y111" s="102"/>
      <c r="Z111" s="102"/>
      <c r="AA111" s="92" t="str">
        <f>IF(W111&gt;AA8,"N/本   ＞ ρa   N.G.","N/本  ＜  ρa   O.K.")</f>
        <v>N/本  ＜  ρa   O.K.</v>
      </c>
      <c r="AB111" s="92"/>
      <c r="AC111" s="92"/>
      <c r="AD111" s="92"/>
      <c r="AE111" s="92"/>
      <c r="AF111" s="92"/>
      <c r="AG111" s="92"/>
      <c r="AH111" s="92"/>
      <c r="AI111" s="92"/>
      <c r="AJ111" s="92"/>
    </row>
    <row r="112" spans="3:36" ht="24.75" customHeight="1">
      <c r="C112" s="106"/>
      <c r="D112" s="106"/>
      <c r="E112" s="106"/>
      <c r="I112" s="8">
        <v>2</v>
      </c>
      <c r="J112" s="14" t="s">
        <v>41</v>
      </c>
      <c r="K112" s="24">
        <f>AM145</f>
        <v>2200</v>
      </c>
      <c r="L112" s="25"/>
      <c r="M112" s="25"/>
      <c r="P112" s="106"/>
      <c r="Q112" s="106"/>
      <c r="R112" s="122"/>
      <c r="S112" s="122"/>
      <c r="T112" s="122"/>
      <c r="U112" s="92"/>
      <c r="V112" s="92"/>
      <c r="W112" s="102"/>
      <c r="X112" s="102"/>
      <c r="Y112" s="102"/>
      <c r="Z112" s="102"/>
      <c r="AA112" s="92"/>
      <c r="AB112" s="92"/>
      <c r="AC112" s="92"/>
      <c r="AD112" s="92"/>
      <c r="AE112" s="92"/>
      <c r="AF112" s="92"/>
      <c r="AG112" s="92"/>
      <c r="AH112" s="92"/>
      <c r="AI112" s="92"/>
      <c r="AJ112" s="92"/>
    </row>
    <row r="114" spans="3:9" ht="24.75" customHeight="1">
      <c r="C114" s="5" t="s">
        <v>212</v>
      </c>
      <c r="I114" s="23"/>
    </row>
    <row r="115" spans="4:31" ht="24.75" customHeight="1">
      <c r="D115" s="5" t="s">
        <v>50</v>
      </c>
      <c r="P115" s="119">
        <f>W105</f>
        <v>69196.60966590501</v>
      </c>
      <c r="Q115" s="119"/>
      <c r="R115" s="119"/>
      <c r="S115" s="119"/>
      <c r="T115" s="5" t="s">
        <v>48</v>
      </c>
      <c r="U115" s="104">
        <f>+W111</f>
        <v>646.7</v>
      </c>
      <c r="V115" s="104"/>
      <c r="W115" s="104"/>
      <c r="X115" s="104"/>
      <c r="Y115" s="5" t="s">
        <v>33</v>
      </c>
      <c r="AA115" s="100">
        <f>ROUND(SQRT(P115^2+U115^2),1)</f>
        <v>69199.6</v>
      </c>
      <c r="AB115" s="100"/>
      <c r="AC115" s="100"/>
      <c r="AD115" s="100"/>
      <c r="AE115" s="5" t="str">
        <f>IF(AA115&gt;$AA$8,"N/本  ＞  ρa ,  N.G","N/本  ＜  ρa ,  O.K")</f>
        <v>N/本  ＜  ρa ,  O.K</v>
      </c>
    </row>
    <row r="117" spans="3:29" ht="24.75" customHeight="1">
      <c r="C117" s="5" t="s">
        <v>195</v>
      </c>
      <c r="Z117" s="6"/>
      <c r="AA117" s="6"/>
      <c r="AB117" s="6"/>
      <c r="AC117" s="6"/>
    </row>
    <row r="118" spans="4:40" ht="24.75" customHeight="1">
      <c r="D118" s="5" t="s">
        <v>196</v>
      </c>
      <c r="L118" s="5" t="s">
        <v>158</v>
      </c>
      <c r="O118" s="5" t="s">
        <v>87</v>
      </c>
      <c r="P118" s="92">
        <f>AM73</f>
        <v>2340</v>
      </c>
      <c r="Q118" s="92"/>
      <c r="R118" s="92"/>
      <c r="S118" s="8" t="s">
        <v>140</v>
      </c>
      <c r="T118" s="89">
        <f>H8+3</f>
        <v>25</v>
      </c>
      <c r="U118" s="89"/>
      <c r="V118" s="89"/>
      <c r="W118" s="5" t="s">
        <v>137</v>
      </c>
      <c r="X118" s="90">
        <f>U95</f>
        <v>14</v>
      </c>
      <c r="Y118" s="90"/>
      <c r="Z118" s="5" t="s">
        <v>144</v>
      </c>
      <c r="AA118" s="5" t="s">
        <v>41</v>
      </c>
      <c r="AB118" s="90">
        <f>AM72</f>
        <v>15</v>
      </c>
      <c r="AC118" s="90"/>
      <c r="AD118" s="5" t="s">
        <v>41</v>
      </c>
      <c r="AE118" s="92">
        <v>1.1</v>
      </c>
      <c r="AF118" s="92"/>
      <c r="AG118" s="5" t="s">
        <v>89</v>
      </c>
      <c r="AH118" s="102">
        <f>(P118-T118*X118)*AB118*AE118</f>
        <v>32835</v>
      </c>
      <c r="AI118" s="102"/>
      <c r="AJ118" s="102"/>
      <c r="AK118" s="102"/>
      <c r="AL118" s="5" t="s">
        <v>101</v>
      </c>
      <c r="AN118" s="5" t="str">
        <f>IF(BA95=BJ95,"","( 第1列 )")</f>
        <v>( 第1列 )</v>
      </c>
    </row>
    <row r="119" spans="12:40" ht="24.75" customHeight="1">
      <c r="L119" s="5" t="s">
        <v>159</v>
      </c>
      <c r="O119" s="5" t="s">
        <v>87</v>
      </c>
      <c r="P119" s="92">
        <f>P118</f>
        <v>2340</v>
      </c>
      <c r="Q119" s="92"/>
      <c r="R119" s="92"/>
      <c r="S119" s="8" t="s">
        <v>140</v>
      </c>
      <c r="T119" s="89">
        <f>T118</f>
        <v>25</v>
      </c>
      <c r="U119" s="89"/>
      <c r="V119" s="89"/>
      <c r="W119" s="5" t="s">
        <v>41</v>
      </c>
      <c r="X119" s="90">
        <f>U98</f>
        <v>23</v>
      </c>
      <c r="Y119" s="90"/>
      <c r="Z119" s="5" t="s">
        <v>144</v>
      </c>
      <c r="AA119" s="5" t="s">
        <v>41</v>
      </c>
      <c r="AB119" s="90">
        <f>AB118</f>
        <v>15</v>
      </c>
      <c r="AC119" s="90"/>
      <c r="AD119" s="5" t="s">
        <v>41</v>
      </c>
      <c r="AE119" s="92">
        <v>1.1</v>
      </c>
      <c r="AF119" s="92"/>
      <c r="AG119" s="5" t="s">
        <v>89</v>
      </c>
      <c r="AH119" s="102">
        <f>(P119-T119*X119)*AB119*AE119</f>
        <v>29122.500000000004</v>
      </c>
      <c r="AI119" s="102"/>
      <c r="AJ119" s="102"/>
      <c r="AK119" s="102"/>
      <c r="AL119" s="5" t="s">
        <v>101</v>
      </c>
      <c r="AN119" s="5" t="str">
        <f>IF(BA95=BJ95,"","( 第2列 )")</f>
        <v>( 第2列 )</v>
      </c>
    </row>
    <row r="120" spans="4:38" ht="24.75" customHeight="1">
      <c r="D120" s="5" t="s">
        <v>198</v>
      </c>
      <c r="L120" s="5" t="s">
        <v>160</v>
      </c>
      <c r="O120" s="5" t="s">
        <v>87</v>
      </c>
      <c r="P120" s="92">
        <f>AB130</f>
        <v>150</v>
      </c>
      <c r="Q120" s="92"/>
      <c r="R120" s="92"/>
      <c r="S120" s="5" t="s">
        <v>41</v>
      </c>
      <c r="T120" s="90">
        <f>AB131</f>
        <v>14</v>
      </c>
      <c r="U120" s="90"/>
      <c r="V120" s="5" t="s">
        <v>140</v>
      </c>
      <c r="W120" s="112">
        <f>R84</f>
        <v>371</v>
      </c>
      <c r="X120" s="112"/>
      <c r="Y120" s="112"/>
      <c r="Z120" s="5" t="s">
        <v>144</v>
      </c>
      <c r="AA120" s="5" t="s">
        <v>41</v>
      </c>
      <c r="AB120" s="90">
        <f>AK83</f>
        <v>2</v>
      </c>
      <c r="AC120" s="90"/>
      <c r="AD120" s="5" t="s">
        <v>41</v>
      </c>
      <c r="AE120" s="92">
        <v>1.1</v>
      </c>
      <c r="AF120" s="92"/>
      <c r="AG120" s="5" t="s">
        <v>89</v>
      </c>
      <c r="AH120" s="102">
        <f>(P120*T120-W120)*AB120*AE120</f>
        <v>3803.8</v>
      </c>
      <c r="AI120" s="102"/>
      <c r="AJ120" s="102"/>
      <c r="AK120" s="102"/>
      <c r="AL120" s="5" t="s">
        <v>101</v>
      </c>
    </row>
    <row r="121" spans="4:43" ht="24.75" customHeight="1">
      <c r="D121" s="19" t="s">
        <v>21</v>
      </c>
      <c r="E121" s="19"/>
      <c r="F121" s="19"/>
      <c r="G121" s="19"/>
      <c r="H121" s="19"/>
      <c r="I121" s="19"/>
      <c r="J121" s="19"/>
      <c r="K121" s="19"/>
      <c r="L121" s="19" t="s">
        <v>161</v>
      </c>
      <c r="M121" s="19"/>
      <c r="N121" s="19"/>
      <c r="O121" s="19" t="s">
        <v>87</v>
      </c>
      <c r="P121" s="97">
        <f>L161/2</f>
        <v>13.13846339</v>
      </c>
      <c r="Q121" s="97"/>
      <c r="R121" s="97"/>
      <c r="S121" s="19" t="s">
        <v>41</v>
      </c>
      <c r="T121" s="117">
        <f>AM146</f>
        <v>12</v>
      </c>
      <c r="U121" s="117"/>
      <c r="V121" s="19" t="s">
        <v>144</v>
      </c>
      <c r="W121" s="19" t="s">
        <v>41</v>
      </c>
      <c r="X121" s="19">
        <v>2</v>
      </c>
      <c r="Y121" s="19"/>
      <c r="Z121" s="48"/>
      <c r="AA121" s="48"/>
      <c r="AB121" s="48"/>
      <c r="AC121" s="48"/>
      <c r="AD121" s="19"/>
      <c r="AE121" s="19"/>
      <c r="AF121" s="19"/>
      <c r="AG121" s="19" t="s">
        <v>89</v>
      </c>
      <c r="AH121" s="118">
        <f>P121*T121*X121</f>
        <v>315.32312136</v>
      </c>
      <c r="AI121" s="118"/>
      <c r="AJ121" s="118"/>
      <c r="AK121" s="118"/>
      <c r="AL121" s="19" t="s">
        <v>101</v>
      </c>
      <c r="AM121" s="19"/>
      <c r="AN121" s="19"/>
      <c r="AO121" s="19"/>
      <c r="AP121" s="19"/>
      <c r="AQ121" s="19"/>
    </row>
    <row r="122" spans="20:40" ht="24.75" customHeight="1">
      <c r="T122" s="28"/>
      <c r="U122" s="28"/>
      <c r="AE122" s="5" t="s">
        <v>162</v>
      </c>
      <c r="AH122" s="102">
        <f>AH118+AH120+AH121</f>
        <v>36954.123121360004</v>
      </c>
      <c r="AI122" s="102"/>
      <c r="AJ122" s="102"/>
      <c r="AK122" s="102"/>
      <c r="AL122" s="5" t="s">
        <v>101</v>
      </c>
      <c r="AN122" s="5" t="str">
        <f>IF(BA95=BJ95,"","( 第1列 )")</f>
        <v>( 第1列 )</v>
      </c>
    </row>
    <row r="123" spans="14:40" ht="24.75" customHeight="1">
      <c r="N123" s="6"/>
      <c r="O123" s="6"/>
      <c r="P123" s="6"/>
      <c r="Q123" s="6"/>
      <c r="T123" s="28"/>
      <c r="U123" s="28"/>
      <c r="Z123" s="6"/>
      <c r="AA123" s="6"/>
      <c r="AB123" s="6"/>
      <c r="AC123" s="6"/>
      <c r="AE123" s="5" t="s">
        <v>163</v>
      </c>
      <c r="AH123" s="102">
        <f>AH119+AH120+AH121</f>
        <v>33241.623121360004</v>
      </c>
      <c r="AI123" s="102"/>
      <c r="AJ123" s="102"/>
      <c r="AK123" s="102"/>
      <c r="AL123" s="5" t="s">
        <v>101</v>
      </c>
      <c r="AN123" s="5" t="str">
        <f>IF(BA95=BJ95,"","( 第2列 )")</f>
        <v>( 第2列 )</v>
      </c>
    </row>
    <row r="124" spans="4:39" ht="24.75" customHeight="1">
      <c r="D124" s="5" t="s">
        <v>199</v>
      </c>
      <c r="J124" s="5" t="s">
        <v>164</v>
      </c>
      <c r="M124" s="49" t="s">
        <v>165</v>
      </c>
      <c r="N124" s="6"/>
      <c r="O124" s="6"/>
      <c r="P124" s="6"/>
      <c r="S124" s="102">
        <f>AN85</f>
        <v>5743318.602270116</v>
      </c>
      <c r="T124" s="102"/>
      <c r="U124" s="102"/>
      <c r="V124" s="102"/>
      <c r="W124" s="102"/>
      <c r="X124" s="102"/>
      <c r="Y124" s="17" t="s">
        <v>88</v>
      </c>
      <c r="Z124" s="102">
        <f>AH122</f>
        <v>36954.123121360004</v>
      </c>
      <c r="AA124" s="102"/>
      <c r="AB124" s="102"/>
      <c r="AC124" s="102"/>
      <c r="AD124" s="6" t="s">
        <v>89</v>
      </c>
      <c r="AE124" s="116">
        <f>S124/Z124</f>
        <v>155.417531716519</v>
      </c>
      <c r="AF124" s="116"/>
      <c r="AG124" s="116"/>
      <c r="AH124" s="116"/>
      <c r="AI124" s="5" t="s">
        <v>145</v>
      </c>
      <c r="AM124" s="5" t="str">
        <f>IF(AE124&gt;O7,"＞  σta ,  N.G","＜  σta ,  O.K")</f>
        <v>＜  σta ,  O.K</v>
      </c>
    </row>
    <row r="125" spans="10:26" ht="24.75" customHeight="1">
      <c r="J125" s="5" t="s">
        <v>166</v>
      </c>
      <c r="M125" s="39" t="s">
        <v>167</v>
      </c>
      <c r="N125" s="25"/>
      <c r="O125" s="25"/>
      <c r="P125" s="50"/>
      <c r="Q125" s="25"/>
      <c r="R125" s="14" t="s">
        <v>41</v>
      </c>
      <c r="S125" s="49" t="str">
        <f>"("&amp;AE87&amp;" - "&amp;U95&amp;") / "&amp;AE87</f>
        <v>(83 - 14) / 83</v>
      </c>
      <c r="Y125" s="28"/>
      <c r="Z125" s="6"/>
    </row>
    <row r="126" spans="11:36" ht="24.75" customHeight="1">
      <c r="K126" s="38" t="s">
        <v>89</v>
      </c>
      <c r="L126" s="102">
        <f>S124</f>
        <v>5743318.602270116</v>
      </c>
      <c r="M126" s="102"/>
      <c r="N126" s="102"/>
      <c r="O126" s="102"/>
      <c r="P126" s="102"/>
      <c r="Q126" s="102"/>
      <c r="R126" s="17" t="s">
        <v>88</v>
      </c>
      <c r="S126" s="102">
        <f>AH123</f>
        <v>33241.623121360004</v>
      </c>
      <c r="T126" s="102"/>
      <c r="U126" s="102"/>
      <c r="V126" s="102"/>
      <c r="W126" s="5" t="s">
        <v>41</v>
      </c>
      <c r="X126" s="51">
        <f>(AE87-U95)/AE87</f>
        <v>0.8313253012048193</v>
      </c>
      <c r="Y126" s="51"/>
      <c r="Z126" s="51"/>
      <c r="AA126" s="6" t="s">
        <v>89</v>
      </c>
      <c r="AB126" s="116">
        <f>X126*L126/S126</f>
        <v>143.6321580783299</v>
      </c>
      <c r="AC126" s="116"/>
      <c r="AD126" s="116"/>
      <c r="AE126" s="116"/>
      <c r="AF126" s="5" t="s">
        <v>145</v>
      </c>
      <c r="AJ126" s="5" t="str">
        <f>IF(AB126&gt;O7,"＞  σta ,  N.G","＜  σta ,  O.K")</f>
        <v>＜  σta ,  O.K</v>
      </c>
    </row>
    <row r="127" spans="2:11" ht="24.75" customHeight="1">
      <c r="B127" s="5" t="s">
        <v>197</v>
      </c>
      <c r="H127" s="27"/>
      <c r="K127" s="9"/>
    </row>
    <row r="128" spans="7:9" ht="24.75" customHeight="1">
      <c r="G128" s="27"/>
      <c r="I128" s="27"/>
    </row>
    <row r="129" spans="5:17" ht="24.75" customHeight="1">
      <c r="E129" s="166"/>
      <c r="F129" s="166"/>
      <c r="G129" s="166"/>
      <c r="K129" s="29"/>
      <c r="L129" s="29"/>
      <c r="M129" s="29"/>
      <c r="N129" s="166"/>
      <c r="Q129" s="30"/>
    </row>
    <row r="130" spans="17:31" ht="24.75" customHeight="1">
      <c r="Q130" s="30"/>
      <c r="U130" s="31"/>
      <c r="V130" s="31"/>
      <c r="X130" s="5" t="s">
        <v>185</v>
      </c>
      <c r="AB130" s="163">
        <v>150</v>
      </c>
      <c r="AC130" s="163"/>
      <c r="AD130" s="163"/>
      <c r="AE130" s="5" t="s">
        <v>84</v>
      </c>
    </row>
    <row r="131" spans="17:31" ht="24.75" customHeight="1">
      <c r="Q131" s="30"/>
      <c r="R131" s="30"/>
      <c r="S131" s="32"/>
      <c r="T131" s="32"/>
      <c r="U131" s="167"/>
      <c r="V131" s="33"/>
      <c r="X131" s="5" t="s">
        <v>186</v>
      </c>
      <c r="AB131" s="163">
        <v>14</v>
      </c>
      <c r="AC131" s="163"/>
      <c r="AD131" s="163"/>
      <c r="AE131" s="5" t="s">
        <v>84</v>
      </c>
    </row>
    <row r="132" spans="1:3" ht="24.75" customHeight="1">
      <c r="A132" s="53"/>
      <c r="B132" s="53"/>
      <c r="C132" s="53"/>
    </row>
    <row r="134" ht="24.75" customHeight="1">
      <c r="C134" s="5" t="s">
        <v>181</v>
      </c>
    </row>
    <row r="135" spans="4:42" ht="24.75" customHeight="1">
      <c r="D135" s="52" t="s">
        <v>16</v>
      </c>
      <c r="E135" s="53"/>
      <c r="F135" s="53"/>
      <c r="G135" s="53"/>
      <c r="H135" s="53"/>
      <c r="I135" s="53"/>
      <c r="J135" s="53"/>
      <c r="K135" s="53"/>
      <c r="M135" s="52" t="s">
        <v>146</v>
      </c>
      <c r="N135" s="53"/>
      <c r="O135" s="95">
        <f>+AB131</f>
        <v>14</v>
      </c>
      <c r="P135" s="95"/>
      <c r="Q135" s="14" t="s">
        <v>41</v>
      </c>
      <c r="R135" s="114">
        <f>+AB130</f>
        <v>150</v>
      </c>
      <c r="S135" s="114"/>
      <c r="T135" s="114"/>
      <c r="U135" s="14" t="s">
        <v>140</v>
      </c>
      <c r="V135" s="115">
        <f>R84</f>
        <v>371</v>
      </c>
      <c r="W135" s="115"/>
      <c r="X135" s="115"/>
      <c r="Y135" s="115"/>
      <c r="Z135" s="5" t="s">
        <v>89</v>
      </c>
      <c r="AA135" s="39">
        <f>O135*R135-V135</f>
        <v>1729</v>
      </c>
      <c r="AB135" s="39"/>
      <c r="AC135" s="39"/>
      <c r="AD135" s="39"/>
      <c r="AE135" s="18" t="s">
        <v>101</v>
      </c>
      <c r="AO135" s="8"/>
      <c r="AP135" s="8"/>
    </row>
    <row r="136" spans="4:51" ht="24.75" customHeight="1">
      <c r="D136" s="5" t="str">
        <f>IF(O2&gt;0,"n = An σl / ρa","n = An σu / ρa")</f>
        <v>n = An σl / ρa</v>
      </c>
      <c r="G136" s="27"/>
      <c r="I136" s="27"/>
      <c r="K136" s="9" t="s">
        <v>89</v>
      </c>
      <c r="L136" s="39">
        <f>AA135</f>
        <v>1729</v>
      </c>
      <c r="M136" s="39"/>
      <c r="N136" s="39"/>
      <c r="O136" s="39"/>
      <c r="P136" s="14" t="s">
        <v>41</v>
      </c>
      <c r="Q136" s="108">
        <f>AE124</f>
        <v>155.417531716519</v>
      </c>
      <c r="R136" s="108"/>
      <c r="S136" s="108"/>
      <c r="T136" s="108"/>
      <c r="U136" s="17" t="s">
        <v>88</v>
      </c>
      <c r="V136" s="89">
        <f>R87</f>
        <v>96000</v>
      </c>
      <c r="W136" s="89"/>
      <c r="X136" s="89"/>
      <c r="Y136" s="89"/>
      <c r="AA136" s="8" t="s">
        <v>89</v>
      </c>
      <c r="AB136" s="113">
        <f>ROUND(L136*Q136/V136,1)</f>
        <v>2.8</v>
      </c>
      <c r="AC136" s="113"/>
      <c r="AD136" s="113"/>
      <c r="AE136" s="113"/>
      <c r="AF136" s="92" t="s">
        <v>43</v>
      </c>
      <c r="AG136" s="92"/>
      <c r="AH136" s="92"/>
      <c r="AI136" s="164">
        <v>5</v>
      </c>
      <c r="AJ136" s="164"/>
      <c r="AK136" s="164"/>
      <c r="AL136" s="170"/>
      <c r="AM136" s="8" t="s">
        <v>4</v>
      </c>
      <c r="AN136" s="8"/>
      <c r="AO136" s="8"/>
      <c r="AP136" s="5" t="str">
        <f>IF(AB136&lt;=AI136,"O.K.","N.G.")</f>
        <v>O.K.</v>
      </c>
      <c r="AW136" s="8"/>
      <c r="AY136" s="18"/>
    </row>
    <row r="137" ht="24.75" customHeight="1">
      <c r="C137" s="5" t="s">
        <v>239</v>
      </c>
    </row>
    <row r="138" spans="4:37" ht="24.75" customHeight="1">
      <c r="D138" s="92" t="s">
        <v>188</v>
      </c>
      <c r="E138" s="92"/>
      <c r="F138" s="92"/>
      <c r="G138" s="92"/>
      <c r="H138" s="92"/>
      <c r="I138" s="92"/>
      <c r="J138" s="92"/>
      <c r="K138" s="5" t="str">
        <f>IF(O2&gt;0,"An σl / σta","n = An σu / σta")</f>
        <v>An σl / σta</v>
      </c>
      <c r="Q138" s="5" t="s">
        <v>89</v>
      </c>
      <c r="R138" s="39">
        <f>AA135</f>
        <v>1729</v>
      </c>
      <c r="S138" s="39"/>
      <c r="T138" s="39"/>
      <c r="U138" s="39"/>
      <c r="V138" s="14" t="s">
        <v>41</v>
      </c>
      <c r="W138" s="108">
        <f>Q136</f>
        <v>155.417531716519</v>
      </c>
      <c r="X138" s="108"/>
      <c r="Y138" s="108"/>
      <c r="Z138" s="108"/>
      <c r="AA138" s="17" t="s">
        <v>88</v>
      </c>
      <c r="AB138" s="89">
        <f>O7</f>
        <v>210</v>
      </c>
      <c r="AC138" s="89"/>
      <c r="AD138" s="89"/>
      <c r="AE138" s="89"/>
      <c r="AF138" s="5" t="s">
        <v>89</v>
      </c>
      <c r="AG138" s="89">
        <f>R138*W138/AB138</f>
        <v>1279.6043444660063</v>
      </c>
      <c r="AH138" s="89"/>
      <c r="AI138" s="89"/>
      <c r="AJ138" s="89"/>
      <c r="AK138" s="5" t="s">
        <v>101</v>
      </c>
    </row>
    <row r="139" spans="4:54" ht="24.75" customHeight="1">
      <c r="D139" s="5" t="s">
        <v>240</v>
      </c>
      <c r="I139" s="165">
        <v>2</v>
      </c>
      <c r="J139" s="165"/>
      <c r="K139" s="165"/>
      <c r="L139" s="126">
        <v>80</v>
      </c>
      <c r="M139" s="126"/>
      <c r="N139" s="126"/>
      <c r="O139" s="92">
        <v>9</v>
      </c>
      <c r="P139" s="92"/>
      <c r="Q139" s="127">
        <v>780</v>
      </c>
      <c r="R139" s="127"/>
      <c r="S139" s="127"/>
      <c r="T139" s="127"/>
      <c r="U139" s="5" t="s">
        <v>31</v>
      </c>
      <c r="W139" s="89">
        <f>+L139*O139*I139</f>
        <v>1440</v>
      </c>
      <c r="X139" s="89"/>
      <c r="Y139" s="89"/>
      <c r="Z139" s="89"/>
      <c r="AA139" s="5" t="s">
        <v>101</v>
      </c>
      <c r="AD139" s="5" t="str">
        <f>IF(W139&gt;=AG138,"O.K.","N.G.")</f>
        <v>O.K.</v>
      </c>
      <c r="AX139" s="23"/>
      <c r="AZ139" s="23"/>
      <c r="BB139" s="23"/>
    </row>
    <row r="140" spans="46:54" ht="24.75" customHeight="1">
      <c r="AT140" s="4"/>
      <c r="BB140" s="8"/>
    </row>
    <row r="141" spans="2:14" ht="24.75" customHeight="1">
      <c r="B141" s="5" t="s">
        <v>17</v>
      </c>
      <c r="K141" s="7"/>
      <c r="M141" s="9"/>
      <c r="N141" s="4"/>
    </row>
    <row r="142" spans="3:9" ht="24.75" customHeight="1">
      <c r="C142" s="4" t="s">
        <v>6</v>
      </c>
      <c r="I142" s="23"/>
    </row>
    <row r="143" spans="3:9" ht="24.75" customHeight="1">
      <c r="C143" s="18" t="s">
        <v>8</v>
      </c>
      <c r="I143" s="23"/>
    </row>
    <row r="145" spans="8:42" ht="24.75" customHeight="1">
      <c r="H145" s="25"/>
      <c r="P145" s="33"/>
      <c r="V145" s="54"/>
      <c r="W145" s="54"/>
      <c r="X145" s="54"/>
      <c r="Y145" s="54"/>
      <c r="Z145" s="54"/>
      <c r="AA145" s="54"/>
      <c r="AB145" s="54"/>
      <c r="AC145" s="54"/>
      <c r="AD145" s="54"/>
      <c r="AE145" s="54"/>
      <c r="AF145" s="5" t="s">
        <v>22</v>
      </c>
      <c r="AM145" s="171">
        <v>2200</v>
      </c>
      <c r="AN145" s="171"/>
      <c r="AO145" s="171"/>
      <c r="AP145" s="171"/>
    </row>
    <row r="146" spans="8:42" ht="24.75" customHeight="1">
      <c r="H146" s="25"/>
      <c r="L146" s="25"/>
      <c r="P146" s="172"/>
      <c r="Q146" s="173"/>
      <c r="V146" s="54"/>
      <c r="W146" s="54"/>
      <c r="X146" s="54"/>
      <c r="Y146" s="54"/>
      <c r="Z146" s="54"/>
      <c r="AA146" s="54"/>
      <c r="AB146" s="54"/>
      <c r="AC146" s="54"/>
      <c r="AD146" s="54"/>
      <c r="AE146" s="54"/>
      <c r="AF146" s="5" t="s">
        <v>23</v>
      </c>
      <c r="AM146" s="171">
        <v>12</v>
      </c>
      <c r="AN146" s="171"/>
      <c r="AO146" s="171"/>
      <c r="AP146" s="171"/>
    </row>
    <row r="147" spans="16:32" ht="24.75" customHeight="1">
      <c r="P147" s="33"/>
      <c r="V147" s="54"/>
      <c r="W147" s="54"/>
      <c r="X147" s="54"/>
      <c r="Y147" s="54"/>
      <c r="Z147" s="54"/>
      <c r="AA147" s="54"/>
      <c r="AB147" s="54"/>
      <c r="AC147" s="54"/>
      <c r="AD147" s="54"/>
      <c r="AE147" s="54"/>
      <c r="AF147" s="54"/>
    </row>
    <row r="148" spans="22:32" ht="24.75" customHeight="1">
      <c r="V148" s="54"/>
      <c r="W148" s="54"/>
      <c r="X148" s="54"/>
      <c r="Y148" s="54"/>
      <c r="Z148" s="54"/>
      <c r="AA148" s="54"/>
      <c r="AB148" s="54"/>
      <c r="AC148" s="54"/>
      <c r="AD148" s="54"/>
      <c r="AE148" s="54"/>
      <c r="AF148" s="54"/>
    </row>
    <row r="149" spans="16:25" ht="24.75" customHeight="1">
      <c r="P149" s="54"/>
      <c r="R149" s="25"/>
      <c r="Y149" s="25"/>
    </row>
    <row r="150" spans="9:46" ht="24.75" customHeight="1">
      <c r="I150" s="44"/>
      <c r="P150" s="54"/>
      <c r="R150" s="54"/>
      <c r="AT150" s="188"/>
    </row>
    <row r="151" spans="9:18" ht="24.75" customHeight="1">
      <c r="I151" s="44"/>
      <c r="P151" s="54"/>
      <c r="R151" s="54"/>
    </row>
    <row r="152" spans="9:32" ht="24.75" customHeight="1">
      <c r="I152" s="44"/>
      <c r="P152" s="54"/>
      <c r="W152" s="23"/>
      <c r="AF152" s="54"/>
    </row>
    <row r="153" spans="9:32" ht="24.75" customHeight="1">
      <c r="I153" s="44"/>
      <c r="W153" s="23"/>
      <c r="X153" s="31"/>
      <c r="Y153" s="31"/>
      <c r="Z153" s="31"/>
      <c r="AA153" s="31"/>
      <c r="AB153" s="31"/>
      <c r="AC153" s="31"/>
      <c r="AF153" s="54"/>
    </row>
    <row r="154" spans="16:29" ht="24.75" customHeight="1">
      <c r="P154" s="33"/>
      <c r="W154" s="23"/>
      <c r="X154" s="31"/>
      <c r="Y154" s="31"/>
      <c r="AC154" s="23"/>
    </row>
    <row r="155" spans="16:29" ht="24.75" customHeight="1">
      <c r="P155" s="172"/>
      <c r="Q155" s="173"/>
      <c r="W155" s="23"/>
      <c r="X155" s="31"/>
      <c r="Y155" s="31"/>
      <c r="AC155" s="23"/>
    </row>
    <row r="156" spans="16:29" ht="24.75" customHeight="1">
      <c r="P156" s="33"/>
      <c r="T156" s="31"/>
      <c r="U156" s="31"/>
      <c r="Y156" s="23"/>
      <c r="Z156" s="31"/>
      <c r="AA156" s="31"/>
      <c r="AB156" s="31"/>
      <c r="AC156" s="31"/>
    </row>
    <row r="157" spans="8:23" ht="24.75" customHeight="1">
      <c r="H157" s="25"/>
      <c r="L157" s="25"/>
      <c r="W157" s="23"/>
    </row>
    <row r="158" spans="4:23" ht="24.75" customHeight="1">
      <c r="D158" s="17" t="s">
        <v>227</v>
      </c>
      <c r="W158" s="23"/>
    </row>
    <row r="159" spans="4:24" ht="24.75" customHeight="1">
      <c r="D159" s="5" t="s">
        <v>24</v>
      </c>
      <c r="I159" s="53"/>
      <c r="J159" s="53"/>
      <c r="K159" s="53"/>
      <c r="L159" s="53"/>
      <c r="S159" s="112">
        <f>(P13/(P13+P69)*AM145)/COS(RADIANS(AG4))</f>
        <v>1043.1657068801499</v>
      </c>
      <c r="T159" s="112"/>
      <c r="U159" s="112"/>
      <c r="V159" s="5" t="s">
        <v>84</v>
      </c>
      <c r="X159" s="5" t="str">
        <f>IF(AG4=0,"","( 傾斜長さ )")</f>
        <v>( 傾斜長さ )</v>
      </c>
    </row>
    <row r="160" spans="4:20" ht="24.75" customHeight="1">
      <c r="D160" s="111" t="s">
        <v>168</v>
      </c>
      <c r="E160" s="111"/>
      <c r="F160" s="111"/>
      <c r="G160" s="55">
        <f>IF(O2&gt;0,P13,P69)</f>
        <v>141.39999999975</v>
      </c>
      <c r="H160" s="56"/>
      <c r="I160" s="56"/>
      <c r="J160" s="56"/>
      <c r="K160" s="10" t="s">
        <v>218</v>
      </c>
      <c r="L160" s="10"/>
      <c r="P160" s="10"/>
      <c r="Q160" s="55"/>
      <c r="R160" s="56"/>
      <c r="S160" s="56"/>
      <c r="T160" s="56"/>
    </row>
    <row r="161" spans="4:24" ht="24.75" customHeight="1">
      <c r="D161" s="111" t="s">
        <v>117</v>
      </c>
      <c r="E161" s="111"/>
      <c r="F161" s="111"/>
      <c r="G161" s="111" t="s">
        <v>219</v>
      </c>
      <c r="H161" s="111"/>
      <c r="I161" s="111"/>
      <c r="J161" s="111"/>
      <c r="K161" s="111"/>
      <c r="L161" s="175">
        <v>26.27692678</v>
      </c>
      <c r="M161" s="175"/>
      <c r="N161" s="91"/>
      <c r="O161" s="58" t="s">
        <v>35</v>
      </c>
      <c r="P161" s="58"/>
      <c r="Q161" s="10" t="s">
        <v>34</v>
      </c>
      <c r="R161" s="55">
        <f>ROUND(G160*(S159-L161)/S159,3)</f>
        <v>137.838</v>
      </c>
      <c r="S161" s="56"/>
      <c r="T161" s="56"/>
      <c r="U161" s="56"/>
      <c r="V161" s="57"/>
      <c r="W161" s="10" t="s">
        <v>218</v>
      </c>
      <c r="X161" s="10"/>
    </row>
    <row r="162" spans="4:31" ht="24.75" customHeight="1">
      <c r="D162" s="111" t="s">
        <v>118</v>
      </c>
      <c r="E162" s="111"/>
      <c r="F162" s="111"/>
      <c r="G162" s="111" t="s">
        <v>219</v>
      </c>
      <c r="H162" s="111"/>
      <c r="I162" s="111"/>
      <c r="J162" s="111"/>
      <c r="K162" s="111"/>
      <c r="L162" s="175">
        <v>126.27692678</v>
      </c>
      <c r="M162" s="175"/>
      <c r="N162" s="91"/>
      <c r="O162" s="58" t="s">
        <v>35</v>
      </c>
      <c r="P162" s="58"/>
      <c r="Q162" s="10" t="s">
        <v>34</v>
      </c>
      <c r="R162" s="55">
        <f>ROUND(G160*(S159-L162)/S159,3)</f>
        <v>124.283</v>
      </c>
      <c r="S162" s="56"/>
      <c r="T162" s="56"/>
      <c r="U162" s="56"/>
      <c r="V162" s="57"/>
      <c r="W162" s="10" t="s">
        <v>218</v>
      </c>
      <c r="X162" s="10"/>
      <c r="Y162" s="10"/>
      <c r="Z162" s="55"/>
      <c r="AA162" s="56"/>
      <c r="AB162" s="56"/>
      <c r="AC162" s="56"/>
      <c r="AD162" s="57"/>
      <c r="AE162" s="10"/>
    </row>
    <row r="163" spans="4:31" ht="24.75" customHeight="1">
      <c r="D163" s="111" t="s">
        <v>119</v>
      </c>
      <c r="E163" s="111"/>
      <c r="F163" s="111"/>
      <c r="G163" s="111" t="s">
        <v>219</v>
      </c>
      <c r="H163" s="111"/>
      <c r="I163" s="111"/>
      <c r="J163" s="111"/>
      <c r="K163" s="111"/>
      <c r="L163" s="175">
        <v>226.27692678</v>
      </c>
      <c r="M163" s="175"/>
      <c r="N163" s="91"/>
      <c r="O163" s="58" t="s">
        <v>35</v>
      </c>
      <c r="P163" s="58"/>
      <c r="Q163" s="10" t="s">
        <v>34</v>
      </c>
      <c r="R163" s="55">
        <f>ROUND(G160*(S159-L163)/S159,3)</f>
        <v>110.728</v>
      </c>
      <c r="S163" s="56"/>
      <c r="T163" s="56"/>
      <c r="U163" s="56"/>
      <c r="V163" s="57"/>
      <c r="W163" s="10" t="s">
        <v>218</v>
      </c>
      <c r="X163" s="10"/>
      <c r="Y163" s="10"/>
      <c r="Z163" s="55"/>
      <c r="AA163" s="56"/>
      <c r="AB163" s="56"/>
      <c r="AC163" s="56"/>
      <c r="AD163" s="57"/>
      <c r="AE163" s="10"/>
    </row>
    <row r="164" spans="4:31" ht="24.75" customHeight="1">
      <c r="D164" s="111" t="s">
        <v>120</v>
      </c>
      <c r="E164" s="111"/>
      <c r="F164" s="111"/>
      <c r="G164" s="111" t="s">
        <v>219</v>
      </c>
      <c r="H164" s="111"/>
      <c r="I164" s="111"/>
      <c r="J164" s="111"/>
      <c r="K164" s="111"/>
      <c r="L164" s="175">
        <v>326.27692678</v>
      </c>
      <c r="M164" s="175"/>
      <c r="N164" s="91"/>
      <c r="O164" s="58" t="s">
        <v>35</v>
      </c>
      <c r="P164" s="58"/>
      <c r="Q164" s="10" t="s">
        <v>34</v>
      </c>
      <c r="R164" s="55">
        <f>ROUND(G160*(S159-L164)/S159,3)</f>
        <v>97.174</v>
      </c>
      <c r="S164" s="56"/>
      <c r="T164" s="56"/>
      <c r="U164" s="56"/>
      <c r="V164" s="57"/>
      <c r="W164" s="10" t="s">
        <v>218</v>
      </c>
      <c r="X164" s="10"/>
      <c r="Y164" s="10"/>
      <c r="Z164" s="55"/>
      <c r="AA164" s="56"/>
      <c r="AB164" s="56"/>
      <c r="AC164" s="56"/>
      <c r="AD164" s="57"/>
      <c r="AE164" s="10"/>
    </row>
    <row r="165" spans="4:31" ht="24.75" customHeight="1">
      <c r="D165" s="111" t="s">
        <v>121</v>
      </c>
      <c r="E165" s="111"/>
      <c r="F165" s="111"/>
      <c r="G165" s="111" t="s">
        <v>219</v>
      </c>
      <c r="H165" s="111"/>
      <c r="I165" s="111"/>
      <c r="J165" s="111"/>
      <c r="K165" s="111"/>
      <c r="L165" s="175">
        <v>426.27692678</v>
      </c>
      <c r="M165" s="175"/>
      <c r="N165" s="91"/>
      <c r="O165" s="58" t="s">
        <v>35</v>
      </c>
      <c r="P165" s="58"/>
      <c r="Q165" s="10" t="s">
        <v>34</v>
      </c>
      <c r="R165" s="55">
        <f>ROUND(G160*(S159-L165)/S159,3)</f>
        <v>83.619</v>
      </c>
      <c r="S165" s="56"/>
      <c r="T165" s="56"/>
      <c r="U165" s="56"/>
      <c r="V165" s="57"/>
      <c r="W165" s="10" t="s">
        <v>218</v>
      </c>
      <c r="X165" s="10"/>
      <c r="Y165" s="10"/>
      <c r="Z165" s="55"/>
      <c r="AA165" s="56"/>
      <c r="AB165" s="56"/>
      <c r="AC165" s="56"/>
      <c r="AD165" s="57"/>
      <c r="AE165" s="10"/>
    </row>
    <row r="166" spans="4:31" ht="24.75" customHeight="1">
      <c r="D166" s="111" t="s">
        <v>122</v>
      </c>
      <c r="E166" s="111"/>
      <c r="F166" s="111"/>
      <c r="G166" s="111" t="s">
        <v>219</v>
      </c>
      <c r="H166" s="111"/>
      <c r="I166" s="111"/>
      <c r="J166" s="111"/>
      <c r="K166" s="111"/>
      <c r="L166" s="175">
        <v>526.27692678</v>
      </c>
      <c r="M166" s="175"/>
      <c r="N166" s="91"/>
      <c r="O166" s="58" t="s">
        <v>35</v>
      </c>
      <c r="P166" s="58"/>
      <c r="Q166" s="10" t="s">
        <v>34</v>
      </c>
      <c r="R166" s="55">
        <f>ROUND(G160*(S159-L166)/S159,3)</f>
        <v>70.064</v>
      </c>
      <c r="S166" s="56"/>
      <c r="T166" s="56"/>
      <c r="U166" s="56"/>
      <c r="V166" s="57"/>
      <c r="W166" s="10" t="s">
        <v>218</v>
      </c>
      <c r="X166" s="10"/>
      <c r="Y166" s="10"/>
      <c r="Z166" s="55"/>
      <c r="AA166" s="56"/>
      <c r="AB166" s="56"/>
      <c r="AC166" s="56"/>
      <c r="AD166" s="57"/>
      <c r="AE166" s="10"/>
    </row>
    <row r="167" spans="4:25" ht="24.75" customHeight="1">
      <c r="D167" s="47"/>
      <c r="E167" s="47"/>
      <c r="F167" s="47"/>
      <c r="G167" s="47"/>
      <c r="H167" s="47"/>
      <c r="I167" s="47"/>
      <c r="J167" s="47"/>
      <c r="K167" s="47"/>
      <c r="L167" s="56"/>
      <c r="M167" s="56"/>
      <c r="N167" s="47"/>
      <c r="O167" s="47"/>
      <c r="P167" s="47"/>
      <c r="Q167" s="10"/>
      <c r="R167" s="55"/>
      <c r="S167" s="56"/>
      <c r="T167" s="56"/>
      <c r="U167" s="56"/>
      <c r="V167" s="57"/>
      <c r="W167" s="10"/>
      <c r="X167" s="10"/>
      <c r="Y167" s="10"/>
    </row>
    <row r="168" spans="4:36" ht="24.75" customHeight="1">
      <c r="D168" s="110" t="s">
        <v>169</v>
      </c>
      <c r="E168" s="110"/>
      <c r="F168" s="110"/>
      <c r="G168" s="110"/>
      <c r="H168" s="59" t="s">
        <v>87</v>
      </c>
      <c r="I168" s="107">
        <f>G160</f>
        <v>141.39999999975</v>
      </c>
      <c r="J168" s="107"/>
      <c r="K168" s="107"/>
      <c r="L168" s="107"/>
      <c r="M168" s="14" t="s">
        <v>48</v>
      </c>
      <c r="N168" s="107">
        <f aca="true" t="shared" si="0" ref="N168:N173">R161</f>
        <v>137.838</v>
      </c>
      <c r="O168" s="107"/>
      <c r="P168" s="107"/>
      <c r="Q168" s="107"/>
      <c r="R168" s="60" t="s">
        <v>170</v>
      </c>
      <c r="S168" s="56"/>
      <c r="T168" s="56"/>
      <c r="U168" s="56"/>
      <c r="V168" s="108">
        <f>L161</f>
        <v>26.27692678</v>
      </c>
      <c r="W168" s="108"/>
      <c r="X168" s="108"/>
      <c r="Y168" s="14" t="s">
        <v>137</v>
      </c>
      <c r="Z168" s="108">
        <f>AM146</f>
        <v>12</v>
      </c>
      <c r="AA168" s="108"/>
      <c r="AB168" s="108"/>
      <c r="AC168" s="5" t="s">
        <v>89</v>
      </c>
      <c r="AD168" s="109">
        <f>(I168+N168)/2*V168*Z168</f>
        <v>44025.09888112242</v>
      </c>
      <c r="AE168" s="109"/>
      <c r="AF168" s="109"/>
      <c r="AG168" s="109"/>
      <c r="AH168" s="109"/>
      <c r="AI168" s="5" t="s">
        <v>113</v>
      </c>
      <c r="AJ168" s="5" t="s">
        <v>18</v>
      </c>
    </row>
    <row r="169" spans="4:46" ht="24.75" customHeight="1">
      <c r="D169" s="92" t="s">
        <v>228</v>
      </c>
      <c r="E169" s="92"/>
      <c r="F169" s="92"/>
      <c r="G169" s="92"/>
      <c r="H169" s="14" t="s">
        <v>87</v>
      </c>
      <c r="I169" s="107">
        <f>R161</f>
        <v>137.838</v>
      </c>
      <c r="J169" s="107"/>
      <c r="K169" s="107"/>
      <c r="L169" s="107"/>
      <c r="M169" s="14" t="s">
        <v>48</v>
      </c>
      <c r="N169" s="107">
        <f t="shared" si="0"/>
        <v>124.283</v>
      </c>
      <c r="O169" s="107"/>
      <c r="P169" s="107"/>
      <c r="Q169" s="107"/>
      <c r="R169" s="61" t="s">
        <v>171</v>
      </c>
      <c r="S169" s="36"/>
      <c r="T169" s="8">
        <v>2</v>
      </c>
      <c r="U169" s="62" t="s">
        <v>137</v>
      </c>
      <c r="V169" s="63">
        <f>L162-L161</f>
        <v>100</v>
      </c>
      <c r="W169" s="63"/>
      <c r="X169" s="63"/>
      <c r="Y169" s="64" t="s">
        <v>137</v>
      </c>
      <c r="Z169" s="24">
        <f>Z168</f>
        <v>12</v>
      </c>
      <c r="AA169" s="25"/>
      <c r="AB169" s="24"/>
      <c r="AC169" s="65" t="s">
        <v>47</v>
      </c>
      <c r="AD169" s="66">
        <v>2</v>
      </c>
      <c r="AE169" s="66"/>
      <c r="AF169" s="66"/>
      <c r="AG169" s="8" t="s">
        <v>34</v>
      </c>
      <c r="AH169" s="63">
        <f>ROUND(+(I169+N169)/T169*V169*Z169/AD169,1)</f>
        <v>78636.3</v>
      </c>
      <c r="AI169" s="63"/>
      <c r="AJ169" s="63"/>
      <c r="AK169" s="63"/>
      <c r="AL169" s="92" t="str">
        <f>IF(AH169&gt;+V136,"N/本  ＞  ρa   N.G.","N/本  ＜  ρa   O.K.")</f>
        <v>N/本  ＜  ρa   O.K.</v>
      </c>
      <c r="AM169" s="92"/>
      <c r="AN169" s="92"/>
      <c r="AO169" s="92"/>
      <c r="AP169" s="92"/>
      <c r="AQ169" s="92"/>
      <c r="AR169" s="92"/>
      <c r="AS169" s="92"/>
      <c r="AT169" s="92"/>
    </row>
    <row r="170" spans="4:46" ht="24.75" customHeight="1">
      <c r="D170" s="92" t="s">
        <v>250</v>
      </c>
      <c r="E170" s="92"/>
      <c r="F170" s="92"/>
      <c r="G170" s="92"/>
      <c r="H170" s="14" t="s">
        <v>87</v>
      </c>
      <c r="I170" s="107">
        <f>N169</f>
        <v>124.283</v>
      </c>
      <c r="J170" s="107"/>
      <c r="K170" s="107"/>
      <c r="L170" s="107"/>
      <c r="M170" s="14" t="s">
        <v>48</v>
      </c>
      <c r="N170" s="107">
        <f t="shared" si="0"/>
        <v>110.728</v>
      </c>
      <c r="O170" s="107"/>
      <c r="P170" s="107"/>
      <c r="Q170" s="107"/>
      <c r="R170" s="61" t="s">
        <v>171</v>
      </c>
      <c r="S170" s="36"/>
      <c r="T170" s="8">
        <v>2</v>
      </c>
      <c r="U170" s="62" t="s">
        <v>137</v>
      </c>
      <c r="V170" s="63">
        <f>(L163-L162)</f>
        <v>100</v>
      </c>
      <c r="W170" s="67"/>
      <c r="X170" s="24"/>
      <c r="Y170" s="64" t="s">
        <v>137</v>
      </c>
      <c r="Z170" s="24">
        <f>Z168</f>
        <v>12</v>
      </c>
      <c r="AA170" s="24"/>
      <c r="AB170" s="24"/>
      <c r="AC170" s="65" t="s">
        <v>47</v>
      </c>
      <c r="AD170" s="66">
        <v>2</v>
      </c>
      <c r="AE170" s="66"/>
      <c r="AF170" s="66"/>
      <c r="AG170" s="8" t="s">
        <v>34</v>
      </c>
      <c r="AH170" s="63">
        <f>ROUND(+(I170+N170)/T170*V170*Z170/AD170,1)</f>
        <v>70503.3</v>
      </c>
      <c r="AI170" s="63"/>
      <c r="AJ170" s="63"/>
      <c r="AK170" s="63"/>
      <c r="AL170" s="92" t="str">
        <f>IF(AH170&gt;+V136,"N/本  ＞  ρa   N.G.","N/本  ＜  ρa   O.K.")</f>
        <v>N/本  ＜  ρa   O.K.</v>
      </c>
      <c r="AM170" s="92"/>
      <c r="AN170" s="92"/>
      <c r="AO170" s="92"/>
      <c r="AP170" s="92"/>
      <c r="AQ170" s="92"/>
      <c r="AR170" s="92"/>
      <c r="AS170" s="92"/>
      <c r="AT170" s="92"/>
    </row>
    <row r="171" spans="4:46" ht="24.75" customHeight="1">
      <c r="D171" s="92" t="s">
        <v>251</v>
      </c>
      <c r="E171" s="92"/>
      <c r="F171" s="92"/>
      <c r="G171" s="92"/>
      <c r="H171" s="14" t="s">
        <v>87</v>
      </c>
      <c r="I171" s="107">
        <f>N170</f>
        <v>110.728</v>
      </c>
      <c r="J171" s="107"/>
      <c r="K171" s="107"/>
      <c r="L171" s="107"/>
      <c r="M171" s="14" t="s">
        <v>48</v>
      </c>
      <c r="N171" s="107">
        <f t="shared" si="0"/>
        <v>97.174</v>
      </c>
      <c r="O171" s="107"/>
      <c r="P171" s="107"/>
      <c r="Q171" s="107"/>
      <c r="R171" s="61" t="s">
        <v>171</v>
      </c>
      <c r="S171" s="36"/>
      <c r="T171" s="8">
        <v>2</v>
      </c>
      <c r="U171" s="62" t="s">
        <v>137</v>
      </c>
      <c r="V171" s="63">
        <f>(L164-L163)</f>
        <v>100</v>
      </c>
      <c r="W171" s="67"/>
      <c r="X171" s="24"/>
      <c r="Y171" s="64" t="s">
        <v>137</v>
      </c>
      <c r="Z171" s="24">
        <f>Z168</f>
        <v>12</v>
      </c>
      <c r="AA171" s="24"/>
      <c r="AB171" s="24"/>
      <c r="AC171" s="65" t="s">
        <v>47</v>
      </c>
      <c r="AD171" s="66">
        <v>2</v>
      </c>
      <c r="AE171" s="66"/>
      <c r="AF171" s="66"/>
      <c r="AG171" s="8" t="s">
        <v>34</v>
      </c>
      <c r="AH171" s="63">
        <f>ROUND(+(I171+N171)/T171*V171*Z171/AD171,1)</f>
        <v>62370.6</v>
      </c>
      <c r="AI171" s="63"/>
      <c r="AJ171" s="63"/>
      <c r="AK171" s="63"/>
      <c r="AL171" s="92" t="str">
        <f>IF(AH171&gt;+V136,"N/本  ＞  ρa   N.G.","N/本  ＜  ρa   O.K.")</f>
        <v>N/本  ＜  ρa   O.K.</v>
      </c>
      <c r="AM171" s="92"/>
      <c r="AN171" s="92"/>
      <c r="AO171" s="92"/>
      <c r="AP171" s="92"/>
      <c r="AQ171" s="92"/>
      <c r="AR171" s="92"/>
      <c r="AS171" s="92"/>
      <c r="AT171" s="92"/>
    </row>
    <row r="172" spans="4:46" ht="24.75" customHeight="1">
      <c r="D172" s="92" t="s">
        <v>252</v>
      </c>
      <c r="E172" s="92"/>
      <c r="F172" s="92"/>
      <c r="G172" s="92"/>
      <c r="H172" s="14" t="s">
        <v>87</v>
      </c>
      <c r="I172" s="107">
        <f>N171</f>
        <v>97.174</v>
      </c>
      <c r="J172" s="107"/>
      <c r="K172" s="107"/>
      <c r="L172" s="107"/>
      <c r="M172" s="14" t="s">
        <v>48</v>
      </c>
      <c r="N172" s="107">
        <f t="shared" si="0"/>
        <v>83.619</v>
      </c>
      <c r="O172" s="107"/>
      <c r="P172" s="107"/>
      <c r="Q172" s="107"/>
      <c r="R172" s="61" t="s">
        <v>171</v>
      </c>
      <c r="S172" s="36"/>
      <c r="T172" s="8">
        <v>2</v>
      </c>
      <c r="U172" s="62" t="s">
        <v>137</v>
      </c>
      <c r="V172" s="63">
        <f>(L165-L164)</f>
        <v>100</v>
      </c>
      <c r="W172" s="67"/>
      <c r="X172" s="24"/>
      <c r="Y172" s="64" t="s">
        <v>137</v>
      </c>
      <c r="Z172" s="24">
        <f>Z168</f>
        <v>12</v>
      </c>
      <c r="AA172" s="24"/>
      <c r="AB172" s="24"/>
      <c r="AC172" s="65" t="s">
        <v>47</v>
      </c>
      <c r="AD172" s="66">
        <v>2</v>
      </c>
      <c r="AE172" s="66"/>
      <c r="AF172" s="66"/>
      <c r="AG172" s="8" t="s">
        <v>34</v>
      </c>
      <c r="AH172" s="63">
        <f>ROUND(+(I172+N172)/T172*V172*Z172/AD172,1)</f>
        <v>54237.9</v>
      </c>
      <c r="AI172" s="63"/>
      <c r="AJ172" s="63"/>
      <c r="AK172" s="63"/>
      <c r="AL172" s="92" t="str">
        <f>IF(AH172&gt;+V136,"N/本  ＞  ρa   N.G.","N/本  ＜  ρa   O.K.")</f>
        <v>N/本  ＜  ρa   O.K.</v>
      </c>
      <c r="AM172" s="92"/>
      <c r="AN172" s="92"/>
      <c r="AO172" s="92"/>
      <c r="AP172" s="92"/>
      <c r="AQ172" s="92"/>
      <c r="AR172" s="92"/>
      <c r="AS172" s="92"/>
      <c r="AT172" s="92"/>
    </row>
    <row r="173" spans="4:46" ht="24.75" customHeight="1">
      <c r="D173" s="92" t="s">
        <v>253</v>
      </c>
      <c r="E173" s="92"/>
      <c r="F173" s="92"/>
      <c r="G173" s="92"/>
      <c r="H173" s="14" t="s">
        <v>87</v>
      </c>
      <c r="I173" s="107">
        <f>N172</f>
        <v>83.619</v>
      </c>
      <c r="J173" s="107"/>
      <c r="K173" s="107"/>
      <c r="L173" s="107"/>
      <c r="M173" s="14" t="s">
        <v>48</v>
      </c>
      <c r="N173" s="107">
        <f t="shared" si="0"/>
        <v>70.064</v>
      </c>
      <c r="O173" s="107"/>
      <c r="P173" s="107"/>
      <c r="Q173" s="107"/>
      <c r="R173" s="61" t="s">
        <v>171</v>
      </c>
      <c r="S173" s="36"/>
      <c r="T173" s="8">
        <v>2</v>
      </c>
      <c r="U173" s="62" t="s">
        <v>137</v>
      </c>
      <c r="V173" s="63">
        <f>(L166-L165)</f>
        <v>100.00000000000006</v>
      </c>
      <c r="W173" s="67"/>
      <c r="X173" s="24"/>
      <c r="Y173" s="64" t="s">
        <v>137</v>
      </c>
      <c r="Z173" s="24">
        <f>Z168</f>
        <v>12</v>
      </c>
      <c r="AA173" s="24"/>
      <c r="AB173" s="24"/>
      <c r="AC173" s="65" t="s">
        <v>47</v>
      </c>
      <c r="AD173" s="66">
        <v>2</v>
      </c>
      <c r="AE173" s="66"/>
      <c r="AF173" s="66"/>
      <c r="AG173" s="8" t="s">
        <v>34</v>
      </c>
      <c r="AH173" s="63">
        <f>ROUND(+(I173+N173)/T173*V173*Z173/AD173,1)</f>
        <v>46104.9</v>
      </c>
      <c r="AI173" s="63"/>
      <c r="AJ173" s="63"/>
      <c r="AK173" s="63"/>
      <c r="AL173" s="92" t="str">
        <f>IF(AH173&gt;+V136,"N/本  ＞  ρa   N.G.","N/本  ＜  ρa   O.K.")</f>
        <v>N/本  ＜  ρa   O.K.</v>
      </c>
      <c r="AM173" s="92"/>
      <c r="AN173" s="92"/>
      <c r="AO173" s="92"/>
      <c r="AP173" s="92"/>
      <c r="AQ173" s="92"/>
      <c r="AR173" s="92"/>
      <c r="AS173" s="92"/>
      <c r="AT173" s="92"/>
    </row>
    <row r="174" spans="4:25" ht="24.75" customHeight="1">
      <c r="D174" s="47"/>
      <c r="E174" s="47"/>
      <c r="F174" s="47"/>
      <c r="G174" s="47"/>
      <c r="H174" s="47"/>
      <c r="I174" s="47"/>
      <c r="J174" s="47"/>
      <c r="K174" s="47"/>
      <c r="L174" s="56"/>
      <c r="M174" s="56"/>
      <c r="N174" s="47"/>
      <c r="O174" s="47"/>
      <c r="P174" s="47"/>
      <c r="Q174" s="10"/>
      <c r="R174" s="55"/>
      <c r="S174" s="56"/>
      <c r="T174" s="56"/>
      <c r="U174" s="56"/>
      <c r="V174" s="57"/>
      <c r="W174" s="10"/>
      <c r="X174" s="10"/>
      <c r="Y174" s="10"/>
    </row>
    <row r="175" spans="4:23" ht="24.75" customHeight="1">
      <c r="D175" s="17" t="s">
        <v>229</v>
      </c>
      <c r="W175" s="23"/>
    </row>
    <row r="176" spans="4:24" ht="24.75" customHeight="1">
      <c r="D176" s="5" t="s">
        <v>19</v>
      </c>
      <c r="I176" s="53"/>
      <c r="J176" s="53"/>
      <c r="K176" s="53"/>
      <c r="L176" s="53"/>
      <c r="S176" s="112">
        <f>(P69/(P13+P69)*AM145)/COS(RADIANS(AG4))</f>
        <v>1161.942000239845</v>
      </c>
      <c r="T176" s="112"/>
      <c r="U176" s="112"/>
      <c r="V176" s="5" t="s">
        <v>84</v>
      </c>
      <c r="X176" s="5" t="str">
        <f>IF(AG4=0,"","( 傾斜長さ )")</f>
        <v>( 傾斜長さ )</v>
      </c>
    </row>
    <row r="177" spans="4:22" ht="24.75" customHeight="1">
      <c r="D177" s="111" t="s">
        <v>172</v>
      </c>
      <c r="E177" s="111"/>
      <c r="F177" s="111"/>
      <c r="G177" s="55">
        <f>IF(O2&gt;0,P69,P13)</f>
        <v>157.5</v>
      </c>
      <c r="H177" s="56"/>
      <c r="I177" s="56"/>
      <c r="J177" s="56"/>
      <c r="K177" s="10" t="s">
        <v>218</v>
      </c>
      <c r="L177" s="10"/>
      <c r="P177" s="10"/>
      <c r="Q177" s="55"/>
      <c r="R177" s="56"/>
      <c r="S177" s="56"/>
      <c r="T177" s="56"/>
      <c r="U177" s="57"/>
      <c r="V177" s="10"/>
    </row>
    <row r="178" spans="4:24" ht="24.75" customHeight="1">
      <c r="D178" s="111" t="s">
        <v>117</v>
      </c>
      <c r="E178" s="111"/>
      <c r="F178" s="111"/>
      <c r="G178" s="111" t="s">
        <v>219</v>
      </c>
      <c r="H178" s="111"/>
      <c r="I178" s="111"/>
      <c r="J178" s="111"/>
      <c r="K178" s="111"/>
      <c r="L178" s="91">
        <f aca="true" t="shared" si="1" ref="L178:L183">L161</f>
        <v>26.27692678</v>
      </c>
      <c r="M178" s="91"/>
      <c r="N178" s="91"/>
      <c r="O178" s="58" t="s">
        <v>35</v>
      </c>
      <c r="P178" s="58"/>
      <c r="Q178" s="10" t="s">
        <v>34</v>
      </c>
      <c r="R178" s="55">
        <f>ROUND(G177*(S176-L178)/S176,3)</f>
        <v>153.938</v>
      </c>
      <c r="S178" s="56"/>
      <c r="T178" s="56"/>
      <c r="U178" s="56"/>
      <c r="V178" s="57"/>
      <c r="W178" s="10" t="s">
        <v>218</v>
      </c>
      <c r="X178" s="10"/>
    </row>
    <row r="179" spans="4:31" ht="24.75" customHeight="1">
      <c r="D179" s="111" t="s">
        <v>118</v>
      </c>
      <c r="E179" s="111"/>
      <c r="F179" s="111"/>
      <c r="G179" s="111" t="s">
        <v>219</v>
      </c>
      <c r="H179" s="111"/>
      <c r="I179" s="111"/>
      <c r="J179" s="111"/>
      <c r="K179" s="111"/>
      <c r="L179" s="91">
        <f t="shared" si="1"/>
        <v>126.27692678</v>
      </c>
      <c r="M179" s="91"/>
      <c r="N179" s="91"/>
      <c r="O179" s="58" t="s">
        <v>35</v>
      </c>
      <c r="P179" s="58"/>
      <c r="Q179" s="10" t="s">
        <v>34</v>
      </c>
      <c r="R179" s="55">
        <f>ROUND(G177*(S176-L179)/S176,3)</f>
        <v>140.383</v>
      </c>
      <c r="S179" s="56"/>
      <c r="T179" s="56"/>
      <c r="U179" s="56"/>
      <c r="V179" s="57"/>
      <c r="W179" s="10" t="s">
        <v>218</v>
      </c>
      <c r="X179" s="10"/>
      <c r="Y179" s="10"/>
      <c r="Z179" s="55"/>
      <c r="AA179" s="56"/>
      <c r="AB179" s="56"/>
      <c r="AC179" s="56"/>
      <c r="AD179" s="57"/>
      <c r="AE179" s="10"/>
    </row>
    <row r="180" spans="4:31" ht="24.75" customHeight="1">
      <c r="D180" s="111" t="s">
        <v>119</v>
      </c>
      <c r="E180" s="111"/>
      <c r="F180" s="111"/>
      <c r="G180" s="111" t="s">
        <v>219</v>
      </c>
      <c r="H180" s="111"/>
      <c r="I180" s="111"/>
      <c r="J180" s="111"/>
      <c r="K180" s="111"/>
      <c r="L180" s="91">
        <f t="shared" si="1"/>
        <v>226.27692678</v>
      </c>
      <c r="M180" s="91"/>
      <c r="N180" s="91"/>
      <c r="O180" s="58" t="s">
        <v>35</v>
      </c>
      <c r="P180" s="58"/>
      <c r="Q180" s="10" t="s">
        <v>34</v>
      </c>
      <c r="R180" s="55">
        <f>ROUND(G177*(S176-L180)/S176,3)</f>
        <v>126.828</v>
      </c>
      <c r="S180" s="56"/>
      <c r="T180" s="56"/>
      <c r="U180" s="56"/>
      <c r="V180" s="57"/>
      <c r="W180" s="10" t="s">
        <v>218</v>
      </c>
      <c r="X180" s="10"/>
      <c r="Y180" s="10"/>
      <c r="Z180" s="55"/>
      <c r="AA180" s="56"/>
      <c r="AB180" s="56"/>
      <c r="AC180" s="56"/>
      <c r="AD180" s="57"/>
      <c r="AE180" s="10"/>
    </row>
    <row r="181" spans="4:31" ht="24.75" customHeight="1">
      <c r="D181" s="111" t="s">
        <v>120</v>
      </c>
      <c r="E181" s="111"/>
      <c r="F181" s="111"/>
      <c r="G181" s="111" t="s">
        <v>219</v>
      </c>
      <c r="H181" s="111"/>
      <c r="I181" s="111"/>
      <c r="J181" s="111"/>
      <c r="K181" s="111"/>
      <c r="L181" s="91">
        <f t="shared" si="1"/>
        <v>326.27692678</v>
      </c>
      <c r="M181" s="91"/>
      <c r="N181" s="91"/>
      <c r="O181" s="58" t="s">
        <v>35</v>
      </c>
      <c r="P181" s="58"/>
      <c r="Q181" s="10" t="s">
        <v>34</v>
      </c>
      <c r="R181" s="55">
        <f>ROUND(G177*(S176-L181)/S176,3)</f>
        <v>113.274</v>
      </c>
      <c r="S181" s="56"/>
      <c r="T181" s="56"/>
      <c r="U181" s="56"/>
      <c r="V181" s="57"/>
      <c r="W181" s="10" t="s">
        <v>218</v>
      </c>
      <c r="X181" s="10"/>
      <c r="Y181" s="10"/>
      <c r="Z181" s="55"/>
      <c r="AA181" s="56"/>
      <c r="AB181" s="56"/>
      <c r="AC181" s="56"/>
      <c r="AD181" s="57"/>
      <c r="AE181" s="10"/>
    </row>
    <row r="182" spans="4:31" ht="24.75" customHeight="1">
      <c r="D182" s="111" t="s">
        <v>121</v>
      </c>
      <c r="E182" s="111"/>
      <c r="F182" s="111"/>
      <c r="G182" s="111" t="s">
        <v>219</v>
      </c>
      <c r="H182" s="111"/>
      <c r="I182" s="111"/>
      <c r="J182" s="111"/>
      <c r="K182" s="111"/>
      <c r="L182" s="91">
        <f t="shared" si="1"/>
        <v>426.27692678</v>
      </c>
      <c r="M182" s="91"/>
      <c r="N182" s="91"/>
      <c r="O182" s="58" t="s">
        <v>35</v>
      </c>
      <c r="P182" s="58"/>
      <c r="Q182" s="10" t="s">
        <v>34</v>
      </c>
      <c r="R182" s="55">
        <f>ROUND(G177*(S176-L182)/S176,3)</f>
        <v>99.719</v>
      </c>
      <c r="S182" s="56"/>
      <c r="T182" s="56"/>
      <c r="U182" s="56"/>
      <c r="V182" s="57"/>
      <c r="W182" s="10" t="s">
        <v>218</v>
      </c>
      <c r="X182" s="10"/>
      <c r="Y182" s="10"/>
      <c r="Z182" s="55"/>
      <c r="AA182" s="56"/>
      <c r="AB182" s="56"/>
      <c r="AC182" s="56"/>
      <c r="AD182" s="57"/>
      <c r="AE182" s="10"/>
    </row>
    <row r="183" spans="4:31" ht="24.75" customHeight="1">
      <c r="D183" s="111" t="s">
        <v>122</v>
      </c>
      <c r="E183" s="111"/>
      <c r="F183" s="111"/>
      <c r="G183" s="111" t="s">
        <v>219</v>
      </c>
      <c r="H183" s="111"/>
      <c r="I183" s="111"/>
      <c r="J183" s="111"/>
      <c r="K183" s="111"/>
      <c r="L183" s="91">
        <f t="shared" si="1"/>
        <v>526.27692678</v>
      </c>
      <c r="M183" s="91"/>
      <c r="N183" s="91"/>
      <c r="O183" s="58" t="s">
        <v>35</v>
      </c>
      <c r="P183" s="58"/>
      <c r="Q183" s="10" t="s">
        <v>34</v>
      </c>
      <c r="R183" s="55">
        <f>ROUND(G177*(S176-L183)/S176,3)</f>
        <v>86.164</v>
      </c>
      <c r="S183" s="56"/>
      <c r="T183" s="56"/>
      <c r="U183" s="56"/>
      <c r="V183" s="57"/>
      <c r="W183" s="10" t="s">
        <v>218</v>
      </c>
      <c r="X183" s="10"/>
      <c r="Y183" s="10"/>
      <c r="Z183" s="55"/>
      <c r="AA183" s="56"/>
      <c r="AB183" s="56"/>
      <c r="AC183" s="56"/>
      <c r="AD183" s="57"/>
      <c r="AE183" s="10"/>
    </row>
    <row r="184" spans="4:25" ht="24.75" customHeight="1">
      <c r="D184" s="47"/>
      <c r="E184" s="47"/>
      <c r="F184" s="47"/>
      <c r="G184" s="47"/>
      <c r="H184" s="47"/>
      <c r="I184" s="47"/>
      <c r="J184" s="47"/>
      <c r="K184" s="47"/>
      <c r="L184" s="56"/>
      <c r="M184" s="56"/>
      <c r="N184" s="47"/>
      <c r="O184" s="47"/>
      <c r="P184" s="47"/>
      <c r="Q184" s="10"/>
      <c r="R184" s="55"/>
      <c r="S184" s="56"/>
      <c r="T184" s="56"/>
      <c r="U184" s="56"/>
      <c r="V184" s="57"/>
      <c r="W184" s="10"/>
      <c r="X184" s="10"/>
      <c r="Y184" s="10"/>
    </row>
    <row r="185" spans="4:36" ht="24.75" customHeight="1">
      <c r="D185" s="110" t="s">
        <v>173</v>
      </c>
      <c r="E185" s="110"/>
      <c r="F185" s="110"/>
      <c r="G185" s="110"/>
      <c r="H185" s="59" t="s">
        <v>87</v>
      </c>
      <c r="I185" s="107">
        <f>G177</f>
        <v>157.5</v>
      </c>
      <c r="J185" s="107"/>
      <c r="K185" s="107"/>
      <c r="L185" s="107"/>
      <c r="M185" s="14" t="s">
        <v>48</v>
      </c>
      <c r="N185" s="107">
        <f aca="true" t="shared" si="2" ref="N185:N190">R178</f>
        <v>153.938</v>
      </c>
      <c r="O185" s="107"/>
      <c r="P185" s="107"/>
      <c r="Q185" s="107"/>
      <c r="R185" s="55" t="s">
        <v>136</v>
      </c>
      <c r="S185" s="56"/>
      <c r="T185" s="56"/>
      <c r="U185" s="56"/>
      <c r="V185" s="108">
        <f>L178</f>
        <v>26.27692678</v>
      </c>
      <c r="W185" s="108"/>
      <c r="X185" s="108"/>
      <c r="Y185" s="14" t="s">
        <v>137</v>
      </c>
      <c r="Z185" s="108">
        <f>AM146</f>
        <v>12</v>
      </c>
      <c r="AA185" s="108"/>
      <c r="AB185" s="108"/>
      <c r="AC185" s="5" t="s">
        <v>89</v>
      </c>
      <c r="AD185" s="109">
        <f>(I185+N185)/2*V185*Z185</f>
        <v>49101.80113505784</v>
      </c>
      <c r="AE185" s="109"/>
      <c r="AF185" s="109"/>
      <c r="AG185" s="109"/>
      <c r="AH185" s="109"/>
      <c r="AI185" s="5" t="s">
        <v>113</v>
      </c>
      <c r="AJ185" s="5" t="s">
        <v>20</v>
      </c>
    </row>
    <row r="186" spans="4:46" ht="24.75" customHeight="1">
      <c r="D186" s="92" t="s">
        <v>228</v>
      </c>
      <c r="E186" s="92"/>
      <c r="F186" s="92"/>
      <c r="G186" s="92"/>
      <c r="H186" s="14" t="s">
        <v>87</v>
      </c>
      <c r="I186" s="107">
        <f>R178</f>
        <v>153.938</v>
      </c>
      <c r="J186" s="107"/>
      <c r="K186" s="107"/>
      <c r="L186" s="107"/>
      <c r="M186" s="14" t="s">
        <v>48</v>
      </c>
      <c r="N186" s="107">
        <f t="shared" si="2"/>
        <v>140.383</v>
      </c>
      <c r="O186" s="107"/>
      <c r="P186" s="107"/>
      <c r="Q186" s="107"/>
      <c r="R186" s="68" t="s">
        <v>171</v>
      </c>
      <c r="S186" s="14"/>
      <c r="T186" s="8">
        <v>2</v>
      </c>
      <c r="U186" s="62" t="s">
        <v>137</v>
      </c>
      <c r="V186" s="63">
        <f>L179-L178</f>
        <v>100</v>
      </c>
      <c r="W186" s="63"/>
      <c r="X186" s="63"/>
      <c r="Y186" s="64" t="s">
        <v>137</v>
      </c>
      <c r="Z186" s="24">
        <f>Z185</f>
        <v>12</v>
      </c>
      <c r="AA186" s="25"/>
      <c r="AB186" s="24"/>
      <c r="AC186" s="65" t="s">
        <v>47</v>
      </c>
      <c r="AD186" s="66">
        <v>2</v>
      </c>
      <c r="AE186" s="66"/>
      <c r="AF186" s="66"/>
      <c r="AG186" s="8" t="s">
        <v>34</v>
      </c>
      <c r="AH186" s="63">
        <f>ROUND(+(I186+N186)/T186*V186*Z186/AD186,1)</f>
        <v>88296.3</v>
      </c>
      <c r="AI186" s="63"/>
      <c r="AJ186" s="63"/>
      <c r="AK186" s="63"/>
      <c r="AL186" s="92" t="str">
        <f>IF(AH186&gt;+V136,"N/本  ＞  ρa   N.G.","N/本  ＜  ρa   O.K.")</f>
        <v>N/本  ＜  ρa   O.K.</v>
      </c>
      <c r="AM186" s="92"/>
      <c r="AN186" s="92"/>
      <c r="AO186" s="92"/>
      <c r="AP186" s="92"/>
      <c r="AQ186" s="92"/>
      <c r="AR186" s="92"/>
      <c r="AS186" s="92"/>
      <c r="AT186" s="92"/>
    </row>
    <row r="187" spans="4:46" ht="24.75" customHeight="1">
      <c r="D187" s="92" t="s">
        <v>250</v>
      </c>
      <c r="E187" s="92"/>
      <c r="F187" s="92"/>
      <c r="G187" s="92"/>
      <c r="H187" s="14" t="s">
        <v>87</v>
      </c>
      <c r="I187" s="107">
        <f>N186</f>
        <v>140.383</v>
      </c>
      <c r="J187" s="107"/>
      <c r="K187" s="107"/>
      <c r="L187" s="107"/>
      <c r="M187" s="14" t="s">
        <v>48</v>
      </c>
      <c r="N187" s="107">
        <f t="shared" si="2"/>
        <v>126.828</v>
      </c>
      <c r="O187" s="107"/>
      <c r="P187" s="107"/>
      <c r="Q187" s="107"/>
      <c r="R187" s="68" t="s">
        <v>171</v>
      </c>
      <c r="S187" s="14"/>
      <c r="T187" s="8">
        <v>2</v>
      </c>
      <c r="U187" s="62" t="s">
        <v>137</v>
      </c>
      <c r="V187" s="63">
        <f>(L180-L179)</f>
        <v>100</v>
      </c>
      <c r="W187" s="67"/>
      <c r="X187" s="24"/>
      <c r="Y187" s="64" t="s">
        <v>137</v>
      </c>
      <c r="Z187" s="24">
        <f>Z185</f>
        <v>12</v>
      </c>
      <c r="AA187" s="24"/>
      <c r="AB187" s="24"/>
      <c r="AC187" s="65" t="s">
        <v>47</v>
      </c>
      <c r="AD187" s="66">
        <v>2</v>
      </c>
      <c r="AE187" s="66"/>
      <c r="AF187" s="66"/>
      <c r="AG187" s="8" t="s">
        <v>34</v>
      </c>
      <c r="AH187" s="63">
        <f>ROUND(+(I187+N187)/T187*V187*Z187/AD187,1)</f>
        <v>80163.3</v>
      </c>
      <c r="AI187" s="63"/>
      <c r="AJ187" s="63"/>
      <c r="AK187" s="63"/>
      <c r="AL187" s="92" t="str">
        <f>IF(AH187&gt;+V136,"N/本  ＞  ρa   N.G.","N/本  ＜  ρa   O.K.")</f>
        <v>N/本  ＜  ρa   O.K.</v>
      </c>
      <c r="AM187" s="92"/>
      <c r="AN187" s="92"/>
      <c r="AO187" s="92"/>
      <c r="AP187" s="92"/>
      <c r="AQ187" s="92"/>
      <c r="AR187" s="92"/>
      <c r="AS187" s="92"/>
      <c r="AT187" s="92"/>
    </row>
    <row r="188" spans="4:46" ht="24.75" customHeight="1">
      <c r="D188" s="92" t="s">
        <v>251</v>
      </c>
      <c r="E188" s="92"/>
      <c r="F188" s="92"/>
      <c r="G188" s="92"/>
      <c r="H188" s="14" t="s">
        <v>87</v>
      </c>
      <c r="I188" s="107">
        <f>N187</f>
        <v>126.828</v>
      </c>
      <c r="J188" s="107"/>
      <c r="K188" s="107"/>
      <c r="L188" s="107"/>
      <c r="M188" s="14" t="s">
        <v>48</v>
      </c>
      <c r="N188" s="107">
        <f t="shared" si="2"/>
        <v>113.274</v>
      </c>
      <c r="O188" s="107"/>
      <c r="P188" s="107"/>
      <c r="Q188" s="107"/>
      <c r="R188" s="68" t="s">
        <v>171</v>
      </c>
      <c r="S188" s="14"/>
      <c r="T188" s="8">
        <v>2</v>
      </c>
      <c r="U188" s="62" t="s">
        <v>137</v>
      </c>
      <c r="V188" s="63">
        <f>(L181-L180)</f>
        <v>100</v>
      </c>
      <c r="W188" s="67"/>
      <c r="X188" s="24"/>
      <c r="Y188" s="64" t="s">
        <v>137</v>
      </c>
      <c r="Z188" s="24">
        <f>Z185</f>
        <v>12</v>
      </c>
      <c r="AA188" s="24"/>
      <c r="AB188" s="24"/>
      <c r="AC188" s="65" t="s">
        <v>47</v>
      </c>
      <c r="AD188" s="66">
        <v>2</v>
      </c>
      <c r="AE188" s="66"/>
      <c r="AF188" s="66"/>
      <c r="AG188" s="8" t="s">
        <v>34</v>
      </c>
      <c r="AH188" s="63">
        <f>ROUND(+(I188+N188)/T188*V188*Z188/AD188,1)</f>
        <v>72030.6</v>
      </c>
      <c r="AI188" s="63"/>
      <c r="AJ188" s="63"/>
      <c r="AK188" s="63"/>
      <c r="AL188" s="92" t="str">
        <f>IF(AH188&gt;+V136,"N/本  ＞  ρa   N.G.","N/本  ＜  ρa   O.K.")</f>
        <v>N/本  ＜  ρa   O.K.</v>
      </c>
      <c r="AM188" s="92"/>
      <c r="AN188" s="92"/>
      <c r="AO188" s="92"/>
      <c r="AP188" s="92"/>
      <c r="AQ188" s="92"/>
      <c r="AR188" s="92"/>
      <c r="AS188" s="92"/>
      <c r="AT188" s="92"/>
    </row>
    <row r="189" spans="4:46" ht="24.75" customHeight="1">
      <c r="D189" s="92" t="s">
        <v>252</v>
      </c>
      <c r="E189" s="92"/>
      <c r="F189" s="92"/>
      <c r="G189" s="92"/>
      <c r="H189" s="14" t="s">
        <v>87</v>
      </c>
      <c r="I189" s="107">
        <f>N188</f>
        <v>113.274</v>
      </c>
      <c r="J189" s="107"/>
      <c r="K189" s="107"/>
      <c r="L189" s="107"/>
      <c r="M189" s="14" t="s">
        <v>48</v>
      </c>
      <c r="N189" s="107">
        <f t="shared" si="2"/>
        <v>99.719</v>
      </c>
      <c r="O189" s="107"/>
      <c r="P189" s="107"/>
      <c r="Q189" s="107"/>
      <c r="R189" s="68" t="s">
        <v>171</v>
      </c>
      <c r="S189" s="14"/>
      <c r="T189" s="8">
        <v>2</v>
      </c>
      <c r="U189" s="62" t="s">
        <v>137</v>
      </c>
      <c r="V189" s="63">
        <f>(L182-L181)</f>
        <v>100</v>
      </c>
      <c r="W189" s="67"/>
      <c r="X189" s="24"/>
      <c r="Y189" s="64" t="s">
        <v>137</v>
      </c>
      <c r="Z189" s="24">
        <f>Z185</f>
        <v>12</v>
      </c>
      <c r="AA189" s="24"/>
      <c r="AB189" s="24"/>
      <c r="AC189" s="65" t="s">
        <v>47</v>
      </c>
      <c r="AD189" s="66">
        <v>2</v>
      </c>
      <c r="AE189" s="66"/>
      <c r="AF189" s="66"/>
      <c r="AG189" s="8" t="s">
        <v>34</v>
      </c>
      <c r="AH189" s="63">
        <f>ROUND(+(I189+N189)/T189*V189*Z189/AD189,1)</f>
        <v>63897.9</v>
      </c>
      <c r="AI189" s="63"/>
      <c r="AJ189" s="63"/>
      <c r="AK189" s="63"/>
      <c r="AL189" s="92" t="str">
        <f>IF(AH189&gt;+V136,"N/本  ＞  ρa   N.G.","N/本  ＜  ρa   O.K.")</f>
        <v>N/本  ＜  ρa   O.K.</v>
      </c>
      <c r="AM189" s="92"/>
      <c r="AN189" s="92"/>
      <c r="AO189" s="92"/>
      <c r="AP189" s="92"/>
      <c r="AQ189" s="92"/>
      <c r="AR189" s="92"/>
      <c r="AS189" s="92"/>
      <c r="AT189" s="92"/>
    </row>
    <row r="190" spans="4:46" ht="24.75" customHeight="1">
      <c r="D190" s="92" t="s">
        <v>253</v>
      </c>
      <c r="E190" s="92"/>
      <c r="F190" s="92"/>
      <c r="G190" s="92"/>
      <c r="H190" s="14" t="s">
        <v>87</v>
      </c>
      <c r="I190" s="107">
        <f>N189</f>
        <v>99.719</v>
      </c>
      <c r="J190" s="107"/>
      <c r="K190" s="107"/>
      <c r="L190" s="107"/>
      <c r="M190" s="14" t="s">
        <v>48</v>
      </c>
      <c r="N190" s="107">
        <f t="shared" si="2"/>
        <v>86.164</v>
      </c>
      <c r="O190" s="107"/>
      <c r="P190" s="107"/>
      <c r="Q190" s="107"/>
      <c r="R190" s="68" t="s">
        <v>171</v>
      </c>
      <c r="S190" s="14"/>
      <c r="T190" s="8">
        <v>2</v>
      </c>
      <c r="U190" s="62" t="s">
        <v>137</v>
      </c>
      <c r="V190" s="63">
        <f>(L183-L182)</f>
        <v>100.00000000000006</v>
      </c>
      <c r="W190" s="67"/>
      <c r="X190" s="24"/>
      <c r="Y190" s="64" t="s">
        <v>137</v>
      </c>
      <c r="Z190" s="24">
        <f>Z185</f>
        <v>12</v>
      </c>
      <c r="AA190" s="24"/>
      <c r="AB190" s="24"/>
      <c r="AC190" s="65" t="s">
        <v>47</v>
      </c>
      <c r="AD190" s="66">
        <v>2</v>
      </c>
      <c r="AE190" s="66"/>
      <c r="AF190" s="66"/>
      <c r="AG190" s="8" t="s">
        <v>34</v>
      </c>
      <c r="AH190" s="63">
        <f>ROUND(+(I190+N190)/T190*V190*Z190/AD190,1)</f>
        <v>55764.9</v>
      </c>
      <c r="AI190" s="63"/>
      <c r="AJ190" s="63"/>
      <c r="AK190" s="63"/>
      <c r="AL190" s="92" t="str">
        <f>IF(AH190&gt;+V136,"N/本  ＞  ρa   N.G.","N/本  ＜  ρa   O.K.")</f>
        <v>N/本  ＜  ρa   O.K.</v>
      </c>
      <c r="AM190" s="92"/>
      <c r="AN190" s="92"/>
      <c r="AO190" s="92"/>
      <c r="AP190" s="92"/>
      <c r="AQ190" s="92"/>
      <c r="AR190" s="92"/>
      <c r="AS190" s="92"/>
      <c r="AT190" s="92"/>
    </row>
    <row r="191" spans="4:25" ht="24.75" customHeight="1">
      <c r="D191" s="47"/>
      <c r="E191" s="47"/>
      <c r="F191" s="47"/>
      <c r="G191" s="47"/>
      <c r="H191" s="47"/>
      <c r="I191" s="47"/>
      <c r="J191" s="47"/>
      <c r="K191" s="47"/>
      <c r="L191" s="56"/>
      <c r="M191" s="56"/>
      <c r="N191" s="47"/>
      <c r="O191" s="47"/>
      <c r="P191" s="47"/>
      <c r="Q191" s="10"/>
      <c r="R191" s="55"/>
      <c r="S191" s="56"/>
      <c r="T191" s="56"/>
      <c r="U191" s="56"/>
      <c r="V191" s="57"/>
      <c r="W191" s="10"/>
      <c r="X191" s="10"/>
      <c r="Y191" s="10"/>
    </row>
    <row r="192" spans="3:47" ht="24.75" customHeight="1">
      <c r="C192" s="18" t="s">
        <v>9</v>
      </c>
      <c r="I192" s="23"/>
      <c r="AU192" s="23"/>
    </row>
    <row r="193" spans="4:47" ht="24.75" customHeight="1">
      <c r="D193" s="5" t="s">
        <v>26</v>
      </c>
      <c r="AU193" s="23"/>
    </row>
    <row r="194" spans="4:47" ht="24.75" customHeight="1">
      <c r="D194" s="5" t="s">
        <v>27</v>
      </c>
      <c r="AU194" s="23"/>
    </row>
    <row r="195" spans="5:47" ht="24.75" customHeight="1">
      <c r="E195" s="5" t="s">
        <v>125</v>
      </c>
      <c r="AU195" s="23"/>
    </row>
    <row r="196" ht="24.75" customHeight="1">
      <c r="D196" s="5" t="s">
        <v>7</v>
      </c>
    </row>
    <row r="197" spans="3:42" ht="24.75" customHeight="1">
      <c r="C197" s="106" t="s">
        <v>49</v>
      </c>
      <c r="D197" s="106"/>
      <c r="E197" s="106"/>
      <c r="G197" s="105">
        <f>ABS(O3)</f>
        <v>662.16738704</v>
      </c>
      <c r="H197" s="105"/>
      <c r="I197" s="105"/>
      <c r="J197" s="19" t="s">
        <v>41</v>
      </c>
      <c r="K197" s="132">
        <v>1000</v>
      </c>
      <c r="L197" s="132"/>
      <c r="M197" s="132"/>
      <c r="N197" s="92" t="s">
        <v>48</v>
      </c>
      <c r="O197" s="92"/>
      <c r="P197" s="105">
        <f>ABS(O4)</f>
        <v>236.19187506</v>
      </c>
      <c r="Q197" s="105"/>
      <c r="R197" s="105"/>
      <c r="S197" s="19" t="s">
        <v>41</v>
      </c>
      <c r="T197" s="97">
        <v>100000</v>
      </c>
      <c r="U197" s="97"/>
      <c r="V197" s="97"/>
      <c r="W197" s="97"/>
      <c r="Y197" s="106" t="s">
        <v>47</v>
      </c>
      <c r="Z197" s="106"/>
      <c r="AA197" s="122">
        <v>44</v>
      </c>
      <c r="AB197" s="122"/>
      <c r="AC197" s="122"/>
      <c r="AD197" s="92" t="s">
        <v>34</v>
      </c>
      <c r="AE197" s="92"/>
      <c r="AF197" s="102">
        <f>ROUND((G197*K197/J198+P197*T197/(R198*T198))/AA197,1)</f>
        <v>7643.9</v>
      </c>
      <c r="AG197" s="102"/>
      <c r="AH197" s="102"/>
      <c r="AI197" s="102"/>
      <c r="AJ197" s="103" t="str">
        <f>IF(AF197&gt;+M125,"N/本   ＞ ρa","N/本  ＜  ρa")</f>
        <v>N/本  ＜  ρa</v>
      </c>
      <c r="AK197" s="103"/>
      <c r="AL197" s="103"/>
      <c r="AM197" s="103"/>
      <c r="AN197" s="103"/>
      <c r="AO197" s="103"/>
      <c r="AP197" s="103"/>
    </row>
    <row r="198" spans="3:42" ht="24.75" customHeight="1">
      <c r="C198" s="106"/>
      <c r="D198" s="106"/>
      <c r="E198" s="106"/>
      <c r="J198" s="8">
        <v>2</v>
      </c>
      <c r="N198" s="92"/>
      <c r="O198" s="92"/>
      <c r="R198" s="8">
        <v>2</v>
      </c>
      <c r="S198" s="14" t="s">
        <v>41</v>
      </c>
      <c r="T198" s="24">
        <f>(AG2+AN2)/2*1000</f>
        <v>2250</v>
      </c>
      <c r="U198" s="25"/>
      <c r="V198" s="25"/>
      <c r="Y198" s="106"/>
      <c r="Z198" s="106"/>
      <c r="AA198" s="122"/>
      <c r="AB198" s="122"/>
      <c r="AC198" s="122"/>
      <c r="AD198" s="92"/>
      <c r="AE198" s="92"/>
      <c r="AF198" s="102"/>
      <c r="AG198" s="102"/>
      <c r="AH198" s="102"/>
      <c r="AI198" s="102"/>
      <c r="AJ198" s="103"/>
      <c r="AK198" s="103"/>
      <c r="AL198" s="103"/>
      <c r="AM198" s="103"/>
      <c r="AN198" s="103"/>
      <c r="AO198" s="103"/>
      <c r="AP198" s="103"/>
    </row>
    <row r="200" spans="3:9" ht="24.75" customHeight="1">
      <c r="C200" s="5" t="s">
        <v>10</v>
      </c>
      <c r="I200" s="23"/>
    </row>
    <row r="201" spans="4:31" ht="24.75" customHeight="1">
      <c r="D201" s="5" t="s">
        <v>50</v>
      </c>
      <c r="P201" s="104">
        <f>ROUND(MAX(AH169:AH173,AH186:AH190),1)</f>
        <v>88296.3</v>
      </c>
      <c r="Q201" s="104"/>
      <c r="R201" s="104"/>
      <c r="S201" s="104"/>
      <c r="T201" s="5" t="s">
        <v>48</v>
      </c>
      <c r="U201" s="104">
        <f>+AF197</f>
        <v>7643.9</v>
      </c>
      <c r="V201" s="104"/>
      <c r="W201" s="104"/>
      <c r="X201" s="104"/>
      <c r="Y201" s="5" t="s">
        <v>33</v>
      </c>
      <c r="AA201" s="100">
        <f>ROUND(SQRT(P201^2+U201^2),1)</f>
        <v>88626.6</v>
      </c>
      <c r="AB201" s="100"/>
      <c r="AC201" s="100"/>
      <c r="AD201" s="100"/>
      <c r="AE201" s="5" t="str">
        <f>IF(AA201&gt;$AA$8,"N/本  ＞  ρa ,  N.G","N/本  ＜  ρa ,  O.K")</f>
        <v>N/本  ＜  ρa ,  O.K</v>
      </c>
    </row>
    <row r="202" spans="3:9" ht="24.75" customHeight="1">
      <c r="C202" s="18" t="s">
        <v>245</v>
      </c>
      <c r="I202" s="23"/>
    </row>
    <row r="203" ht="24.75" customHeight="1">
      <c r="D203" s="5" t="s">
        <v>25</v>
      </c>
    </row>
    <row r="204" spans="4:30" ht="24.75" customHeight="1">
      <c r="D204" s="92" t="s">
        <v>214</v>
      </c>
      <c r="E204" s="92"/>
      <c r="F204" s="92"/>
      <c r="G204" s="132">
        <f>+AM146</f>
        <v>12</v>
      </c>
      <c r="H204" s="132"/>
      <c r="I204" s="132"/>
      <c r="J204" s="19" t="s">
        <v>41</v>
      </c>
      <c r="K204" s="176">
        <f>IF(AG4=0,M206&amp;"³",M206)</f>
        <v>2205.1077071199948</v>
      </c>
      <c r="L204" s="176"/>
      <c r="M204" s="176"/>
      <c r="N204" s="103" t="str">
        <f>IF(AG4=0,""," × ( "&amp;ROUND(M206,1)&amp;"²cos²"&amp;ROUND(AG4,2)&amp;" + "&amp;ROUND(I206,1)&amp;"²sin²"&amp;ROUND(AG4,2)&amp;" )")</f>
        <v> × ( 2205.1²cos²3.9 + 12²sin²3.9 )</v>
      </c>
      <c r="O204" s="103"/>
      <c r="P204" s="103"/>
      <c r="Q204" s="103"/>
      <c r="R204" s="103"/>
      <c r="S204" s="103"/>
      <c r="T204" s="103"/>
      <c r="U204" s="103"/>
      <c r="V204" s="103"/>
      <c r="W204" s="103"/>
      <c r="X204" s="103"/>
      <c r="Y204" s="103"/>
      <c r="Z204" s="103"/>
      <c r="AA204" s="103"/>
      <c r="AB204" s="103"/>
      <c r="AC204" s="103"/>
      <c r="AD204" s="103"/>
    </row>
    <row r="205" spans="4:30" ht="24.75" customHeight="1">
      <c r="D205" s="92"/>
      <c r="E205" s="92"/>
      <c r="F205" s="92"/>
      <c r="I205" s="92">
        <v>12</v>
      </c>
      <c r="J205" s="92"/>
      <c r="K205" s="92"/>
      <c r="N205" s="103"/>
      <c r="O205" s="103"/>
      <c r="P205" s="103"/>
      <c r="Q205" s="103"/>
      <c r="R205" s="103"/>
      <c r="S205" s="103"/>
      <c r="T205" s="103"/>
      <c r="U205" s="103"/>
      <c r="V205" s="103"/>
      <c r="W205" s="103"/>
      <c r="X205" s="103"/>
      <c r="Y205" s="103"/>
      <c r="Z205" s="103"/>
      <c r="AA205" s="103"/>
      <c r="AB205" s="103"/>
      <c r="AC205" s="103"/>
      <c r="AD205" s="103"/>
    </row>
    <row r="206" spans="4:42" ht="24.75" customHeight="1">
      <c r="D206" s="8"/>
      <c r="E206" s="8"/>
      <c r="F206" s="8"/>
      <c r="G206" s="92" t="s">
        <v>48</v>
      </c>
      <c r="H206" s="92"/>
      <c r="I206" s="124">
        <f>+G204</f>
        <v>12</v>
      </c>
      <c r="J206" s="124"/>
      <c r="K206" s="92" t="s">
        <v>36</v>
      </c>
      <c r="L206" s="92"/>
      <c r="M206" s="100">
        <f>AM145/COS(RADIANS(AG4))</f>
        <v>2205.1077071199948</v>
      </c>
      <c r="N206" s="100"/>
      <c r="O206" s="100"/>
      <c r="P206" s="100"/>
      <c r="Q206" s="92" t="s">
        <v>37</v>
      </c>
      <c r="R206" s="92"/>
      <c r="S206" s="80">
        <f>AM145/2</f>
        <v>1100</v>
      </c>
      <c r="T206" s="80"/>
      <c r="U206" s="80"/>
      <c r="V206" s="80"/>
      <c r="W206" s="92" t="s">
        <v>46</v>
      </c>
      <c r="X206" s="80">
        <f>ROUND(Q225,2)</f>
        <v>1195.39</v>
      </c>
      <c r="Y206" s="80"/>
      <c r="Z206" s="80"/>
      <c r="AA206" s="80"/>
      <c r="AB206" s="92" t="s">
        <v>38</v>
      </c>
      <c r="AC206" s="92"/>
      <c r="AD206" s="92"/>
      <c r="AE206" s="90">
        <f>I206*M206/12*((M206*COS(RADIANS(AG4)))^2+(I206*SIN(RADIANS(AG4)))^2)+I206*M206*(S206-X206)^2</f>
        <v>10913500742.993612</v>
      </c>
      <c r="AF206" s="90"/>
      <c r="AG206" s="90"/>
      <c r="AH206" s="90"/>
      <c r="AI206" s="90"/>
      <c r="AJ206" s="90"/>
      <c r="AK206" s="92" t="s">
        <v>224</v>
      </c>
      <c r="AL206" s="92"/>
      <c r="AM206" s="28"/>
      <c r="AN206" s="28"/>
      <c r="AO206" s="8"/>
      <c r="AP206" s="8"/>
    </row>
    <row r="207" spans="4:42" ht="24.75" customHeight="1">
      <c r="D207" s="8"/>
      <c r="E207" s="8"/>
      <c r="F207" s="8"/>
      <c r="G207" s="92"/>
      <c r="H207" s="92"/>
      <c r="I207" s="124"/>
      <c r="J207" s="124"/>
      <c r="K207" s="92"/>
      <c r="L207" s="92"/>
      <c r="M207" s="100"/>
      <c r="N207" s="100"/>
      <c r="O207" s="100"/>
      <c r="P207" s="100"/>
      <c r="Q207" s="92"/>
      <c r="R207" s="92"/>
      <c r="S207" s="80"/>
      <c r="T207" s="80"/>
      <c r="U207" s="80"/>
      <c r="V207" s="80"/>
      <c r="W207" s="92"/>
      <c r="X207" s="80"/>
      <c r="Y207" s="80"/>
      <c r="Z207" s="80"/>
      <c r="AA207" s="80"/>
      <c r="AB207" s="92"/>
      <c r="AC207" s="92"/>
      <c r="AD207" s="92"/>
      <c r="AE207" s="90"/>
      <c r="AF207" s="90"/>
      <c r="AG207" s="90"/>
      <c r="AH207" s="90"/>
      <c r="AI207" s="90"/>
      <c r="AJ207" s="90"/>
      <c r="AK207" s="92"/>
      <c r="AL207" s="92"/>
      <c r="AM207" s="28"/>
      <c r="AN207" s="28"/>
      <c r="AO207" s="8"/>
      <c r="AP207" s="8"/>
    </row>
    <row r="208" spans="4:42" ht="24.75" customHeight="1">
      <c r="D208" s="8"/>
      <c r="E208" s="8"/>
      <c r="F208" s="8"/>
      <c r="I208" s="8"/>
      <c r="J208" s="8"/>
      <c r="K208" s="8"/>
      <c r="N208" s="8"/>
      <c r="O208" s="8"/>
      <c r="P208" s="9"/>
      <c r="W208" s="8"/>
      <c r="AK208" s="7"/>
      <c r="AL208" s="7"/>
      <c r="AM208" s="7"/>
      <c r="AN208" s="7"/>
      <c r="AO208" s="8"/>
      <c r="AP208" s="8"/>
    </row>
    <row r="209" spans="4:23" ht="24.75" customHeight="1">
      <c r="D209" s="5" t="s">
        <v>28</v>
      </c>
      <c r="W209" s="8"/>
    </row>
    <row r="210" spans="4:33" ht="24.75" customHeight="1">
      <c r="D210" s="92" t="s">
        <v>215</v>
      </c>
      <c r="E210" s="92"/>
      <c r="F210" s="92"/>
      <c r="G210" s="92"/>
      <c r="H210" s="97" t="s">
        <v>209</v>
      </c>
      <c r="I210" s="97"/>
      <c r="J210" s="97"/>
      <c r="K210" s="92" t="s">
        <v>34</v>
      </c>
      <c r="L210" s="92"/>
      <c r="M210" s="100">
        <f>AA212</f>
        <v>9915.31546302</v>
      </c>
      <c r="N210" s="100"/>
      <c r="O210" s="100"/>
      <c r="P210" s="100"/>
      <c r="Q210" s="92" t="s">
        <v>41</v>
      </c>
      <c r="R210" s="92"/>
      <c r="S210" s="101">
        <f>+AE206</f>
        <v>10913500742.993612</v>
      </c>
      <c r="T210" s="101"/>
      <c r="U210" s="101"/>
      <c r="V210" s="101"/>
      <c r="W210" s="101"/>
      <c r="X210" s="101"/>
      <c r="Y210" s="92" t="s">
        <v>34</v>
      </c>
      <c r="Z210" s="92"/>
      <c r="AA210" s="89">
        <f>+M210*S210/S211</f>
        <v>848.5591044179076</v>
      </c>
      <c r="AB210" s="89"/>
      <c r="AC210" s="89"/>
      <c r="AD210" s="89"/>
      <c r="AE210" s="92" t="s">
        <v>103</v>
      </c>
      <c r="AF210" s="92"/>
      <c r="AG210" s="18"/>
    </row>
    <row r="211" spans="4:33" ht="24.75" customHeight="1">
      <c r="D211" s="92"/>
      <c r="E211" s="92"/>
      <c r="F211" s="92"/>
      <c r="G211" s="92"/>
      <c r="H211" s="92" t="s">
        <v>51</v>
      </c>
      <c r="I211" s="92"/>
      <c r="J211" s="92"/>
      <c r="K211" s="92"/>
      <c r="L211" s="92"/>
      <c r="M211" s="100"/>
      <c r="N211" s="100"/>
      <c r="O211" s="100"/>
      <c r="P211" s="100"/>
      <c r="Q211" s="92"/>
      <c r="R211" s="92"/>
      <c r="S211" s="99">
        <f>+U213</f>
        <v>127523000000</v>
      </c>
      <c r="T211" s="99"/>
      <c r="U211" s="99"/>
      <c r="V211" s="99"/>
      <c r="W211" s="99"/>
      <c r="X211" s="99"/>
      <c r="Y211" s="92"/>
      <c r="Z211" s="92"/>
      <c r="AA211" s="89"/>
      <c r="AB211" s="89"/>
      <c r="AC211" s="89"/>
      <c r="AD211" s="89"/>
      <c r="AE211" s="92"/>
      <c r="AF211" s="92"/>
      <c r="AG211" s="18"/>
    </row>
    <row r="212" spans="4:31" ht="24.75" customHeight="1">
      <c r="D212" s="5" t="s">
        <v>216</v>
      </c>
      <c r="I212" s="23"/>
      <c r="AA212" s="89">
        <f>ABS(O2)</f>
        <v>9915.31546302</v>
      </c>
      <c r="AB212" s="89"/>
      <c r="AC212" s="89"/>
      <c r="AD212" s="89"/>
      <c r="AE212" s="5" t="s">
        <v>111</v>
      </c>
    </row>
    <row r="213" spans="4:31" ht="24.75" customHeight="1">
      <c r="D213" s="5" t="s">
        <v>52</v>
      </c>
      <c r="G213" s="5" t="s">
        <v>29</v>
      </c>
      <c r="I213" s="23"/>
      <c r="S213" s="5" t="s">
        <v>53</v>
      </c>
      <c r="U213" s="99">
        <v>127523000000</v>
      </c>
      <c r="V213" s="99"/>
      <c r="W213" s="99"/>
      <c r="X213" s="99"/>
      <c r="Y213" s="99"/>
      <c r="Z213" s="99"/>
      <c r="AA213" s="5" t="s">
        <v>224</v>
      </c>
      <c r="AB213" s="8"/>
      <c r="AC213" s="8"/>
      <c r="AD213" s="41"/>
      <c r="AE213" s="41"/>
    </row>
    <row r="214" spans="9:35" ht="24.75" customHeight="1">
      <c r="I214" s="23"/>
      <c r="T214" s="22"/>
      <c r="U214" s="22"/>
      <c r="V214" s="22"/>
      <c r="W214" s="22"/>
      <c r="X214" s="22"/>
      <c r="AA214" s="69"/>
      <c r="AB214" s="8"/>
      <c r="AC214" s="8"/>
      <c r="AD214" s="41"/>
      <c r="AE214" s="41"/>
      <c r="AF214" s="41"/>
      <c r="AG214" s="41"/>
      <c r="AH214" s="8"/>
      <c r="AI214" s="8"/>
    </row>
    <row r="215" spans="4:35" ht="24.75" customHeight="1">
      <c r="D215" s="97" t="s">
        <v>246</v>
      </c>
      <c r="E215" s="97"/>
      <c r="F215" s="97"/>
      <c r="G215" s="97"/>
      <c r="H215" s="97"/>
      <c r="I215" s="97"/>
      <c r="J215" s="97"/>
      <c r="K215" s="97"/>
      <c r="L215" s="97"/>
      <c r="M215" s="97"/>
      <c r="N215" s="41"/>
      <c r="O215" s="41"/>
      <c r="P215" s="41"/>
      <c r="Q215" s="8"/>
      <c r="R215" s="8"/>
      <c r="S215" s="22"/>
      <c r="T215" s="22"/>
      <c r="U215" s="22"/>
      <c r="V215" s="22"/>
      <c r="W215" s="22"/>
      <c r="X215" s="8"/>
      <c r="Y215" s="8"/>
      <c r="Z215" s="69"/>
      <c r="AA215" s="69"/>
      <c r="AB215" s="8"/>
      <c r="AC215" s="8"/>
      <c r="AD215" s="41"/>
      <c r="AE215" s="41"/>
      <c r="AF215" s="41"/>
      <c r="AG215" s="41"/>
      <c r="AH215" s="8"/>
      <c r="AI215" s="8"/>
    </row>
    <row r="216" spans="4:42" ht="24.75" customHeight="1" thickBot="1">
      <c r="D216" s="77"/>
      <c r="E216" s="75"/>
      <c r="F216" s="75"/>
      <c r="G216" s="75"/>
      <c r="H216" s="75"/>
      <c r="I216" s="75"/>
      <c r="J216" s="75"/>
      <c r="K216" s="75"/>
      <c r="L216" s="75"/>
      <c r="M216" s="74" t="s">
        <v>230</v>
      </c>
      <c r="N216" s="74"/>
      <c r="O216" s="74"/>
      <c r="P216" s="74"/>
      <c r="Q216" s="74"/>
      <c r="R216" s="74"/>
      <c r="S216" s="73" t="s">
        <v>104</v>
      </c>
      <c r="T216" s="73"/>
      <c r="U216" s="73"/>
      <c r="V216" s="73"/>
      <c r="W216" s="73"/>
      <c r="X216" s="73"/>
      <c r="Y216" s="74" t="s">
        <v>231</v>
      </c>
      <c r="Z216" s="74"/>
      <c r="AA216" s="74"/>
      <c r="AB216" s="74"/>
      <c r="AC216" s="74"/>
      <c r="AD216" s="74"/>
      <c r="AE216" s="74" t="s">
        <v>232</v>
      </c>
      <c r="AF216" s="74"/>
      <c r="AG216" s="74"/>
      <c r="AH216" s="74"/>
      <c r="AI216" s="74"/>
      <c r="AJ216" s="74"/>
      <c r="AK216" s="75" t="s">
        <v>233</v>
      </c>
      <c r="AL216" s="75"/>
      <c r="AM216" s="75"/>
      <c r="AN216" s="75"/>
      <c r="AO216" s="75"/>
      <c r="AP216" s="76"/>
    </row>
    <row r="217" spans="4:42" ht="24.75" customHeight="1" thickBot="1" thickTop="1">
      <c r="D217" s="177">
        <v>2</v>
      </c>
      <c r="E217" s="178"/>
      <c r="F217" s="178"/>
      <c r="G217" s="179">
        <v>2180</v>
      </c>
      <c r="H217" s="179"/>
      <c r="I217" s="179"/>
      <c r="J217" s="179"/>
      <c r="K217" s="180">
        <v>9</v>
      </c>
      <c r="L217" s="181"/>
      <c r="M217" s="73">
        <f>+G217*K217*D217</f>
        <v>39240</v>
      </c>
      <c r="N217" s="73"/>
      <c r="O217" s="73"/>
      <c r="P217" s="73"/>
      <c r="Q217" s="73"/>
      <c r="R217" s="73"/>
      <c r="S217" s="78" t="s">
        <v>55</v>
      </c>
      <c r="T217" s="78"/>
      <c r="U217" s="78"/>
      <c r="V217" s="78"/>
      <c r="W217" s="78"/>
      <c r="X217" s="78"/>
      <c r="Y217" s="79" t="s">
        <v>55</v>
      </c>
      <c r="Z217" s="79"/>
      <c r="AA217" s="79"/>
      <c r="AB217" s="79"/>
      <c r="AC217" s="79"/>
      <c r="AD217" s="79"/>
      <c r="AE217" s="79" t="s">
        <v>55</v>
      </c>
      <c r="AF217" s="79"/>
      <c r="AG217" s="79"/>
      <c r="AH217" s="79"/>
      <c r="AI217" s="79"/>
      <c r="AJ217" s="79"/>
      <c r="AK217" s="182">
        <f>K217*G217/12*((G217*COS(RADIANS(AG4)))^2+(K217*SIN(RADIANS(AG4)))^2)*D217</f>
        <v>15468440160.32391</v>
      </c>
      <c r="AL217" s="182"/>
      <c r="AM217" s="182"/>
      <c r="AN217" s="182"/>
      <c r="AO217" s="182"/>
      <c r="AP217" s="183"/>
    </row>
    <row r="218" spans="4:42" ht="24.75" customHeight="1" thickTop="1">
      <c r="D218" s="86" t="s">
        <v>56</v>
      </c>
      <c r="E218" s="97"/>
      <c r="F218" s="97"/>
      <c r="G218" s="97"/>
      <c r="H218" s="97"/>
      <c r="I218" s="97"/>
      <c r="J218" s="97"/>
      <c r="K218" s="97"/>
      <c r="L218" s="97"/>
      <c r="M218" s="87">
        <f>SUM(M217:R217)</f>
        <v>39240</v>
      </c>
      <c r="N218" s="87"/>
      <c r="O218" s="87"/>
      <c r="P218" s="87"/>
      <c r="Q218" s="87"/>
      <c r="R218" s="87"/>
      <c r="S218" s="88"/>
      <c r="T218" s="88"/>
      <c r="U218" s="88"/>
      <c r="V218" s="88"/>
      <c r="W218" s="88"/>
      <c r="X218" s="88"/>
      <c r="Y218" s="81"/>
      <c r="Z218" s="81"/>
      <c r="AA218" s="81"/>
      <c r="AB218" s="81"/>
      <c r="AC218" s="81"/>
      <c r="AD218" s="81"/>
      <c r="AE218" s="81">
        <f>SUM(AE217:AJ217)</f>
        <v>0</v>
      </c>
      <c r="AF218" s="81"/>
      <c r="AG218" s="81"/>
      <c r="AH218" s="81"/>
      <c r="AI218" s="81"/>
      <c r="AJ218" s="81"/>
      <c r="AK218" s="82">
        <f>SUM(AK217:AP217)</f>
        <v>15468440160.32391</v>
      </c>
      <c r="AL218" s="82"/>
      <c r="AM218" s="82"/>
      <c r="AN218" s="82"/>
      <c r="AO218" s="82"/>
      <c r="AP218" s="83"/>
    </row>
    <row r="219" spans="4:31" ht="24.75" customHeight="1">
      <c r="D219" s="5" t="s">
        <v>39</v>
      </c>
      <c r="K219" s="84">
        <f>+AK218</f>
        <v>15468440160.32391</v>
      </c>
      <c r="L219" s="84"/>
      <c r="M219" s="84"/>
      <c r="N219" s="84"/>
      <c r="O219" s="84"/>
      <c r="P219" s="84"/>
      <c r="Q219" s="5" t="s">
        <v>48</v>
      </c>
      <c r="R219" s="85">
        <f>+AE218</f>
        <v>0</v>
      </c>
      <c r="S219" s="85"/>
      <c r="T219" s="85"/>
      <c r="U219" s="85"/>
      <c r="V219" s="85"/>
      <c r="W219" s="85"/>
      <c r="X219" s="5" t="s">
        <v>89</v>
      </c>
      <c r="Y219" s="84">
        <f>+K219+R219</f>
        <v>15468440160.32391</v>
      </c>
      <c r="Z219" s="84"/>
      <c r="AA219" s="84"/>
      <c r="AB219" s="84"/>
      <c r="AC219" s="84"/>
      <c r="AD219" s="84"/>
      <c r="AE219" s="5" t="s">
        <v>224</v>
      </c>
    </row>
    <row r="220" spans="4:37" ht="24.75" customHeight="1">
      <c r="D220" s="5" t="s">
        <v>57</v>
      </c>
      <c r="G220" s="90">
        <f>+Y219</f>
        <v>15468440160.32391</v>
      </c>
      <c r="H220" s="90"/>
      <c r="I220" s="90"/>
      <c r="J220" s="90"/>
      <c r="K220" s="90"/>
      <c r="L220" s="90"/>
      <c r="M220" s="5" t="s">
        <v>48</v>
      </c>
      <c r="N220" s="80">
        <f>+M218</f>
        <v>39240</v>
      </c>
      <c r="O220" s="80"/>
      <c r="P220" s="80"/>
      <c r="Q220" s="80"/>
      <c r="R220" s="5" t="s">
        <v>37</v>
      </c>
      <c r="T220" s="80">
        <f>AM145/2</f>
        <v>1100</v>
      </c>
      <c r="U220" s="80"/>
      <c r="V220" s="80"/>
      <c r="W220" s="80"/>
      <c r="X220" s="5" t="s">
        <v>46</v>
      </c>
      <c r="Y220" s="80">
        <f>ROUND(Q225,2)</f>
        <v>1195.39</v>
      </c>
      <c r="Z220" s="80"/>
      <c r="AA220" s="80"/>
      <c r="AB220" s="80"/>
      <c r="AC220" s="5" t="s">
        <v>38</v>
      </c>
      <c r="AE220" s="99">
        <f>+G220+N220*(T220-Y220)^2</f>
        <v>15825494812.727911</v>
      </c>
      <c r="AF220" s="99"/>
      <c r="AG220" s="99"/>
      <c r="AH220" s="99"/>
      <c r="AI220" s="99"/>
      <c r="AJ220" s="99"/>
      <c r="AK220" s="5" t="s">
        <v>224</v>
      </c>
    </row>
    <row r="221" spans="4:34" ht="24.75" customHeight="1">
      <c r="D221" s="5" t="s">
        <v>58</v>
      </c>
      <c r="G221" s="5" t="s">
        <v>234</v>
      </c>
      <c r="AD221" s="6"/>
      <c r="AE221" s="6"/>
      <c r="AF221" s="6"/>
      <c r="AG221" s="6"/>
      <c r="AH221" s="6"/>
    </row>
    <row r="222" spans="7:34" ht="24.75" customHeight="1">
      <c r="G222" s="22"/>
      <c r="H222" s="22"/>
      <c r="I222" s="22"/>
      <c r="J222" s="22"/>
      <c r="K222" s="22"/>
      <c r="M222" s="41"/>
      <c r="N222" s="41"/>
      <c r="O222" s="41"/>
      <c r="P222" s="41"/>
      <c r="S222" s="41"/>
      <c r="T222" s="41"/>
      <c r="U222" s="41"/>
      <c r="V222" s="41"/>
      <c r="X222" s="41"/>
      <c r="Y222" s="41"/>
      <c r="Z222" s="41"/>
      <c r="AA222" s="41"/>
      <c r="AD222" s="6"/>
      <c r="AE222" s="6"/>
      <c r="AF222" s="6"/>
      <c r="AG222" s="6"/>
      <c r="AH222" s="6"/>
    </row>
    <row r="223" spans="4:29" ht="24.75" customHeight="1">
      <c r="D223" s="5" t="s">
        <v>235</v>
      </c>
      <c r="I223" s="8"/>
      <c r="J223" s="8"/>
      <c r="K223" s="8"/>
      <c r="L223" s="8"/>
      <c r="M223" s="41"/>
      <c r="N223" s="41"/>
      <c r="O223" s="41"/>
      <c r="P223" s="41"/>
      <c r="Q223" s="8"/>
      <c r="R223" s="8"/>
      <c r="S223" s="22"/>
      <c r="T223" s="22"/>
      <c r="U223" s="22"/>
      <c r="V223" s="22"/>
      <c r="W223" s="22"/>
      <c r="X223" s="8"/>
      <c r="Y223" s="8"/>
      <c r="Z223" s="69"/>
      <c r="AA223" s="69"/>
      <c r="AB223" s="8"/>
      <c r="AC223" s="8"/>
    </row>
    <row r="224" spans="4:9" ht="24.75" customHeight="1">
      <c r="D224" s="5" t="s">
        <v>236</v>
      </c>
      <c r="I224" s="23"/>
    </row>
    <row r="225" spans="5:21" ht="24.75" customHeight="1">
      <c r="E225" s="5" t="s">
        <v>59</v>
      </c>
      <c r="H225" s="150">
        <v>-1034.610439887</v>
      </c>
      <c r="I225" s="150"/>
      <c r="J225" s="150"/>
      <c r="K225" s="150"/>
      <c r="L225" s="70" t="s">
        <v>102</v>
      </c>
      <c r="N225" s="70" t="s">
        <v>60</v>
      </c>
      <c r="Q225" s="89">
        <f>(AM145+AM17+AM72)+H225</f>
        <v>1195.389560113</v>
      </c>
      <c r="R225" s="89"/>
      <c r="S225" s="89"/>
      <c r="T225" s="89"/>
      <c r="U225" s="70" t="s">
        <v>102</v>
      </c>
    </row>
    <row r="226" spans="4:15" ht="24.75" customHeight="1">
      <c r="D226" s="5" t="s">
        <v>237</v>
      </c>
      <c r="G226" s="23"/>
      <c r="O226" s="5" t="s">
        <v>238</v>
      </c>
    </row>
    <row r="227" spans="4:45" ht="24.75" customHeight="1">
      <c r="D227" s="92" t="s">
        <v>123</v>
      </c>
      <c r="E227" s="92"/>
      <c r="F227" s="92"/>
      <c r="G227" s="97" t="s">
        <v>114</v>
      </c>
      <c r="H227" s="97"/>
      <c r="I227" s="97"/>
      <c r="J227" s="92" t="s">
        <v>61</v>
      </c>
      <c r="K227" s="92"/>
      <c r="L227" s="92"/>
      <c r="M227" s="92" t="s">
        <v>34</v>
      </c>
      <c r="N227" s="98">
        <f>+AA210</f>
        <v>848.5591044179076</v>
      </c>
      <c r="O227" s="98"/>
      <c r="P227" s="98"/>
      <c r="Q227" s="98"/>
      <c r="R227" s="98"/>
      <c r="S227" s="19" t="s">
        <v>41</v>
      </c>
      <c r="T227" s="97">
        <f>10^6</f>
        <v>1000000</v>
      </c>
      <c r="U227" s="97"/>
      <c r="V227" s="97"/>
      <c r="W227" s="95" t="s">
        <v>41</v>
      </c>
      <c r="X227" s="95"/>
      <c r="Y227" s="96">
        <f>+H225</f>
        <v>-1034.610439887</v>
      </c>
      <c r="Z227" s="96"/>
      <c r="AA227" s="96"/>
      <c r="AB227" s="96"/>
      <c r="AC227" s="96"/>
      <c r="AD227" s="92" t="s">
        <v>34</v>
      </c>
      <c r="AE227" s="96">
        <f>+N227*T227/O228*Y227</f>
        <v>-55.47555502566922</v>
      </c>
      <c r="AF227" s="96"/>
      <c r="AG227" s="96"/>
      <c r="AH227" s="96"/>
      <c r="AI227" s="96"/>
      <c r="AJ227" s="92" t="str">
        <f>IF(O2&gt;0,IF(ABS(AE227)&gt;Z7,"N/㎟  ＞   σca ,    N.G","N/㎟  ＜   σca ,    O.K"),IF(ABS(AE227)&gt;O7,"N/㎟  ＞   σta ,    N.G","N/㎟  ＜   σta ,    O.K"))</f>
        <v>N/㎟  ＜   σca ,    O.K</v>
      </c>
      <c r="AK227" s="92"/>
      <c r="AL227" s="92"/>
      <c r="AM227" s="92"/>
      <c r="AN227" s="92"/>
      <c r="AO227" s="92"/>
      <c r="AP227" s="92"/>
      <c r="AQ227" s="92"/>
      <c r="AR227" s="92"/>
      <c r="AS227" s="92"/>
    </row>
    <row r="228" spans="4:45" ht="24.75" customHeight="1">
      <c r="D228" s="92"/>
      <c r="E228" s="92"/>
      <c r="F228" s="92"/>
      <c r="G228" s="93" t="s">
        <v>62</v>
      </c>
      <c r="H228" s="93"/>
      <c r="I228" s="93"/>
      <c r="J228" s="92"/>
      <c r="K228" s="92"/>
      <c r="L228" s="92"/>
      <c r="M228" s="92"/>
      <c r="O228" s="94">
        <f>+AE220</f>
        <v>15825494812.727911</v>
      </c>
      <c r="P228" s="94"/>
      <c r="Q228" s="94"/>
      <c r="R228" s="94"/>
      <c r="S228" s="94"/>
      <c r="T228" s="94"/>
      <c r="U228" s="94"/>
      <c r="W228" s="95"/>
      <c r="X228" s="95"/>
      <c r="Y228" s="96"/>
      <c r="Z228" s="96"/>
      <c r="AA228" s="96"/>
      <c r="AB228" s="96"/>
      <c r="AC228" s="96"/>
      <c r="AD228" s="92"/>
      <c r="AE228" s="96"/>
      <c r="AF228" s="96"/>
      <c r="AG228" s="96"/>
      <c r="AH228" s="96"/>
      <c r="AI228" s="96"/>
      <c r="AJ228" s="92"/>
      <c r="AK228" s="92"/>
      <c r="AL228" s="92"/>
      <c r="AM228" s="92"/>
      <c r="AN228" s="92"/>
      <c r="AO228" s="92"/>
      <c r="AP228" s="92"/>
      <c r="AQ228" s="92"/>
      <c r="AR228" s="92"/>
      <c r="AS228" s="92"/>
    </row>
    <row r="229" spans="4:45" ht="24.75" customHeight="1">
      <c r="D229" s="92" t="s">
        <v>124</v>
      </c>
      <c r="E229" s="92"/>
      <c r="F229" s="92"/>
      <c r="G229" s="97" t="s">
        <v>114</v>
      </c>
      <c r="H229" s="97"/>
      <c r="I229" s="97"/>
      <c r="J229" s="92" t="s">
        <v>63</v>
      </c>
      <c r="K229" s="92"/>
      <c r="L229" s="92"/>
      <c r="M229" s="92" t="s">
        <v>34</v>
      </c>
      <c r="N229" s="98">
        <f>+N227</f>
        <v>848.5591044179076</v>
      </c>
      <c r="O229" s="98"/>
      <c r="P229" s="98"/>
      <c r="Q229" s="98"/>
      <c r="R229" s="98"/>
      <c r="S229" s="19" t="s">
        <v>41</v>
      </c>
      <c r="T229" s="97">
        <f>10^6</f>
        <v>1000000</v>
      </c>
      <c r="U229" s="97"/>
      <c r="V229" s="97"/>
      <c r="W229" s="95" t="s">
        <v>41</v>
      </c>
      <c r="X229" s="95"/>
      <c r="Y229" s="96">
        <f>+Q225</f>
        <v>1195.389560113</v>
      </c>
      <c r="Z229" s="96"/>
      <c r="AA229" s="96"/>
      <c r="AB229" s="96"/>
      <c r="AC229" s="96"/>
      <c r="AD229" s="92" t="s">
        <v>34</v>
      </c>
      <c r="AE229" s="96">
        <f>+N229*T229/O230*Y229</f>
        <v>64.09649155135354</v>
      </c>
      <c r="AF229" s="96"/>
      <c r="AG229" s="96"/>
      <c r="AH229" s="96"/>
      <c r="AI229" s="96"/>
      <c r="AJ229" s="92" t="str">
        <f>IF(O2&gt;0,IF(ABS(AE229)&gt;O7,"N/㎟  ＞   σta ,    N.G","N/㎟  ＜   σta ,    O.K"),IF(ABS(AE229)&gt;Z7,"N/㎟  ＞   σca ,    N.G","N/㎟  ＜   σca ,    O.K"))</f>
        <v>N/㎟  ＜   σta ,    O.K</v>
      </c>
      <c r="AK229" s="92"/>
      <c r="AL229" s="92"/>
      <c r="AM229" s="92"/>
      <c r="AN229" s="92"/>
      <c r="AO229" s="92"/>
      <c r="AP229" s="92"/>
      <c r="AQ229" s="92"/>
      <c r="AR229" s="92"/>
      <c r="AS229" s="92"/>
    </row>
    <row r="230" spans="4:45" ht="24.75" customHeight="1">
      <c r="D230" s="92"/>
      <c r="E230" s="92"/>
      <c r="F230" s="92"/>
      <c r="G230" s="93" t="s">
        <v>62</v>
      </c>
      <c r="H230" s="93"/>
      <c r="I230" s="93"/>
      <c r="J230" s="92"/>
      <c r="K230" s="92"/>
      <c r="L230" s="92"/>
      <c r="M230" s="92"/>
      <c r="O230" s="94">
        <f>+O228</f>
        <v>15825494812.727911</v>
      </c>
      <c r="P230" s="94"/>
      <c r="Q230" s="94"/>
      <c r="R230" s="94"/>
      <c r="S230" s="94"/>
      <c r="T230" s="94"/>
      <c r="U230" s="94"/>
      <c r="W230" s="95"/>
      <c r="X230" s="95"/>
      <c r="Y230" s="96"/>
      <c r="Z230" s="96"/>
      <c r="AA230" s="96"/>
      <c r="AB230" s="96"/>
      <c r="AC230" s="96"/>
      <c r="AD230" s="92"/>
      <c r="AE230" s="96"/>
      <c r="AF230" s="96"/>
      <c r="AG230" s="96"/>
      <c r="AH230" s="96"/>
      <c r="AI230" s="96"/>
      <c r="AJ230" s="92"/>
      <c r="AK230" s="92"/>
      <c r="AL230" s="92"/>
      <c r="AM230" s="92"/>
      <c r="AN230" s="92"/>
      <c r="AO230" s="92"/>
      <c r="AP230" s="92"/>
      <c r="AQ230" s="92"/>
      <c r="AR230" s="92"/>
      <c r="AS230" s="92"/>
    </row>
    <row r="231" spans="4:32" ht="24.75" customHeight="1">
      <c r="D231" s="8"/>
      <c r="E231" s="8"/>
      <c r="G231" s="53"/>
      <c r="H231" s="53"/>
      <c r="I231" s="53"/>
      <c r="J231" s="53"/>
      <c r="K231" s="53"/>
      <c r="M231" s="53"/>
      <c r="N231" s="53"/>
      <c r="O231" s="53"/>
      <c r="P231" s="53"/>
      <c r="Q231" s="53"/>
      <c r="S231" s="53"/>
      <c r="T231" s="53"/>
      <c r="U231" s="53"/>
      <c r="V231" s="53"/>
      <c r="W231" s="53"/>
      <c r="X231" s="25"/>
      <c r="Y231" s="25"/>
      <c r="Z231" s="25"/>
      <c r="AA231" s="25"/>
      <c r="AB231" s="25"/>
      <c r="AC231" s="25"/>
      <c r="AD231" s="25"/>
      <c r="AE231" s="25"/>
      <c r="AF231" s="25"/>
    </row>
    <row r="234" spans="1:2" ht="24.75" customHeight="1">
      <c r="A234" s="4"/>
      <c r="B234" s="145" t="s">
        <v>273</v>
      </c>
    </row>
    <row r="235" spans="3:43" ht="24.75" customHeight="1">
      <c r="C235" s="5" t="s">
        <v>207</v>
      </c>
      <c r="O235" s="146">
        <v>10613.32414094</v>
      </c>
      <c r="P235" s="146"/>
      <c r="Q235" s="146"/>
      <c r="R235" s="146"/>
      <c r="S235" s="146"/>
      <c r="T235" s="5" t="s">
        <v>111</v>
      </c>
      <c r="Z235" s="5" t="s">
        <v>12</v>
      </c>
      <c r="AE235" s="5" t="s">
        <v>105</v>
      </c>
      <c r="AG235" s="146">
        <v>2.4</v>
      </c>
      <c r="AH235" s="146"/>
      <c r="AI235" s="146"/>
      <c r="AJ235" s="5" t="s">
        <v>106</v>
      </c>
      <c r="AL235" s="5" t="s">
        <v>107</v>
      </c>
      <c r="AN235" s="146">
        <v>2.1</v>
      </c>
      <c r="AO235" s="146"/>
      <c r="AP235" s="146"/>
      <c r="AQ235" s="5" t="s">
        <v>106</v>
      </c>
    </row>
    <row r="236" spans="3:36" ht="24.75" customHeight="1">
      <c r="C236" s="5" t="s">
        <v>208</v>
      </c>
      <c r="O236" s="146">
        <v>409.45774052</v>
      </c>
      <c r="P236" s="146"/>
      <c r="Q236" s="146"/>
      <c r="R236" s="146"/>
      <c r="S236" s="146"/>
      <c r="T236" s="5" t="s">
        <v>112</v>
      </c>
      <c r="Z236" s="5" t="s">
        <v>13</v>
      </c>
      <c r="AE236" s="5" t="s">
        <v>108</v>
      </c>
      <c r="AG236" s="146">
        <v>2.2</v>
      </c>
      <c r="AH236" s="146"/>
      <c r="AI236" s="146"/>
      <c r="AJ236" s="5" t="s">
        <v>106</v>
      </c>
    </row>
    <row r="237" spans="3:36" ht="24.75" customHeight="1">
      <c r="C237" s="5" t="s">
        <v>174</v>
      </c>
      <c r="J237" s="53"/>
      <c r="K237" s="53"/>
      <c r="L237" s="53"/>
      <c r="M237" s="53"/>
      <c r="N237" s="53"/>
      <c r="O237" s="146">
        <v>426.8238759</v>
      </c>
      <c r="P237" s="146"/>
      <c r="Q237" s="146"/>
      <c r="R237" s="146"/>
      <c r="S237" s="146"/>
      <c r="T237" s="5" t="s">
        <v>111</v>
      </c>
      <c r="Z237" s="5" t="s">
        <v>14</v>
      </c>
      <c r="AE237" s="147" t="s">
        <v>109</v>
      </c>
      <c r="AF237" s="147"/>
      <c r="AG237" s="148">
        <f>DEGREES(ATAN((AG235-AN235)/2/AG236))</f>
        <v>3.900493742381888</v>
      </c>
      <c r="AH237" s="148"/>
      <c r="AI237" s="148"/>
      <c r="AJ237" s="149" t="s">
        <v>110</v>
      </c>
    </row>
    <row r="238" spans="3:28" ht="24.75" customHeight="1">
      <c r="C238" s="5" t="s">
        <v>175</v>
      </c>
      <c r="O238" s="150">
        <v>-86.107534931</v>
      </c>
      <c r="P238" s="150"/>
      <c r="Q238" s="150"/>
      <c r="R238" s="150"/>
      <c r="S238" s="150"/>
      <c r="T238" s="5" t="s">
        <v>218</v>
      </c>
      <c r="AB238" s="151" t="s">
        <v>11</v>
      </c>
    </row>
    <row r="239" spans="3:47" ht="24.75" customHeight="1">
      <c r="C239" s="5" t="s">
        <v>176</v>
      </c>
      <c r="O239" s="150">
        <v>99.488700612</v>
      </c>
      <c r="P239" s="150"/>
      <c r="Q239" s="150"/>
      <c r="R239" s="150"/>
      <c r="S239" s="150"/>
      <c r="T239" s="5" t="s">
        <v>218</v>
      </c>
      <c r="AU239" s="152"/>
    </row>
    <row r="240" spans="3:85" ht="24.75" customHeight="1">
      <c r="C240" s="5" t="s">
        <v>177</v>
      </c>
      <c r="F240" s="153" t="s">
        <v>266</v>
      </c>
      <c r="G240" s="153"/>
      <c r="H240" s="153"/>
      <c r="I240" s="153"/>
      <c r="J240" s="145" t="s">
        <v>257</v>
      </c>
      <c r="L240" s="5" t="s">
        <v>148</v>
      </c>
      <c r="O240" s="102">
        <f>HLOOKUP(F240,AX241:CJ244,AU241,FALSE)</f>
        <v>210</v>
      </c>
      <c r="P240" s="102"/>
      <c r="Q240" s="102"/>
      <c r="R240" s="102"/>
      <c r="S240" s="5" t="s">
        <v>218</v>
      </c>
      <c r="W240" s="5" t="s">
        <v>149</v>
      </c>
      <c r="Z240" s="150">
        <v>188.533333333</v>
      </c>
      <c r="AA240" s="150"/>
      <c r="AB240" s="150"/>
      <c r="AC240" s="150"/>
      <c r="AD240" s="5" t="s">
        <v>218</v>
      </c>
      <c r="AH240" s="5" t="s">
        <v>150</v>
      </c>
      <c r="AK240" s="102">
        <f>HLOOKUP(F240,AX246:CJ249,AU246,FALSE)</f>
        <v>120</v>
      </c>
      <c r="AL240" s="102"/>
      <c r="AM240" s="102"/>
      <c r="AN240" s="102"/>
      <c r="AO240" s="5" t="s">
        <v>218</v>
      </c>
      <c r="AU240" s="143" t="s">
        <v>220</v>
      </c>
      <c r="AV240" s="143"/>
      <c r="AW240" s="143"/>
      <c r="AX240" s="143"/>
      <c r="AY240" s="143"/>
      <c r="AZ240" s="143"/>
      <c r="BA240" s="143"/>
      <c r="BB240" s="143"/>
      <c r="BC240" s="143"/>
      <c r="BD240" s="143"/>
      <c r="BE240" s="143"/>
      <c r="BF240" s="152"/>
      <c r="BG240" s="152"/>
      <c r="BH240" s="152"/>
      <c r="BI240" s="152"/>
      <c r="BJ240" s="152"/>
      <c r="BK240" s="152"/>
      <c r="BL240" s="152"/>
      <c r="BM240" s="152"/>
      <c r="BN240" s="152"/>
      <c r="BO240" s="152"/>
      <c r="BP240" s="152"/>
      <c r="BQ240" s="152"/>
      <c r="BR240" s="152"/>
      <c r="BS240" s="152"/>
      <c r="BT240" s="152"/>
      <c r="BU240" s="152"/>
      <c r="BV240" s="152"/>
      <c r="BW240" s="152"/>
      <c r="BX240" s="152"/>
      <c r="BY240" s="152"/>
      <c r="BZ240" s="152"/>
      <c r="CA240" s="152"/>
      <c r="CB240" s="152"/>
      <c r="CC240" s="152"/>
      <c r="CD240" s="152"/>
      <c r="CE240" s="152"/>
      <c r="CF240" s="152"/>
      <c r="CG240" s="152"/>
    </row>
    <row r="241" spans="3:88" ht="24.75" customHeight="1">
      <c r="C241" s="5" t="s">
        <v>189</v>
      </c>
      <c r="H241" s="154">
        <v>22</v>
      </c>
      <c r="I241" s="154"/>
      <c r="J241" s="154"/>
      <c r="K241" s="155" t="s">
        <v>267</v>
      </c>
      <c r="L241" s="156">
        <v>10</v>
      </c>
      <c r="M241" s="156"/>
      <c r="N241" s="156"/>
      <c r="O241" s="5" t="s">
        <v>40</v>
      </c>
      <c r="R241" s="124">
        <f>IF(H241=20,IF(L241=10,39000,31000),IF(H241=22,IF(L241=10,48000,39000),IF(H241=24,IF(L241=10,56000,45000),"確認希望")))</f>
        <v>48000</v>
      </c>
      <c r="S241" s="124"/>
      <c r="T241" s="124"/>
      <c r="U241" s="5" t="s">
        <v>41</v>
      </c>
      <c r="V241" s="144">
        <v>2</v>
      </c>
      <c r="W241" s="144"/>
      <c r="X241" s="144"/>
      <c r="Y241" s="144"/>
      <c r="Z241" s="8" t="s">
        <v>34</v>
      </c>
      <c r="AA241" s="92">
        <f>+R241*V241</f>
        <v>96000</v>
      </c>
      <c r="AB241" s="92"/>
      <c r="AC241" s="92"/>
      <c r="AD241" s="5" t="s">
        <v>113</v>
      </c>
      <c r="AU241" s="135">
        <f>IF(AM250&lt;=40,2,IF(AM250&lt;=75,3,4))</f>
        <v>2</v>
      </c>
      <c r="AV241" s="136"/>
      <c r="AW241" s="137"/>
      <c r="AX241" s="138" t="s">
        <v>91</v>
      </c>
      <c r="AY241" s="139"/>
      <c r="AZ241" s="140"/>
      <c r="BA241" s="138" t="s">
        <v>92</v>
      </c>
      <c r="BB241" s="139"/>
      <c r="BC241" s="140"/>
      <c r="BD241" s="138" t="s">
        <v>93</v>
      </c>
      <c r="BE241" s="139"/>
      <c r="BF241" s="140"/>
      <c r="BG241" s="138" t="s">
        <v>132</v>
      </c>
      <c r="BH241" s="139"/>
      <c r="BI241" s="140"/>
      <c r="BJ241" s="138" t="s">
        <v>90</v>
      </c>
      <c r="BK241" s="139"/>
      <c r="BL241" s="140"/>
      <c r="BM241" s="157" t="s">
        <v>133</v>
      </c>
      <c r="BN241" s="158"/>
      <c r="BO241" s="159"/>
      <c r="BP241" s="138" t="s">
        <v>94</v>
      </c>
      <c r="BQ241" s="139"/>
      <c r="BR241" s="140"/>
      <c r="BS241" s="138" t="s">
        <v>95</v>
      </c>
      <c r="BT241" s="139"/>
      <c r="BU241" s="140"/>
      <c r="BV241" s="138" t="s">
        <v>96</v>
      </c>
      <c r="BW241" s="139"/>
      <c r="BX241" s="140"/>
      <c r="BY241" s="157" t="s">
        <v>134</v>
      </c>
      <c r="BZ241" s="158"/>
      <c r="CA241" s="159"/>
      <c r="CB241" s="138" t="s">
        <v>97</v>
      </c>
      <c r="CC241" s="139"/>
      <c r="CD241" s="140"/>
      <c r="CE241" s="138" t="s">
        <v>98</v>
      </c>
      <c r="CF241" s="139"/>
      <c r="CG241" s="140"/>
      <c r="CH241" s="157" t="s">
        <v>135</v>
      </c>
      <c r="CI241" s="158"/>
      <c r="CJ241" s="159"/>
    </row>
    <row r="242" spans="10:88" ht="24.75" customHeight="1">
      <c r="J242" s="160"/>
      <c r="AU242" s="161">
        <v>40</v>
      </c>
      <c r="AV242" s="161"/>
      <c r="AW242" s="161"/>
      <c r="AX242" s="135">
        <v>140</v>
      </c>
      <c r="AY242" s="136"/>
      <c r="AZ242" s="137"/>
      <c r="BA242" s="135">
        <f>AX242</f>
        <v>140</v>
      </c>
      <c r="BB242" s="136"/>
      <c r="BC242" s="137"/>
      <c r="BD242" s="135">
        <f>AX242</f>
        <v>140</v>
      </c>
      <c r="BE242" s="136"/>
      <c r="BF242" s="137"/>
      <c r="BG242" s="135">
        <v>140</v>
      </c>
      <c r="BH242" s="136"/>
      <c r="BI242" s="137"/>
      <c r="BJ242" s="135">
        <v>185</v>
      </c>
      <c r="BK242" s="136"/>
      <c r="BL242" s="137"/>
      <c r="BM242" s="135">
        <f>BJ242</f>
        <v>185</v>
      </c>
      <c r="BN242" s="136"/>
      <c r="BO242" s="137"/>
      <c r="BP242" s="135">
        <v>210</v>
      </c>
      <c r="BQ242" s="136"/>
      <c r="BR242" s="137"/>
      <c r="BS242" s="135">
        <f>BP242</f>
        <v>210</v>
      </c>
      <c r="BT242" s="136"/>
      <c r="BU242" s="137"/>
      <c r="BV242" s="135">
        <f>BP242</f>
        <v>210</v>
      </c>
      <c r="BW242" s="136"/>
      <c r="BX242" s="137"/>
      <c r="BY242" s="135">
        <v>210</v>
      </c>
      <c r="BZ242" s="136"/>
      <c r="CA242" s="137"/>
      <c r="CB242" s="135">
        <v>255</v>
      </c>
      <c r="CC242" s="136"/>
      <c r="CD242" s="137"/>
      <c r="CE242" s="135">
        <f>CB242</f>
        <v>255</v>
      </c>
      <c r="CF242" s="136"/>
      <c r="CG242" s="137"/>
      <c r="CH242" s="135">
        <f>CE242</f>
        <v>255</v>
      </c>
      <c r="CI242" s="136"/>
      <c r="CJ242" s="137"/>
    </row>
    <row r="243" spans="2:88" ht="24.75" customHeight="1">
      <c r="B243" s="5" t="s">
        <v>0</v>
      </c>
      <c r="I243" s="92" t="str">
        <f>IF(O235&gt;0,"(上フランジ)","(下フランジ)")</f>
        <v>(上フランジ)</v>
      </c>
      <c r="J243" s="92"/>
      <c r="K243" s="92"/>
      <c r="L243" s="92"/>
      <c r="M243" s="92"/>
      <c r="N243" s="92"/>
      <c r="O243" s="5" t="s">
        <v>249</v>
      </c>
      <c r="AU243" s="162" t="s">
        <v>99</v>
      </c>
      <c r="AV243" s="162"/>
      <c r="AW243" s="162"/>
      <c r="AX243" s="135">
        <v>125</v>
      </c>
      <c r="AY243" s="136"/>
      <c r="AZ243" s="137"/>
      <c r="BA243" s="135">
        <f>AX243</f>
        <v>125</v>
      </c>
      <c r="BB243" s="136"/>
      <c r="BC243" s="137"/>
      <c r="BD243" s="135">
        <f>AX243</f>
        <v>125</v>
      </c>
      <c r="BE243" s="136"/>
      <c r="BF243" s="137"/>
      <c r="BG243" s="135">
        <v>140</v>
      </c>
      <c r="BH243" s="136"/>
      <c r="BI243" s="137"/>
      <c r="BJ243" s="135">
        <v>175</v>
      </c>
      <c r="BK243" s="136"/>
      <c r="BL243" s="137"/>
      <c r="BM243" s="135">
        <f>BM242</f>
        <v>185</v>
      </c>
      <c r="BN243" s="136"/>
      <c r="BO243" s="137"/>
      <c r="BP243" s="135">
        <v>200</v>
      </c>
      <c r="BQ243" s="136"/>
      <c r="BR243" s="137"/>
      <c r="BS243" s="135">
        <f>BP243</f>
        <v>200</v>
      </c>
      <c r="BT243" s="136"/>
      <c r="BU243" s="137"/>
      <c r="BV243" s="135">
        <f>BP243</f>
        <v>200</v>
      </c>
      <c r="BW243" s="136"/>
      <c r="BX243" s="137"/>
      <c r="BY243" s="135">
        <v>210</v>
      </c>
      <c r="BZ243" s="136"/>
      <c r="CA243" s="137"/>
      <c r="CB243" s="135">
        <v>245</v>
      </c>
      <c r="CC243" s="136"/>
      <c r="CD243" s="137"/>
      <c r="CE243" s="135">
        <f>CB243</f>
        <v>245</v>
      </c>
      <c r="CF243" s="136"/>
      <c r="CG243" s="137"/>
      <c r="CH243" s="135">
        <f>CH242</f>
        <v>255</v>
      </c>
      <c r="CI243" s="136"/>
      <c r="CJ243" s="137"/>
    </row>
    <row r="244" spans="3:88" ht="24.75" customHeight="1">
      <c r="C244" s="5" t="s">
        <v>115</v>
      </c>
      <c r="E244" s="142">
        <f>IF(O235&gt;0,ABS(O238),ABS(O239))</f>
        <v>86.107534931</v>
      </c>
      <c r="F244" s="142"/>
      <c r="G244" s="142"/>
      <c r="H244" s="142"/>
      <c r="I244" s="142"/>
      <c r="J244" s="142"/>
      <c r="K244" s="5" t="str">
        <f>+T238</f>
        <v>N/㎟</v>
      </c>
      <c r="AU244" s="162" t="s">
        <v>100</v>
      </c>
      <c r="AV244" s="162"/>
      <c r="AW244" s="162"/>
      <c r="AX244" s="135">
        <v>125</v>
      </c>
      <c r="AY244" s="136"/>
      <c r="AZ244" s="137"/>
      <c r="BA244" s="135">
        <f>AX244</f>
        <v>125</v>
      </c>
      <c r="BB244" s="136"/>
      <c r="BC244" s="137"/>
      <c r="BD244" s="135">
        <f>AX244</f>
        <v>125</v>
      </c>
      <c r="BE244" s="136"/>
      <c r="BF244" s="137"/>
      <c r="BG244" s="135">
        <v>140</v>
      </c>
      <c r="BH244" s="136"/>
      <c r="BI244" s="137"/>
      <c r="BJ244" s="135">
        <v>175</v>
      </c>
      <c r="BK244" s="136"/>
      <c r="BL244" s="137"/>
      <c r="BM244" s="135">
        <f>BM242</f>
        <v>185</v>
      </c>
      <c r="BN244" s="136"/>
      <c r="BO244" s="137"/>
      <c r="BP244" s="135">
        <v>195</v>
      </c>
      <c r="BQ244" s="136"/>
      <c r="BR244" s="137"/>
      <c r="BS244" s="135">
        <f>BP244</f>
        <v>195</v>
      </c>
      <c r="BT244" s="136"/>
      <c r="BU244" s="137"/>
      <c r="BV244" s="135">
        <f>BP244</f>
        <v>195</v>
      </c>
      <c r="BW244" s="136"/>
      <c r="BX244" s="137"/>
      <c r="BY244" s="135">
        <v>210</v>
      </c>
      <c r="BZ244" s="136"/>
      <c r="CA244" s="137"/>
      <c r="CB244" s="135">
        <v>240</v>
      </c>
      <c r="CC244" s="136"/>
      <c r="CD244" s="137"/>
      <c r="CE244" s="135">
        <f>CB244</f>
        <v>240</v>
      </c>
      <c r="CF244" s="136"/>
      <c r="CG244" s="137"/>
      <c r="CH244" s="135">
        <f>CH242</f>
        <v>255</v>
      </c>
      <c r="CI244" s="136"/>
      <c r="CJ244" s="137"/>
    </row>
    <row r="245" spans="3:54" ht="24.75" customHeight="1">
      <c r="C245" s="5" t="s">
        <v>116</v>
      </c>
      <c r="E245" s="130">
        <v>0.75</v>
      </c>
      <c r="F245" s="130"/>
      <c r="G245" s="130"/>
      <c r="H245" s="130"/>
      <c r="I245" s="5" t="s">
        <v>41</v>
      </c>
      <c r="J245" s="102">
        <f>Z240</f>
        <v>188.533333333</v>
      </c>
      <c r="K245" s="102"/>
      <c r="L245" s="102"/>
      <c r="M245" s="5" t="s">
        <v>34</v>
      </c>
      <c r="N245" s="89">
        <f>+E245*J245</f>
        <v>141.39999999975</v>
      </c>
      <c r="O245" s="89"/>
      <c r="P245" s="89"/>
      <c r="Q245" s="89"/>
      <c r="R245" s="5" t="str">
        <f>+K244</f>
        <v>N/㎟</v>
      </c>
      <c r="T245" s="10"/>
      <c r="U245" s="11"/>
      <c r="V245" s="12" t="s">
        <v>178</v>
      </c>
      <c r="AU245" s="141" t="s">
        <v>221</v>
      </c>
      <c r="AV245" s="141"/>
      <c r="AW245" s="141"/>
      <c r="AX245" s="141"/>
      <c r="AY245" s="141"/>
      <c r="AZ245" s="141"/>
      <c r="BA245" s="141"/>
      <c r="BB245" s="141"/>
    </row>
    <row r="246" spans="3:88" ht="24.75" customHeight="1">
      <c r="C246" s="5" t="s">
        <v>247</v>
      </c>
      <c r="L246" s="5" t="str">
        <f>IF(O235&gt;0,"σu","σl")</f>
        <v>σu</v>
      </c>
      <c r="N246" s="5" t="s">
        <v>179</v>
      </c>
      <c r="P246" s="89">
        <f>+MAX(E244,N245)</f>
        <v>141.39999999975</v>
      </c>
      <c r="Q246" s="89"/>
      <c r="R246" s="89"/>
      <c r="S246" s="89"/>
      <c r="T246" s="5" t="s">
        <v>222</v>
      </c>
      <c r="AU246" s="135">
        <f>AU241</f>
        <v>2</v>
      </c>
      <c r="AV246" s="136"/>
      <c r="AW246" s="137"/>
      <c r="AX246" s="138" t="s">
        <v>91</v>
      </c>
      <c r="AY246" s="139"/>
      <c r="AZ246" s="140"/>
      <c r="BA246" s="138" t="s">
        <v>92</v>
      </c>
      <c r="BB246" s="139"/>
      <c r="BC246" s="140"/>
      <c r="BD246" s="138" t="s">
        <v>93</v>
      </c>
      <c r="BE246" s="139"/>
      <c r="BF246" s="140"/>
      <c r="BG246" s="138" t="s">
        <v>132</v>
      </c>
      <c r="BH246" s="139"/>
      <c r="BI246" s="140"/>
      <c r="BJ246" s="138" t="s">
        <v>90</v>
      </c>
      <c r="BK246" s="139"/>
      <c r="BL246" s="140"/>
      <c r="BM246" s="157" t="s">
        <v>133</v>
      </c>
      <c r="BN246" s="158"/>
      <c r="BO246" s="159"/>
      <c r="BP246" s="138" t="s">
        <v>94</v>
      </c>
      <c r="BQ246" s="139"/>
      <c r="BR246" s="140"/>
      <c r="BS246" s="138" t="s">
        <v>95</v>
      </c>
      <c r="BT246" s="139"/>
      <c r="BU246" s="140"/>
      <c r="BV246" s="138" t="s">
        <v>96</v>
      </c>
      <c r="BW246" s="139"/>
      <c r="BX246" s="140"/>
      <c r="BY246" s="157" t="s">
        <v>134</v>
      </c>
      <c r="BZ246" s="158"/>
      <c r="CA246" s="159"/>
      <c r="CB246" s="138" t="s">
        <v>97</v>
      </c>
      <c r="CC246" s="139"/>
      <c r="CD246" s="140"/>
      <c r="CE246" s="138" t="s">
        <v>98</v>
      </c>
      <c r="CF246" s="139"/>
      <c r="CG246" s="140"/>
      <c r="CH246" s="157" t="s">
        <v>135</v>
      </c>
      <c r="CI246" s="158"/>
      <c r="CJ246" s="159"/>
    </row>
    <row r="247" spans="7:88" ht="24.75" customHeight="1">
      <c r="G247" s="9"/>
      <c r="AU247" s="161">
        <v>40</v>
      </c>
      <c r="AV247" s="161"/>
      <c r="AW247" s="161"/>
      <c r="AX247" s="135">
        <v>80</v>
      </c>
      <c r="AY247" s="136"/>
      <c r="AZ247" s="137"/>
      <c r="BA247" s="135">
        <f>AX247</f>
        <v>80</v>
      </c>
      <c r="BB247" s="136"/>
      <c r="BC247" s="137"/>
      <c r="BD247" s="135">
        <f>AX247</f>
        <v>80</v>
      </c>
      <c r="BE247" s="136"/>
      <c r="BF247" s="137"/>
      <c r="BG247" s="135">
        <v>80</v>
      </c>
      <c r="BH247" s="136"/>
      <c r="BI247" s="137"/>
      <c r="BJ247" s="135">
        <v>105</v>
      </c>
      <c r="BK247" s="136"/>
      <c r="BL247" s="137"/>
      <c r="BM247" s="135">
        <v>105</v>
      </c>
      <c r="BN247" s="136"/>
      <c r="BO247" s="137"/>
      <c r="BP247" s="135">
        <v>120</v>
      </c>
      <c r="BQ247" s="136"/>
      <c r="BR247" s="137"/>
      <c r="BS247" s="135">
        <f>BP247</f>
        <v>120</v>
      </c>
      <c r="BT247" s="136"/>
      <c r="BU247" s="137"/>
      <c r="BV247" s="135">
        <f>BP247</f>
        <v>120</v>
      </c>
      <c r="BW247" s="136"/>
      <c r="BX247" s="137"/>
      <c r="BY247" s="135">
        <v>120</v>
      </c>
      <c r="BZ247" s="136"/>
      <c r="CA247" s="137"/>
      <c r="CB247" s="135">
        <v>145</v>
      </c>
      <c r="CC247" s="136"/>
      <c r="CD247" s="137"/>
      <c r="CE247" s="135">
        <f>CB247</f>
        <v>145</v>
      </c>
      <c r="CF247" s="136"/>
      <c r="CG247" s="137"/>
      <c r="CH247" s="135">
        <v>145</v>
      </c>
      <c r="CI247" s="136"/>
      <c r="CJ247" s="137"/>
    </row>
    <row r="248" spans="7:88" ht="24.75" customHeight="1">
      <c r="G248" s="9"/>
      <c r="AU248" s="162" t="s">
        <v>99</v>
      </c>
      <c r="AV248" s="162"/>
      <c r="AW248" s="162"/>
      <c r="AX248" s="135">
        <v>75</v>
      </c>
      <c r="AY248" s="136"/>
      <c r="AZ248" s="137"/>
      <c r="BA248" s="135">
        <f>AX248</f>
        <v>75</v>
      </c>
      <c r="BB248" s="136"/>
      <c r="BC248" s="137"/>
      <c r="BD248" s="135">
        <f>AX248</f>
        <v>75</v>
      </c>
      <c r="BE248" s="136"/>
      <c r="BF248" s="137"/>
      <c r="BG248" s="135">
        <v>80</v>
      </c>
      <c r="BH248" s="136"/>
      <c r="BI248" s="137"/>
      <c r="BJ248" s="135">
        <v>100</v>
      </c>
      <c r="BK248" s="136"/>
      <c r="BL248" s="137"/>
      <c r="BM248" s="135">
        <v>105</v>
      </c>
      <c r="BN248" s="136"/>
      <c r="BO248" s="137"/>
      <c r="BP248" s="135">
        <v>115</v>
      </c>
      <c r="BQ248" s="136"/>
      <c r="BR248" s="137"/>
      <c r="BS248" s="135">
        <f>BP248</f>
        <v>115</v>
      </c>
      <c r="BT248" s="136"/>
      <c r="BU248" s="137"/>
      <c r="BV248" s="135">
        <f>BP248</f>
        <v>115</v>
      </c>
      <c r="BW248" s="136"/>
      <c r="BX248" s="137"/>
      <c r="BY248" s="135">
        <v>120</v>
      </c>
      <c r="BZ248" s="136"/>
      <c r="CA248" s="137"/>
      <c r="CB248" s="135">
        <v>140</v>
      </c>
      <c r="CC248" s="136"/>
      <c r="CD248" s="137"/>
      <c r="CE248" s="135">
        <f>CB248</f>
        <v>140</v>
      </c>
      <c r="CF248" s="136"/>
      <c r="CG248" s="137"/>
      <c r="CH248" s="135">
        <v>145</v>
      </c>
      <c r="CI248" s="136"/>
      <c r="CJ248" s="137"/>
    </row>
    <row r="249" spans="7:88" ht="24.75" customHeight="1">
      <c r="G249" s="9"/>
      <c r="AU249" s="162" t="s">
        <v>100</v>
      </c>
      <c r="AV249" s="162"/>
      <c r="AW249" s="162"/>
      <c r="AX249" s="135">
        <v>75</v>
      </c>
      <c r="AY249" s="136"/>
      <c r="AZ249" s="137"/>
      <c r="BA249" s="135">
        <f>AX249</f>
        <v>75</v>
      </c>
      <c r="BB249" s="136"/>
      <c r="BC249" s="137"/>
      <c r="BD249" s="135">
        <f>AX249</f>
        <v>75</v>
      </c>
      <c r="BE249" s="136"/>
      <c r="BF249" s="137"/>
      <c r="BG249" s="135">
        <v>80</v>
      </c>
      <c r="BH249" s="136"/>
      <c r="BI249" s="137"/>
      <c r="BJ249" s="135">
        <v>100</v>
      </c>
      <c r="BK249" s="136"/>
      <c r="BL249" s="137"/>
      <c r="BM249" s="135">
        <v>105</v>
      </c>
      <c r="BN249" s="136"/>
      <c r="BO249" s="137"/>
      <c r="BP249" s="135">
        <v>110</v>
      </c>
      <c r="BQ249" s="136"/>
      <c r="BR249" s="137"/>
      <c r="BS249" s="135">
        <f>BP249</f>
        <v>110</v>
      </c>
      <c r="BT249" s="136"/>
      <c r="BU249" s="137"/>
      <c r="BV249" s="135">
        <f>BP249</f>
        <v>110</v>
      </c>
      <c r="BW249" s="136"/>
      <c r="BX249" s="137"/>
      <c r="BY249" s="135">
        <v>120</v>
      </c>
      <c r="BZ249" s="136"/>
      <c r="CA249" s="137"/>
      <c r="CB249" s="135">
        <v>135</v>
      </c>
      <c r="CC249" s="136"/>
      <c r="CD249" s="137"/>
      <c r="CE249" s="135">
        <f>CB249</f>
        <v>135</v>
      </c>
      <c r="CF249" s="136"/>
      <c r="CG249" s="137"/>
      <c r="CH249" s="135">
        <v>145</v>
      </c>
      <c r="CI249" s="136"/>
      <c r="CJ249" s="137"/>
    </row>
    <row r="250" spans="7:41" ht="24.75" customHeight="1">
      <c r="G250" s="9"/>
      <c r="AH250" s="5" t="s">
        <v>180</v>
      </c>
      <c r="AM250" s="163">
        <v>15</v>
      </c>
      <c r="AN250" s="163"/>
      <c r="AO250" s="5" t="s">
        <v>84</v>
      </c>
    </row>
    <row r="251" spans="34:42" ht="24.75" customHeight="1">
      <c r="AH251" s="5" t="s">
        <v>217</v>
      </c>
      <c r="AM251" s="163">
        <v>2640</v>
      </c>
      <c r="AN251" s="163"/>
      <c r="AO251" s="163"/>
      <c r="AP251" s="4" t="s">
        <v>84</v>
      </c>
    </row>
    <row r="252" spans="34:43" ht="24.75" customHeight="1">
      <c r="AH252" s="5" t="s">
        <v>210</v>
      </c>
      <c r="AO252" s="163">
        <v>120</v>
      </c>
      <c r="AP252" s="163"/>
      <c r="AQ252" s="5" t="s">
        <v>84</v>
      </c>
    </row>
    <row r="253" spans="34:38" ht="24.75" customHeight="1">
      <c r="AH253" s="5" t="s">
        <v>201</v>
      </c>
      <c r="AL253" s="5" t="s">
        <v>223</v>
      </c>
    </row>
    <row r="258" ht="24.75" customHeight="1">
      <c r="C258" s="5" t="s">
        <v>181</v>
      </c>
    </row>
    <row r="259" spans="4:40" ht="24.75" customHeight="1">
      <c r="D259" s="5" t="s">
        <v>182</v>
      </c>
      <c r="I259" s="5" t="str">
        <f>IF(O235&gt;0,"Asσs ＋ 2 Pfwu","Asσs ＋ 2 Pfwl")</f>
        <v>Asσs ＋ 2 Pfwu</v>
      </c>
      <c r="P259" s="5" t="s">
        <v>89</v>
      </c>
      <c r="Q259" s="95">
        <f>+AM250</f>
        <v>15</v>
      </c>
      <c r="R259" s="95"/>
      <c r="S259" s="14" t="s">
        <v>41</v>
      </c>
      <c r="T259" s="114">
        <f>+AM251</f>
        <v>2640</v>
      </c>
      <c r="U259" s="114"/>
      <c r="V259" s="114"/>
      <c r="W259" s="14" t="s">
        <v>41</v>
      </c>
      <c r="X259" s="108">
        <f>P246</f>
        <v>141.39999999975</v>
      </c>
      <c r="Y259" s="108"/>
      <c r="Z259" s="108"/>
      <c r="AA259" s="14" t="s">
        <v>143</v>
      </c>
      <c r="AB259" s="95">
        <f>IF(O235&gt;0,AD401,AD418)</f>
        <v>44025.09888112242</v>
      </c>
      <c r="AC259" s="95"/>
      <c r="AD259" s="95"/>
      <c r="AE259" s="95"/>
      <c r="AF259" s="14" t="s">
        <v>138</v>
      </c>
      <c r="AG259" s="14"/>
      <c r="AH259" s="5" t="s">
        <v>89</v>
      </c>
      <c r="AI259" s="102">
        <f>Q259*T259*X259+AB259*2</f>
        <v>5687490.197752345</v>
      </c>
      <c r="AJ259" s="102"/>
      <c r="AK259" s="102"/>
      <c r="AL259" s="102"/>
      <c r="AM259" s="102"/>
      <c r="AN259" s="5" t="s">
        <v>113</v>
      </c>
    </row>
    <row r="260" spans="9:31" ht="24.75" customHeight="1">
      <c r="I260" s="5" t="s">
        <v>200</v>
      </c>
      <c r="V260" s="5" t="str">
        <f>IF(O235&gt;0,"Pfwu","Pfwl")</f>
        <v>Pfwu</v>
      </c>
      <c r="X260" s="14" t="s">
        <v>183</v>
      </c>
      <c r="Y260" s="14"/>
      <c r="AA260" s="6"/>
      <c r="AB260" s="6"/>
      <c r="AC260" s="6"/>
      <c r="AD260" s="6"/>
      <c r="AE260" s="6"/>
    </row>
    <row r="261" spans="4:41" ht="24.75" customHeight="1">
      <c r="D261" s="5" t="s">
        <v>151</v>
      </c>
      <c r="F261" s="14" t="s">
        <v>152</v>
      </c>
      <c r="J261" s="5" t="s">
        <v>89</v>
      </c>
      <c r="K261" s="102">
        <f>AI259</f>
        <v>5687490.197752345</v>
      </c>
      <c r="L261" s="102"/>
      <c r="M261" s="102"/>
      <c r="N261" s="102"/>
      <c r="O261" s="102"/>
      <c r="P261" s="17" t="s">
        <v>88</v>
      </c>
      <c r="Q261" s="89">
        <f>+AA241</f>
        <v>96000</v>
      </c>
      <c r="R261" s="89"/>
      <c r="S261" s="89"/>
      <c r="T261" s="89"/>
      <c r="U261" s="8" t="s">
        <v>30</v>
      </c>
      <c r="V261" s="113">
        <f>ROUNDUP(K261/Q261,1)</f>
        <v>59.300000000000004</v>
      </c>
      <c r="W261" s="113"/>
      <c r="X261" s="113"/>
      <c r="Y261" s="113"/>
      <c r="AA261" s="92" t="s">
        <v>43</v>
      </c>
      <c r="AB261" s="92"/>
      <c r="AC261" s="6"/>
      <c r="AE261" s="164">
        <v>80</v>
      </c>
      <c r="AF261" s="164"/>
      <c r="AG261" s="164"/>
      <c r="AH261" s="164"/>
      <c r="AI261" s="92" t="s">
        <v>5</v>
      </c>
      <c r="AJ261" s="92"/>
      <c r="AK261" s="92"/>
      <c r="AL261" s="92"/>
      <c r="AM261" s="92"/>
      <c r="AO261" s="5" t="str">
        <f>IF(V261&lt;=AE261,"O.K.","N.G.")</f>
        <v>O.K.</v>
      </c>
    </row>
    <row r="262" ht="24.75" customHeight="1">
      <c r="C262" s="5" t="s">
        <v>239</v>
      </c>
    </row>
    <row r="263" spans="4:33" ht="24.75" customHeight="1">
      <c r="D263" s="18" t="s">
        <v>184</v>
      </c>
      <c r="E263" s="18"/>
      <c r="F263" s="18"/>
      <c r="G263" s="18"/>
      <c r="H263" s="18"/>
      <c r="I263" s="18"/>
      <c r="J263" s="18"/>
      <c r="P263" s="15"/>
      <c r="Q263" s="102">
        <f>AI259</f>
        <v>5687490.197752345</v>
      </c>
      <c r="R263" s="102"/>
      <c r="S263" s="102"/>
      <c r="T263" s="102"/>
      <c r="U263" s="102"/>
      <c r="V263" s="17" t="s">
        <v>88</v>
      </c>
      <c r="W263" s="108">
        <f>Z240</f>
        <v>188.533333333</v>
      </c>
      <c r="X263" s="108"/>
      <c r="Y263" s="108"/>
      <c r="Z263" s="108"/>
      <c r="AA263" s="8" t="s">
        <v>34</v>
      </c>
      <c r="AB263" s="89">
        <f>Q263/W263</f>
        <v>30167.02721585432</v>
      </c>
      <c r="AC263" s="89"/>
      <c r="AD263" s="89"/>
      <c r="AE263" s="89"/>
      <c r="AF263" s="92" t="s">
        <v>101</v>
      </c>
      <c r="AG263" s="92"/>
    </row>
    <row r="264" spans="4:27" ht="24.75" customHeight="1">
      <c r="D264" s="5" t="s">
        <v>240</v>
      </c>
      <c r="I264" s="165">
        <v>2</v>
      </c>
      <c r="J264" s="165"/>
      <c r="K264" s="165"/>
      <c r="L264" s="126">
        <v>80</v>
      </c>
      <c r="M264" s="126"/>
      <c r="N264" s="126"/>
      <c r="O264" s="163">
        <v>9</v>
      </c>
      <c r="P264" s="163"/>
      <c r="Q264" s="127">
        <v>630</v>
      </c>
      <c r="R264" s="127"/>
      <c r="S264" s="127"/>
      <c r="T264" s="127"/>
      <c r="U264" s="5" t="s">
        <v>31</v>
      </c>
      <c r="W264" s="89">
        <f>+L264*O264*I264</f>
        <v>1440</v>
      </c>
      <c r="X264" s="89"/>
      <c r="Y264" s="89"/>
      <c r="Z264" s="89"/>
      <c r="AA264" s="5" t="s">
        <v>101</v>
      </c>
    </row>
    <row r="265" spans="9:45" ht="24.75" customHeight="1">
      <c r="I265" s="165">
        <v>6</v>
      </c>
      <c r="J265" s="165"/>
      <c r="K265" s="165"/>
      <c r="L265" s="126">
        <v>280</v>
      </c>
      <c r="M265" s="126"/>
      <c r="N265" s="126"/>
      <c r="O265" s="163">
        <v>9</v>
      </c>
      <c r="P265" s="163"/>
      <c r="Q265" s="127">
        <f>Q264</f>
        <v>630</v>
      </c>
      <c r="R265" s="127"/>
      <c r="S265" s="127"/>
      <c r="T265" s="127"/>
      <c r="U265" s="5" t="s">
        <v>31</v>
      </c>
      <c r="W265" s="89">
        <f>+L265*O265*I265</f>
        <v>15120</v>
      </c>
      <c r="X265" s="89"/>
      <c r="Y265" s="89"/>
      <c r="Z265" s="89"/>
      <c r="AA265" s="5" t="s">
        <v>101</v>
      </c>
      <c r="AR265" s="18"/>
      <c r="AS265" s="18"/>
    </row>
    <row r="266" spans="9:28" ht="24.75" customHeight="1">
      <c r="I266" s="165">
        <v>1</v>
      </c>
      <c r="J266" s="165"/>
      <c r="K266" s="165"/>
      <c r="L266" s="126">
        <f>+AM251-10</f>
        <v>2630</v>
      </c>
      <c r="M266" s="126"/>
      <c r="N266" s="126"/>
      <c r="O266" s="163">
        <v>9</v>
      </c>
      <c r="P266" s="163"/>
      <c r="Q266" s="127">
        <f>Q265</f>
        <v>630</v>
      </c>
      <c r="R266" s="127"/>
      <c r="S266" s="127"/>
      <c r="T266" s="127"/>
      <c r="U266" s="19" t="s">
        <v>31</v>
      </c>
      <c r="V266" s="19"/>
      <c r="W266" s="105">
        <f>+L266*O266*I266</f>
        <v>23670</v>
      </c>
      <c r="X266" s="105"/>
      <c r="Y266" s="105"/>
      <c r="Z266" s="105"/>
      <c r="AA266" s="19" t="s">
        <v>101</v>
      </c>
      <c r="AB266" s="19"/>
    </row>
    <row r="267" spans="21:39" ht="24.75" customHeight="1">
      <c r="U267" s="5" t="s">
        <v>32</v>
      </c>
      <c r="W267" s="89">
        <f>+SUM(W264:W266)</f>
        <v>40230</v>
      </c>
      <c r="X267" s="89"/>
      <c r="Y267" s="89"/>
      <c r="Z267" s="89"/>
      <c r="AA267" s="92" t="str">
        <f>IF(W267&gt;AB263,"mm² ＞  Asreq'd =","mm² ＜   Asreq'd =")</f>
        <v>mm² ＞  Asreq'd =</v>
      </c>
      <c r="AB267" s="92"/>
      <c r="AC267" s="92"/>
      <c r="AD267" s="92"/>
      <c r="AE267" s="92"/>
      <c r="AF267" s="92"/>
      <c r="AG267" s="92"/>
      <c r="AH267" s="92"/>
      <c r="AI267" s="89">
        <f>+AB263</f>
        <v>30167.02721585432</v>
      </c>
      <c r="AJ267" s="89"/>
      <c r="AK267" s="89"/>
      <c r="AL267" s="89"/>
      <c r="AM267" s="5" t="str">
        <f>IF(W267&gt;AB263,"mm² O.K","mm² N.G")</f>
        <v>mm² O.K</v>
      </c>
    </row>
    <row r="268" spans="4:38" ht="24.75" customHeight="1">
      <c r="D268" s="4" t="s">
        <v>241</v>
      </c>
      <c r="E268" s="4"/>
      <c r="F268" s="4"/>
      <c r="G268" s="4"/>
      <c r="H268" s="4"/>
      <c r="I268" s="4"/>
      <c r="J268" s="4"/>
      <c r="K268" s="4"/>
      <c r="O268" s="5" t="s">
        <v>89</v>
      </c>
      <c r="P268" s="102">
        <f>AI259</f>
        <v>5687490.197752345</v>
      </c>
      <c r="Q268" s="102"/>
      <c r="R268" s="102"/>
      <c r="S268" s="102"/>
      <c r="T268" s="102"/>
      <c r="U268" s="17" t="s">
        <v>88</v>
      </c>
      <c r="V268" s="89">
        <f>W267</f>
        <v>40230</v>
      </c>
      <c r="W268" s="89"/>
      <c r="X268" s="89"/>
      <c r="Y268" s="89"/>
      <c r="Z268" s="8" t="s">
        <v>34</v>
      </c>
      <c r="AA268" s="134">
        <f>P268/V268</f>
        <v>141.37435241740855</v>
      </c>
      <c r="AB268" s="134"/>
      <c r="AC268" s="134"/>
      <c r="AD268" s="134"/>
      <c r="AE268" s="134"/>
      <c r="AF268" s="18" t="str">
        <f>IF(AA268&gt;Z240,"N/㎟ ＞  σca , N.G","N/㎟＜  σca , O.K")</f>
        <v>N/㎟＜  σca , O.K</v>
      </c>
      <c r="AG268" s="18"/>
      <c r="AH268" s="18"/>
      <c r="AI268" s="18"/>
      <c r="AJ268" s="18"/>
      <c r="AK268" s="18"/>
      <c r="AL268" s="18"/>
    </row>
    <row r="269" spans="4:44" ht="24.75" customHeight="1">
      <c r="D269" s="21"/>
      <c r="E269" s="21"/>
      <c r="F269" s="21"/>
      <c r="G269" s="21"/>
      <c r="H269" s="21"/>
      <c r="I269" s="21"/>
      <c r="J269" s="21"/>
      <c r="K269" s="21"/>
      <c r="W269" s="8"/>
      <c r="X269" s="20"/>
      <c r="Y269" s="20"/>
      <c r="Z269" s="20"/>
      <c r="AA269" s="20"/>
      <c r="AR269" s="18"/>
    </row>
    <row r="270" ht="24.75" customHeight="1">
      <c r="C270" s="5" t="s">
        <v>192</v>
      </c>
    </row>
    <row r="271" spans="3:23" ht="24.75" customHeight="1">
      <c r="C271" s="5" t="s">
        <v>193</v>
      </c>
      <c r="M271" s="13"/>
      <c r="N271" s="13"/>
      <c r="O271" s="14"/>
      <c r="P271" s="15"/>
      <c r="Q271" s="15"/>
      <c r="R271" s="15"/>
      <c r="S271" s="14"/>
      <c r="T271" s="16"/>
      <c r="U271" s="16"/>
      <c r="V271" s="16"/>
      <c r="W271" s="16"/>
    </row>
    <row r="272" spans="4:38" ht="24.75" customHeight="1">
      <c r="D272" s="4" t="s">
        <v>153</v>
      </c>
      <c r="E272" s="21"/>
      <c r="F272" s="21"/>
      <c r="G272" s="13"/>
      <c r="H272" s="13"/>
      <c r="I272" s="8"/>
      <c r="J272" s="102">
        <f>AI259</f>
        <v>5687490.197752345</v>
      </c>
      <c r="K272" s="102"/>
      <c r="L272" s="102"/>
      <c r="M272" s="102"/>
      <c r="N272" s="102"/>
      <c r="O272" s="17" t="s">
        <v>88</v>
      </c>
      <c r="P272" s="133">
        <f>+AE261</f>
        <v>80</v>
      </c>
      <c r="Q272" s="133"/>
      <c r="R272" s="133"/>
      <c r="S272" s="133"/>
      <c r="U272" s="8" t="s">
        <v>34</v>
      </c>
      <c r="V272" s="100">
        <f>J272/P272</f>
        <v>71093.62747190431</v>
      </c>
      <c r="W272" s="100"/>
      <c r="X272" s="100"/>
      <c r="Y272" s="100"/>
      <c r="Z272" s="100"/>
      <c r="AA272" s="18" t="s">
        <v>202</v>
      </c>
      <c r="AB272" s="8"/>
      <c r="AC272" s="8"/>
      <c r="AD272" s="18" t="str">
        <f>IF(V272&gt;AA241," ＞  ρa    N.G","＜ ρa    O.K")</f>
        <v>＜ ρa    O.K</v>
      </c>
      <c r="AE272" s="8"/>
      <c r="AF272" s="8"/>
      <c r="AG272" s="8"/>
      <c r="AH272" s="8"/>
      <c r="AI272" s="8"/>
      <c r="AJ272" s="8"/>
      <c r="AK272" s="8"/>
      <c r="AL272" s="8"/>
    </row>
    <row r="273" spans="3:38" ht="24.75" customHeight="1">
      <c r="C273" s="14"/>
      <c r="D273" s="34"/>
      <c r="E273" s="34"/>
      <c r="F273" s="34"/>
      <c r="G273" s="13"/>
      <c r="H273" s="13"/>
      <c r="I273" s="13"/>
      <c r="J273" s="14"/>
      <c r="K273" s="14"/>
      <c r="L273" s="14"/>
      <c r="M273" s="35"/>
      <c r="N273" s="35"/>
      <c r="O273" s="35"/>
      <c r="P273" s="35"/>
      <c r="Q273" s="14"/>
      <c r="R273" s="14"/>
      <c r="S273" s="14"/>
      <c r="T273" s="14"/>
      <c r="U273" s="13"/>
      <c r="V273" s="71"/>
      <c r="W273" s="71"/>
      <c r="X273" s="71"/>
      <c r="Y273" s="71"/>
      <c r="Z273" s="71"/>
      <c r="AA273" s="13"/>
      <c r="AB273" s="13"/>
      <c r="AC273" s="13"/>
      <c r="AD273" s="13"/>
      <c r="AE273" s="13"/>
      <c r="AF273" s="13"/>
      <c r="AG273" s="13"/>
      <c r="AH273" s="13"/>
      <c r="AI273" s="13"/>
      <c r="AJ273" s="13"/>
      <c r="AK273" s="13"/>
      <c r="AL273" s="8"/>
    </row>
    <row r="274" spans="3:38" ht="24.75" customHeight="1">
      <c r="C274" s="5" t="s">
        <v>206</v>
      </c>
      <c r="D274" s="21"/>
      <c r="E274" s="21"/>
      <c r="F274" s="21"/>
      <c r="G274" s="8"/>
      <c r="H274" s="8"/>
      <c r="I274" s="8"/>
      <c r="U274" s="8"/>
      <c r="V274" s="22"/>
      <c r="W274" s="22"/>
      <c r="X274" s="22"/>
      <c r="Y274" s="22"/>
      <c r="Z274" s="22"/>
      <c r="AA274" s="8"/>
      <c r="AB274" s="8"/>
      <c r="AC274" s="8"/>
      <c r="AD274" s="8"/>
      <c r="AE274" s="8"/>
      <c r="AF274" s="8"/>
      <c r="AG274" s="8"/>
      <c r="AH274" s="8"/>
      <c r="AI274" s="8"/>
      <c r="AJ274" s="8"/>
      <c r="AK274" s="8"/>
      <c r="AL274" s="8"/>
    </row>
    <row r="275" spans="4:47" ht="24.75" customHeight="1">
      <c r="D275" s="5" t="s">
        <v>205</v>
      </c>
      <c r="AU275" s="23"/>
    </row>
    <row r="276" spans="5:47" ht="24.75" customHeight="1">
      <c r="E276" s="5" t="s">
        <v>211</v>
      </c>
      <c r="AU276" s="23"/>
    </row>
    <row r="277" ht="24.75" customHeight="1">
      <c r="D277" s="5" t="s">
        <v>7</v>
      </c>
    </row>
    <row r="278" spans="3:36" ht="24.75" customHeight="1">
      <c r="C278" s="106" t="s">
        <v>49</v>
      </c>
      <c r="D278" s="106"/>
      <c r="E278" s="106"/>
      <c r="G278" s="105">
        <f>O237</f>
        <v>426.8238759</v>
      </c>
      <c r="H278" s="105"/>
      <c r="I278" s="105"/>
      <c r="J278" s="19" t="s">
        <v>41</v>
      </c>
      <c r="K278" s="97">
        <v>1000000</v>
      </c>
      <c r="L278" s="97"/>
      <c r="M278" s="97"/>
      <c r="N278" s="97"/>
      <c r="P278" s="106" t="s">
        <v>47</v>
      </c>
      <c r="Q278" s="106"/>
      <c r="R278" s="122">
        <f>P272</f>
        <v>80</v>
      </c>
      <c r="S278" s="122"/>
      <c r="T278" s="122"/>
      <c r="U278" s="92" t="s">
        <v>34</v>
      </c>
      <c r="V278" s="92"/>
      <c r="W278" s="102">
        <f>ROUND((G278*K278/(I279*K279))/R278,1)</f>
        <v>1212.6</v>
      </c>
      <c r="X278" s="102"/>
      <c r="Y278" s="102"/>
      <c r="Z278" s="102"/>
      <c r="AA278" s="92" t="str">
        <f>IF(W278&gt;AA241,"N/本   ＞ ρa   N.G.","N/本  ＜  ρa   O.K.")</f>
        <v>N/本  ＜  ρa   O.K.</v>
      </c>
      <c r="AB278" s="92"/>
      <c r="AC278" s="92"/>
      <c r="AD278" s="92"/>
      <c r="AE278" s="92"/>
      <c r="AF278" s="92"/>
      <c r="AG278" s="92"/>
      <c r="AH278" s="92"/>
      <c r="AI278" s="92"/>
      <c r="AJ278" s="92"/>
    </row>
    <row r="279" spans="3:36" ht="24.75" customHeight="1">
      <c r="C279" s="106"/>
      <c r="D279" s="106"/>
      <c r="E279" s="106"/>
      <c r="I279" s="8">
        <v>2</v>
      </c>
      <c r="J279" s="14" t="s">
        <v>41</v>
      </c>
      <c r="K279" s="24">
        <f>AM378</f>
        <v>2200</v>
      </c>
      <c r="L279" s="25"/>
      <c r="M279" s="25"/>
      <c r="P279" s="106"/>
      <c r="Q279" s="106"/>
      <c r="R279" s="122"/>
      <c r="S279" s="122"/>
      <c r="T279" s="122"/>
      <c r="U279" s="92"/>
      <c r="V279" s="92"/>
      <c r="W279" s="102"/>
      <c r="X279" s="102"/>
      <c r="Y279" s="102"/>
      <c r="Z279" s="102"/>
      <c r="AA279" s="92"/>
      <c r="AB279" s="92"/>
      <c r="AC279" s="92"/>
      <c r="AD279" s="92"/>
      <c r="AE279" s="92"/>
      <c r="AF279" s="92"/>
      <c r="AG279" s="92"/>
      <c r="AH279" s="92"/>
      <c r="AI279" s="92"/>
      <c r="AJ279" s="92"/>
    </row>
    <row r="281" spans="3:9" ht="24.75" customHeight="1">
      <c r="C281" s="5" t="s">
        <v>212</v>
      </c>
      <c r="I281" s="23"/>
    </row>
    <row r="282" spans="4:31" ht="24.75" customHeight="1">
      <c r="D282" s="5" t="s">
        <v>50</v>
      </c>
      <c r="P282" s="119">
        <f>V272</f>
        <v>71093.62747190431</v>
      </c>
      <c r="Q282" s="119"/>
      <c r="R282" s="119"/>
      <c r="S282" s="119"/>
      <c r="T282" s="5" t="s">
        <v>48</v>
      </c>
      <c r="U282" s="104">
        <f>+W278</f>
        <v>1212.6</v>
      </c>
      <c r="V282" s="104"/>
      <c r="W282" s="104"/>
      <c r="X282" s="104"/>
      <c r="Y282" s="5" t="s">
        <v>33</v>
      </c>
      <c r="AA282" s="100">
        <f>ROUND(SQRT(P282^2+U282^2),1)</f>
        <v>71104</v>
      </c>
      <c r="AB282" s="100"/>
      <c r="AC282" s="100"/>
      <c r="AD282" s="100"/>
      <c r="AE282" s="5" t="str">
        <f>IF(AA282&gt;$AA$8,"N/本  ＞  ρa ,  N.G","N/本  ＜  ρa ,  O.K")</f>
        <v>N/本  ＜  ρa ,  O.K</v>
      </c>
    </row>
    <row r="283" spans="16:30" ht="24.75" customHeight="1">
      <c r="P283" s="26"/>
      <c r="Q283" s="26"/>
      <c r="R283" s="26"/>
      <c r="S283" s="26"/>
      <c r="U283" s="26"/>
      <c r="V283" s="26"/>
      <c r="W283" s="26"/>
      <c r="X283" s="26"/>
      <c r="AA283" s="9"/>
      <c r="AB283" s="9"/>
      <c r="AC283" s="9"/>
      <c r="AD283" s="9"/>
    </row>
    <row r="284" spans="2:11" ht="24.75" customHeight="1">
      <c r="B284" s="5" t="s">
        <v>187</v>
      </c>
      <c r="H284" s="27"/>
      <c r="K284" s="9"/>
    </row>
    <row r="285" spans="7:9" ht="24.75" customHeight="1">
      <c r="G285" s="27"/>
      <c r="I285" s="27"/>
    </row>
    <row r="286" spans="5:17" ht="24.75" customHeight="1">
      <c r="E286" s="166"/>
      <c r="F286" s="166"/>
      <c r="G286" s="166"/>
      <c r="K286" s="29"/>
      <c r="L286" s="29"/>
      <c r="M286" s="29"/>
      <c r="N286" s="166"/>
      <c r="Q286" s="30"/>
    </row>
    <row r="287" spans="17:31" ht="24.75" customHeight="1">
      <c r="Q287" s="30"/>
      <c r="U287" s="31"/>
      <c r="V287" s="31"/>
      <c r="X287" s="5" t="s">
        <v>185</v>
      </c>
      <c r="AB287" s="163">
        <v>150</v>
      </c>
      <c r="AC287" s="163"/>
      <c r="AD287" s="163"/>
      <c r="AE287" s="5" t="s">
        <v>84</v>
      </c>
    </row>
    <row r="288" spans="17:31" ht="24.75" customHeight="1">
      <c r="Q288" s="30"/>
      <c r="R288" s="30"/>
      <c r="S288" s="32"/>
      <c r="T288" s="32"/>
      <c r="U288" s="167"/>
      <c r="V288" s="33"/>
      <c r="X288" s="5" t="s">
        <v>186</v>
      </c>
      <c r="AB288" s="163">
        <v>14</v>
      </c>
      <c r="AC288" s="163"/>
      <c r="AD288" s="163"/>
      <c r="AE288" s="5" t="s">
        <v>84</v>
      </c>
    </row>
    <row r="289" spans="1:19" ht="24.75" customHeight="1">
      <c r="A289" s="53"/>
      <c r="B289" s="53"/>
      <c r="C289" s="53"/>
      <c r="D289" s="53"/>
      <c r="E289" s="53"/>
      <c r="F289" s="53"/>
      <c r="G289" s="53"/>
      <c r="H289" s="53"/>
      <c r="I289" s="53"/>
      <c r="J289" s="53"/>
      <c r="K289" s="53"/>
      <c r="L289" s="53"/>
      <c r="M289" s="53"/>
      <c r="N289" s="53"/>
      <c r="O289" s="53"/>
      <c r="P289" s="53"/>
      <c r="Q289" s="53"/>
      <c r="R289" s="53"/>
      <c r="S289" s="53"/>
    </row>
    <row r="290" spans="7:11" ht="24.75" customHeight="1">
      <c r="G290" s="27"/>
      <c r="I290" s="27"/>
      <c r="K290" s="9"/>
    </row>
    <row r="291" ht="24.75" customHeight="1">
      <c r="C291" s="5" t="s">
        <v>181</v>
      </c>
    </row>
    <row r="292" spans="4:41" ht="24.75" customHeight="1">
      <c r="D292" s="106" t="s">
        <v>42</v>
      </c>
      <c r="E292" s="106"/>
      <c r="F292" s="19" t="str">
        <f>IF(O235&gt;0,"As σu","As σl")</f>
        <v>As σu</v>
      </c>
      <c r="G292" s="19"/>
      <c r="H292" s="19"/>
      <c r="I292" s="92" t="s">
        <v>34</v>
      </c>
      <c r="J292" s="97">
        <f>+AB288</f>
        <v>14</v>
      </c>
      <c r="K292" s="97"/>
      <c r="L292" s="19" t="s">
        <v>41</v>
      </c>
      <c r="M292" s="132">
        <f>+AB287</f>
        <v>150</v>
      </c>
      <c r="N292" s="132"/>
      <c r="O292" s="132"/>
      <c r="P292" s="19" t="s">
        <v>41</v>
      </c>
      <c r="Q292" s="105">
        <f>P246</f>
        <v>141.39999999975</v>
      </c>
      <c r="R292" s="105"/>
      <c r="S292" s="105"/>
      <c r="T292" s="105"/>
      <c r="U292" s="92" t="s">
        <v>30</v>
      </c>
      <c r="V292" s="113">
        <f>ROUND(+J292*M292*Q292/M293,1)</f>
        <v>3.1</v>
      </c>
      <c r="W292" s="113"/>
      <c r="X292" s="113"/>
      <c r="Y292" s="113"/>
      <c r="Z292" s="92" t="s">
        <v>43</v>
      </c>
      <c r="AA292" s="92"/>
      <c r="AB292" s="92"/>
      <c r="AC292" s="164">
        <v>5</v>
      </c>
      <c r="AD292" s="164"/>
      <c r="AE292" s="164"/>
      <c r="AF292" s="164"/>
      <c r="AG292" s="92" t="s">
        <v>4</v>
      </c>
      <c r="AH292" s="92"/>
      <c r="AI292" s="92"/>
      <c r="AJ292" s="92"/>
      <c r="AM292" s="92" t="str">
        <f>IF(V292&lt;=AC292,"O.K.","N.G.")</f>
        <v>O.K.</v>
      </c>
      <c r="AN292" s="92"/>
      <c r="AO292" s="92"/>
    </row>
    <row r="293" spans="4:51" ht="24.75" customHeight="1">
      <c r="D293" s="106"/>
      <c r="E293" s="106"/>
      <c r="F293" s="92" t="s">
        <v>44</v>
      </c>
      <c r="G293" s="92"/>
      <c r="H293" s="92"/>
      <c r="I293" s="92"/>
      <c r="M293" s="89">
        <f>AA241</f>
        <v>96000</v>
      </c>
      <c r="N293" s="89"/>
      <c r="O293" s="89"/>
      <c r="P293" s="89"/>
      <c r="U293" s="92"/>
      <c r="V293" s="113"/>
      <c r="W293" s="113"/>
      <c r="X293" s="113"/>
      <c r="Y293" s="113"/>
      <c r="Z293" s="92"/>
      <c r="AA293" s="92"/>
      <c r="AB293" s="92"/>
      <c r="AC293" s="164"/>
      <c r="AD293" s="164"/>
      <c r="AE293" s="164"/>
      <c r="AF293" s="164"/>
      <c r="AG293" s="92"/>
      <c r="AH293" s="92"/>
      <c r="AI293" s="92"/>
      <c r="AJ293" s="92"/>
      <c r="AM293" s="92"/>
      <c r="AN293" s="92"/>
      <c r="AO293" s="92"/>
      <c r="AW293" s="8"/>
      <c r="AY293" s="18"/>
    </row>
    <row r="294" ht="24.75" customHeight="1">
      <c r="C294" s="5" t="s">
        <v>239</v>
      </c>
    </row>
    <row r="295" spans="4:28" ht="24.75" customHeight="1">
      <c r="D295" s="92" t="s">
        <v>188</v>
      </c>
      <c r="E295" s="106"/>
      <c r="F295" s="106"/>
      <c r="G295" s="106"/>
      <c r="H295" s="106"/>
      <c r="I295" s="106"/>
      <c r="J295" s="106"/>
      <c r="K295" s="132">
        <f>+J292</f>
        <v>14</v>
      </c>
      <c r="L295" s="132"/>
      <c r="M295" s="19" t="s">
        <v>41</v>
      </c>
      <c r="N295" s="132">
        <f>+M292</f>
        <v>150</v>
      </c>
      <c r="O295" s="132"/>
      <c r="P295" s="132"/>
      <c r="Q295" s="19" t="s">
        <v>41</v>
      </c>
      <c r="R295" s="105">
        <f>+Q292</f>
        <v>141.39999999975</v>
      </c>
      <c r="S295" s="105"/>
      <c r="T295" s="105"/>
      <c r="U295" s="105"/>
      <c r="V295" s="92" t="s">
        <v>34</v>
      </c>
      <c r="W295" s="89">
        <f>+K295*N295*R295/N296</f>
        <v>1575.0000000000002</v>
      </c>
      <c r="X295" s="89"/>
      <c r="Y295" s="89"/>
      <c r="Z295" s="89"/>
      <c r="AA295" s="103" t="s">
        <v>101</v>
      </c>
      <c r="AB295" s="103"/>
    </row>
    <row r="296" spans="4:54" ht="24.75" customHeight="1">
      <c r="D296" s="106"/>
      <c r="E296" s="106"/>
      <c r="F296" s="106"/>
      <c r="G296" s="106"/>
      <c r="H296" s="106"/>
      <c r="I296" s="106"/>
      <c r="J296" s="106"/>
      <c r="N296" s="89">
        <f>Z240</f>
        <v>188.533333333</v>
      </c>
      <c r="O296" s="89"/>
      <c r="P296" s="89"/>
      <c r="Q296" s="89"/>
      <c r="V296" s="92"/>
      <c r="W296" s="89"/>
      <c r="X296" s="89"/>
      <c r="Y296" s="89"/>
      <c r="Z296" s="89"/>
      <c r="AA296" s="103"/>
      <c r="AB296" s="103"/>
      <c r="AX296" s="23"/>
      <c r="AZ296" s="23"/>
      <c r="BB296" s="23"/>
    </row>
    <row r="297" spans="4:54" ht="24.75" customHeight="1">
      <c r="D297" s="5" t="s">
        <v>240</v>
      </c>
      <c r="I297" s="165">
        <v>2</v>
      </c>
      <c r="J297" s="165"/>
      <c r="K297" s="165"/>
      <c r="L297" s="126">
        <v>80</v>
      </c>
      <c r="M297" s="126"/>
      <c r="N297" s="126"/>
      <c r="O297" s="92">
        <v>9</v>
      </c>
      <c r="P297" s="92"/>
      <c r="Q297" s="127">
        <v>780</v>
      </c>
      <c r="R297" s="127"/>
      <c r="S297" s="127"/>
      <c r="T297" s="127"/>
      <c r="U297" s="5" t="s">
        <v>31</v>
      </c>
      <c r="W297" s="89">
        <f>+L297*O297*I297</f>
        <v>1440</v>
      </c>
      <c r="X297" s="89"/>
      <c r="Y297" s="89"/>
      <c r="Z297" s="89"/>
      <c r="AA297" s="5" t="s">
        <v>101</v>
      </c>
      <c r="AD297" s="5" t="str">
        <f>IF(W297&gt;=W295,"O.K.","N.G.")</f>
        <v>N.G.</v>
      </c>
      <c r="AT297" s="4"/>
      <c r="BB297" s="8"/>
    </row>
    <row r="299" spans="2:15" ht="24.75" customHeight="1">
      <c r="B299" s="5" t="s">
        <v>1</v>
      </c>
      <c r="I299" s="92" t="str">
        <f>IF(O235&gt;0,"(下フランジ)","(上フランジ)")</f>
        <v>(下フランジ)</v>
      </c>
      <c r="J299" s="92"/>
      <c r="K299" s="92"/>
      <c r="L299" s="92"/>
      <c r="M299" s="92"/>
      <c r="N299" s="92"/>
      <c r="O299" s="5" t="s">
        <v>249</v>
      </c>
    </row>
    <row r="300" spans="3:10" ht="24.75" customHeight="1">
      <c r="C300" s="5" t="s">
        <v>115</v>
      </c>
      <c r="E300" s="131">
        <f>IF(O235&gt;0,ABS(O239),ABS(O238))</f>
        <v>99.488700612</v>
      </c>
      <c r="F300" s="131"/>
      <c r="G300" s="131"/>
      <c r="H300" s="131"/>
      <c r="I300" s="131"/>
      <c r="J300" s="5" t="s">
        <v>218</v>
      </c>
    </row>
    <row r="301" spans="3:22" ht="24.75" customHeight="1">
      <c r="C301" s="5" t="s">
        <v>116</v>
      </c>
      <c r="E301" s="130">
        <f>+E245</f>
        <v>0.75</v>
      </c>
      <c r="F301" s="130"/>
      <c r="G301" s="130"/>
      <c r="H301" s="130"/>
      <c r="I301" s="5" t="s">
        <v>41</v>
      </c>
      <c r="J301" s="102">
        <f>O240</f>
        <v>210</v>
      </c>
      <c r="K301" s="102"/>
      <c r="L301" s="102"/>
      <c r="M301" s="5" t="s">
        <v>34</v>
      </c>
      <c r="N301" s="89">
        <f>+E301*J301</f>
        <v>157.5</v>
      </c>
      <c r="O301" s="89"/>
      <c r="P301" s="89"/>
      <c r="Q301" s="89"/>
      <c r="R301" s="5" t="str">
        <f>+J300</f>
        <v>N/㎟</v>
      </c>
      <c r="T301" s="10"/>
      <c r="U301" s="11"/>
      <c r="V301" s="12" t="s">
        <v>178</v>
      </c>
    </row>
    <row r="302" spans="3:20" ht="24.75" customHeight="1">
      <c r="C302" s="5" t="s">
        <v>247</v>
      </c>
      <c r="L302" s="5" t="str">
        <f>IF(O235&gt;0,"σl","σu")</f>
        <v>σl</v>
      </c>
      <c r="N302" s="5" t="s">
        <v>179</v>
      </c>
      <c r="P302" s="89">
        <f>+MAX(E300,N301)</f>
        <v>157.5</v>
      </c>
      <c r="Q302" s="89"/>
      <c r="R302" s="89"/>
      <c r="S302" s="89"/>
      <c r="T302" s="5" t="s">
        <v>222</v>
      </c>
    </row>
    <row r="304" ht="24.75" customHeight="1">
      <c r="G304" s="9"/>
    </row>
    <row r="305" spans="7:42" ht="24.75" customHeight="1">
      <c r="G305" s="9"/>
      <c r="AH305" s="5" t="s">
        <v>180</v>
      </c>
      <c r="AM305" s="163">
        <v>15</v>
      </c>
      <c r="AN305" s="163"/>
      <c r="AO305" s="163"/>
      <c r="AP305" s="5" t="s">
        <v>84</v>
      </c>
    </row>
    <row r="306" spans="7:42" ht="24.75" customHeight="1">
      <c r="G306" s="9"/>
      <c r="AH306" s="5" t="s">
        <v>217</v>
      </c>
      <c r="AM306" s="163">
        <v>2340</v>
      </c>
      <c r="AN306" s="163"/>
      <c r="AO306" s="163"/>
      <c r="AP306" s="5" t="s">
        <v>84</v>
      </c>
    </row>
    <row r="307" spans="34:43" ht="24.75" customHeight="1">
      <c r="AH307" s="5" t="s">
        <v>210</v>
      </c>
      <c r="AO307" s="163">
        <v>120</v>
      </c>
      <c r="AP307" s="163"/>
      <c r="AQ307" s="5" t="s">
        <v>84</v>
      </c>
    </row>
    <row r="308" spans="34:38" ht="24.75" customHeight="1">
      <c r="AH308" s="5" t="s">
        <v>201</v>
      </c>
      <c r="AL308" s="5" t="s">
        <v>213</v>
      </c>
    </row>
    <row r="309" spans="5:38" ht="24.75" customHeight="1">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row>
    <row r="310" spans="5:38" ht="24.75" customHeight="1">
      <c r="E310" s="34"/>
      <c r="F310" s="34"/>
      <c r="G310" s="14"/>
      <c r="H310" s="14"/>
      <c r="I310" s="14"/>
      <c r="J310" s="13"/>
      <c r="K310" s="13"/>
      <c r="L310" s="13"/>
      <c r="M310" s="14"/>
      <c r="N310" s="16"/>
      <c r="O310" s="16"/>
      <c r="P310" s="16"/>
      <c r="Q310" s="14"/>
      <c r="R310" s="16"/>
      <c r="S310" s="16"/>
      <c r="T310" s="16"/>
      <c r="U310" s="16"/>
      <c r="V310" s="13"/>
      <c r="W310" s="35"/>
      <c r="X310" s="35"/>
      <c r="Y310" s="35"/>
      <c r="Z310" s="35"/>
      <c r="AA310" s="13"/>
      <c r="AB310" s="13"/>
      <c r="AC310" s="13"/>
      <c r="AD310" s="168"/>
      <c r="AE310" s="168"/>
      <c r="AF310" s="168"/>
      <c r="AG310" s="168"/>
      <c r="AH310" s="13"/>
      <c r="AI310" s="13"/>
      <c r="AJ310" s="13"/>
      <c r="AK310" s="13"/>
      <c r="AL310" s="14"/>
    </row>
    <row r="311" spans="5:38" ht="24.75" customHeight="1">
      <c r="E311" s="34"/>
      <c r="F311" s="34"/>
      <c r="G311" s="13"/>
      <c r="H311" s="13"/>
      <c r="I311" s="13"/>
      <c r="J311" s="13"/>
      <c r="K311" s="14"/>
      <c r="L311" s="14"/>
      <c r="M311" s="14"/>
      <c r="N311" s="16"/>
      <c r="O311" s="16"/>
      <c r="P311" s="16"/>
      <c r="Q311" s="16"/>
      <c r="R311" s="14"/>
      <c r="S311" s="14"/>
      <c r="T311" s="14"/>
      <c r="U311" s="14"/>
      <c r="V311" s="13"/>
      <c r="W311" s="35"/>
      <c r="X311" s="35"/>
      <c r="Y311" s="35"/>
      <c r="Z311" s="35"/>
      <c r="AA311" s="13"/>
      <c r="AB311" s="13"/>
      <c r="AC311" s="13"/>
      <c r="AD311" s="168"/>
      <c r="AE311" s="168"/>
      <c r="AF311" s="168"/>
      <c r="AG311" s="168"/>
      <c r="AH311" s="13"/>
      <c r="AI311" s="13"/>
      <c r="AJ311" s="13"/>
      <c r="AK311" s="13"/>
      <c r="AL311" s="14"/>
    </row>
    <row r="312" spans="5:38" ht="24.75" customHeight="1">
      <c r="E312" s="13"/>
      <c r="F312" s="34"/>
      <c r="G312" s="34"/>
      <c r="H312" s="34"/>
      <c r="I312" s="34"/>
      <c r="J312" s="34"/>
      <c r="K312" s="34"/>
      <c r="L312" s="16"/>
      <c r="M312" s="16"/>
      <c r="N312" s="14"/>
      <c r="O312" s="16"/>
      <c r="P312" s="16"/>
      <c r="Q312" s="16"/>
      <c r="R312" s="14"/>
      <c r="S312" s="16"/>
      <c r="T312" s="16"/>
      <c r="U312" s="16"/>
      <c r="V312" s="16"/>
      <c r="W312" s="13"/>
      <c r="X312" s="16"/>
      <c r="Y312" s="16"/>
      <c r="Z312" s="16"/>
      <c r="AA312" s="16"/>
      <c r="AB312" s="36"/>
      <c r="AC312" s="36"/>
      <c r="AD312" s="14"/>
      <c r="AE312" s="14"/>
      <c r="AF312" s="14"/>
      <c r="AG312" s="14"/>
      <c r="AH312" s="14"/>
      <c r="AI312" s="14"/>
      <c r="AJ312" s="14"/>
      <c r="AK312" s="14"/>
      <c r="AL312" s="14"/>
    </row>
    <row r="313" spans="7:30" ht="24.75" customHeight="1">
      <c r="G313" s="34"/>
      <c r="H313" s="34"/>
      <c r="I313" s="34"/>
      <c r="J313" s="34"/>
      <c r="K313" s="34"/>
      <c r="L313" s="14"/>
      <c r="M313" s="14"/>
      <c r="N313" s="14"/>
      <c r="O313" s="16"/>
      <c r="P313" s="16"/>
      <c r="Q313" s="16"/>
      <c r="R313" s="16"/>
      <c r="S313" s="14"/>
      <c r="T313" s="14"/>
      <c r="U313" s="14"/>
      <c r="V313" s="14"/>
      <c r="W313" s="13"/>
      <c r="X313" s="16"/>
      <c r="Y313" s="16"/>
      <c r="Z313" s="16"/>
      <c r="AA313" s="16"/>
      <c r="AB313" s="36"/>
      <c r="AC313" s="36"/>
      <c r="AD313" s="14"/>
    </row>
    <row r="314" ht="24.75" customHeight="1">
      <c r="C314" s="5" t="s">
        <v>181</v>
      </c>
    </row>
    <row r="315" ht="24.75" customHeight="1">
      <c r="D315" s="5" t="s">
        <v>2</v>
      </c>
    </row>
    <row r="316" spans="4:38" ht="24.75" customHeight="1">
      <c r="D316" s="5" t="s">
        <v>3</v>
      </c>
      <c r="S316" s="5" t="s">
        <v>190</v>
      </c>
      <c r="AB316" s="150">
        <v>26.5</v>
      </c>
      <c r="AC316" s="150"/>
      <c r="AD316" s="150"/>
      <c r="AE316" s="5" t="s">
        <v>191</v>
      </c>
      <c r="AK316" s="169">
        <v>2</v>
      </c>
      <c r="AL316" s="5" t="s">
        <v>203</v>
      </c>
    </row>
    <row r="317" spans="5:71" ht="24.75" customHeight="1">
      <c r="E317" s="37" t="str">
        <f>IF(AW317=1,"Ar = ( "&amp;AB316&amp;" + "&amp;ROUND(AB316-(BA317^2/4/BG317),3)&amp;" ) × "&amp;AB364&amp;" = ","Ar = "&amp;AB316&amp;"× "&amp;BR317&amp;"本 ×"&amp;AB364&amp;" = ")</f>
        <v>Ar = 26.5× 1本 ×14 = </v>
      </c>
      <c r="F317" s="34"/>
      <c r="R317" s="128">
        <f>IF(AW317=1,(AB316+(AB316-(BA317^2/4/BG317)))*AB364,AB316*BR317*AB364)</f>
        <v>371</v>
      </c>
      <c r="S317" s="128"/>
      <c r="T317" s="128"/>
      <c r="U317" s="128"/>
      <c r="V317" s="128"/>
      <c r="W317" s="5">
        <f>IF(AW317=1,"∵ w = d - p2/4g = "&amp;AB316&amp;" - "&amp;BA317&amp;"²/ ( 4 × "&amp;BG317&amp;" ) = "&amp;ROUND(AB316-(BA317^2/4/BG317),3)&amp;" mm","")</f>
      </c>
      <c r="Y317" s="38"/>
      <c r="Z317" s="39"/>
      <c r="AA317" s="39"/>
      <c r="AB317" s="39"/>
      <c r="AD317" s="40"/>
      <c r="AE317" s="40"/>
      <c r="AF317" s="40"/>
      <c r="AG317" s="18"/>
      <c r="AI317" s="28"/>
      <c r="AJ317" s="28"/>
      <c r="AL317" s="41"/>
      <c r="AM317" s="41"/>
      <c r="AN317" s="41"/>
      <c r="AP317" s="13"/>
      <c r="AU317" s="5" t="s">
        <v>154</v>
      </c>
      <c r="AW317" s="169">
        <v>0</v>
      </c>
      <c r="AX317" s="5" t="s">
        <v>155</v>
      </c>
      <c r="AY317" s="5" t="s">
        <v>141</v>
      </c>
      <c r="BA317" s="163">
        <v>75</v>
      </c>
      <c r="BB317" s="163"/>
      <c r="BC317" s="163"/>
      <c r="BD317" s="5" t="s">
        <v>155</v>
      </c>
      <c r="BE317" s="5" t="s">
        <v>142</v>
      </c>
      <c r="BG317" s="163">
        <v>0</v>
      </c>
      <c r="BH317" s="163"/>
      <c r="BI317" s="163"/>
      <c r="BJ317" s="5" t="s">
        <v>155</v>
      </c>
      <c r="BK317" s="5" t="s">
        <v>254</v>
      </c>
      <c r="BR317" s="169">
        <v>1</v>
      </c>
      <c r="BS317" s="5" t="s">
        <v>204</v>
      </c>
    </row>
    <row r="318" spans="4:45" ht="24.75" customHeight="1">
      <c r="D318" s="5" t="s">
        <v>182</v>
      </c>
      <c r="I318" s="5" t="str">
        <f>IF(O235&gt;0,"(As＋Ar×"&amp;AK316&amp;")σs＋2 Pfwl","(As＋Ar×"&amp;AK316&amp;")σs＋2 Pfwu")</f>
        <v>(As＋Ar×2)σs＋2 Pfwl</v>
      </c>
      <c r="R318" s="5" t="s">
        <v>89</v>
      </c>
      <c r="S318" s="5" t="s">
        <v>87</v>
      </c>
      <c r="T318" s="42">
        <f>AM305*AM306</f>
        <v>35100</v>
      </c>
      <c r="U318" s="42"/>
      <c r="V318" s="43"/>
      <c r="W318" s="43" t="s">
        <v>143</v>
      </c>
      <c r="X318" s="39">
        <f>R317*AK316</f>
        <v>742</v>
      </c>
      <c r="Y318" s="39"/>
      <c r="Z318" s="39"/>
      <c r="AA318" s="5" t="s">
        <v>144</v>
      </c>
      <c r="AB318" s="14" t="s">
        <v>137</v>
      </c>
      <c r="AC318" s="108">
        <f>P302</f>
        <v>157.5</v>
      </c>
      <c r="AD318" s="108"/>
      <c r="AE318" s="108"/>
      <c r="AF318" s="14" t="s">
        <v>143</v>
      </c>
      <c r="AG318" s="95">
        <f>IF(O235&gt;0,AD418,AD401)</f>
        <v>49101.80113505784</v>
      </c>
      <c r="AH318" s="95"/>
      <c r="AI318" s="95"/>
      <c r="AJ318" s="95"/>
      <c r="AK318" s="14" t="s">
        <v>138</v>
      </c>
      <c r="AL318" s="14"/>
      <c r="AM318" s="5" t="s">
        <v>89</v>
      </c>
      <c r="AN318" s="129">
        <f>(T318+X318)*AC318+AG318*2</f>
        <v>5743318.602270116</v>
      </c>
      <c r="AO318" s="129"/>
      <c r="AP318" s="129"/>
      <c r="AQ318" s="129"/>
      <c r="AR318" s="129"/>
      <c r="AS318" s="129"/>
    </row>
    <row r="319" spans="9:31" ht="24.75" customHeight="1">
      <c r="I319" s="5" t="s">
        <v>200</v>
      </c>
      <c r="V319" s="5" t="str">
        <f>IF(O235&gt;0,"Pfwl","Pfwu")</f>
        <v>Pfwl</v>
      </c>
      <c r="X319" s="14" t="s">
        <v>183</v>
      </c>
      <c r="Y319" s="14"/>
      <c r="AA319" s="6"/>
      <c r="AB319" s="6"/>
      <c r="AC319" s="6"/>
      <c r="AD319" s="6"/>
      <c r="AE319" s="6"/>
    </row>
    <row r="320" spans="4:41" ht="24.75" customHeight="1">
      <c r="D320" s="5" t="s">
        <v>151</v>
      </c>
      <c r="F320" s="14" t="s">
        <v>152</v>
      </c>
      <c r="J320" s="5" t="s">
        <v>89</v>
      </c>
      <c r="K320" s="102">
        <f>AN318</f>
        <v>5743318.602270116</v>
      </c>
      <c r="L320" s="102"/>
      <c r="M320" s="102"/>
      <c r="N320" s="102"/>
      <c r="O320" s="102"/>
      <c r="P320" s="102"/>
      <c r="Q320" s="17" t="s">
        <v>88</v>
      </c>
      <c r="R320" s="89">
        <f>AA241</f>
        <v>96000</v>
      </c>
      <c r="S320" s="89"/>
      <c r="T320" s="89"/>
      <c r="U320" s="89"/>
      <c r="V320" s="8" t="s">
        <v>89</v>
      </c>
      <c r="W320" s="113">
        <f>ROUND(K320/R320,1)</f>
        <v>59.8</v>
      </c>
      <c r="X320" s="113"/>
      <c r="Y320" s="113"/>
      <c r="Z320" s="113"/>
      <c r="AA320" s="92" t="s">
        <v>43</v>
      </c>
      <c r="AB320" s="92"/>
      <c r="AC320" s="6"/>
      <c r="AD320" s="6"/>
      <c r="AE320" s="164">
        <v>83</v>
      </c>
      <c r="AF320" s="164"/>
      <c r="AG320" s="164"/>
      <c r="AH320" s="164"/>
      <c r="AI320" s="92" t="s">
        <v>5</v>
      </c>
      <c r="AJ320" s="92"/>
      <c r="AK320" s="92"/>
      <c r="AL320" s="92"/>
      <c r="AM320" s="92"/>
      <c r="AO320" s="5" t="str">
        <f>IF(W320&lt;=AE320,"O.K.","N.G.")</f>
        <v>O.K.</v>
      </c>
    </row>
    <row r="321" ht="24.75" customHeight="1">
      <c r="C321" s="5" t="s">
        <v>239</v>
      </c>
    </row>
    <row r="322" spans="4:34" ht="24.75" customHeight="1">
      <c r="D322" s="18" t="s">
        <v>194</v>
      </c>
      <c r="E322" s="18"/>
      <c r="F322" s="18"/>
      <c r="G322" s="18"/>
      <c r="H322" s="18"/>
      <c r="I322" s="18"/>
      <c r="J322" s="18"/>
      <c r="P322" s="15"/>
      <c r="Q322" s="102">
        <f>AN318</f>
        <v>5743318.602270116</v>
      </c>
      <c r="R322" s="102"/>
      <c r="S322" s="102"/>
      <c r="T322" s="102"/>
      <c r="U322" s="102"/>
      <c r="V322" s="102"/>
      <c r="W322" s="17" t="s">
        <v>88</v>
      </c>
      <c r="X322" s="108">
        <f>O240</f>
        <v>210</v>
      </c>
      <c r="Y322" s="108"/>
      <c r="Z322" s="108"/>
      <c r="AA322" s="108"/>
      <c r="AB322" s="8" t="s">
        <v>34</v>
      </c>
      <c r="AC322" s="89">
        <f>Q322/X322</f>
        <v>27349.136201286266</v>
      </c>
      <c r="AD322" s="89"/>
      <c r="AE322" s="89"/>
      <c r="AF322" s="89"/>
      <c r="AG322" s="92" t="s">
        <v>101</v>
      </c>
      <c r="AH322" s="92"/>
    </row>
    <row r="323" spans="4:27" ht="24.75" customHeight="1">
      <c r="D323" s="5" t="s">
        <v>240</v>
      </c>
      <c r="I323" s="165">
        <v>2</v>
      </c>
      <c r="J323" s="165"/>
      <c r="K323" s="165"/>
      <c r="L323" s="126">
        <v>80</v>
      </c>
      <c r="M323" s="126"/>
      <c r="N323" s="126"/>
      <c r="O323" s="163">
        <v>9</v>
      </c>
      <c r="P323" s="163"/>
      <c r="Q323" s="127">
        <v>630</v>
      </c>
      <c r="R323" s="127"/>
      <c r="S323" s="127"/>
      <c r="T323" s="127"/>
      <c r="U323" s="5" t="s">
        <v>31</v>
      </c>
      <c r="W323" s="89">
        <f>+L323*O323*I323</f>
        <v>1440</v>
      </c>
      <c r="X323" s="89"/>
      <c r="Y323" s="89"/>
      <c r="Z323" s="89"/>
      <c r="AA323" s="5" t="s">
        <v>101</v>
      </c>
    </row>
    <row r="324" spans="9:27" ht="24.75" customHeight="1">
      <c r="I324" s="165">
        <v>3</v>
      </c>
      <c r="J324" s="165"/>
      <c r="K324" s="165"/>
      <c r="L324" s="126">
        <v>280</v>
      </c>
      <c r="M324" s="126"/>
      <c r="N324" s="126"/>
      <c r="O324" s="163">
        <v>9</v>
      </c>
      <c r="P324" s="163"/>
      <c r="Q324" s="127">
        <f>Q323</f>
        <v>630</v>
      </c>
      <c r="R324" s="127"/>
      <c r="S324" s="127"/>
      <c r="T324" s="127"/>
      <c r="U324" s="5" t="s">
        <v>31</v>
      </c>
      <c r="W324" s="89">
        <f>+L324*O324*I324</f>
        <v>7560</v>
      </c>
      <c r="X324" s="89"/>
      <c r="Y324" s="89"/>
      <c r="Z324" s="89"/>
      <c r="AA324" s="5" t="s">
        <v>101</v>
      </c>
    </row>
    <row r="325" spans="9:28" ht="24.75" customHeight="1">
      <c r="I325" s="165">
        <v>1</v>
      </c>
      <c r="J325" s="165"/>
      <c r="K325" s="165"/>
      <c r="L325" s="126">
        <f>+AM306-10</f>
        <v>2330</v>
      </c>
      <c r="M325" s="126"/>
      <c r="N325" s="126"/>
      <c r="O325" s="163">
        <v>9</v>
      </c>
      <c r="P325" s="163"/>
      <c r="Q325" s="127">
        <f>Q324</f>
        <v>630</v>
      </c>
      <c r="R325" s="127"/>
      <c r="S325" s="127"/>
      <c r="T325" s="127"/>
      <c r="U325" s="19" t="s">
        <v>31</v>
      </c>
      <c r="V325" s="19"/>
      <c r="W325" s="105">
        <f>+L325*O325*I325</f>
        <v>20970</v>
      </c>
      <c r="X325" s="105"/>
      <c r="Y325" s="105"/>
      <c r="Z325" s="105"/>
      <c r="AA325" s="19" t="s">
        <v>101</v>
      </c>
      <c r="AB325" s="19"/>
    </row>
    <row r="326" spans="21:27" ht="24.75" customHeight="1">
      <c r="U326" s="5" t="s">
        <v>32</v>
      </c>
      <c r="W326" s="89">
        <f>+SUM(W323:W325)</f>
        <v>29970</v>
      </c>
      <c r="X326" s="89"/>
      <c r="Y326" s="89"/>
      <c r="Z326" s="89"/>
      <c r="AA326" s="5" t="s">
        <v>101</v>
      </c>
    </row>
    <row r="327" ht="24.75" customHeight="1">
      <c r="D327" s="5" t="s">
        <v>242</v>
      </c>
    </row>
    <row r="328" spans="5:65" ht="24.75" customHeight="1">
      <c r="E328" s="5" t="s">
        <v>156</v>
      </c>
      <c r="H328" s="5" t="s">
        <v>87</v>
      </c>
      <c r="I328" s="124">
        <f>+W326</f>
        <v>29970</v>
      </c>
      <c r="J328" s="124"/>
      <c r="K328" s="124"/>
      <c r="L328" s="5" t="s">
        <v>46</v>
      </c>
      <c r="M328" s="89">
        <f>+(+H241+3)</f>
        <v>25</v>
      </c>
      <c r="N328" s="89"/>
      <c r="O328" s="89"/>
      <c r="P328" s="5" t="s">
        <v>41</v>
      </c>
      <c r="Q328" s="89">
        <f>O324</f>
        <v>9</v>
      </c>
      <c r="R328" s="89"/>
      <c r="S328" s="89"/>
      <c r="T328" s="5" t="s">
        <v>41</v>
      </c>
      <c r="U328" s="125">
        <f>BA328</f>
        <v>14</v>
      </c>
      <c r="V328" s="125"/>
      <c r="W328" s="125"/>
      <c r="X328" s="5" t="s">
        <v>41</v>
      </c>
      <c r="Y328" s="122">
        <v>2</v>
      </c>
      <c r="Z328" s="122"/>
      <c r="AA328" s="122"/>
      <c r="AB328" s="5" t="s">
        <v>140</v>
      </c>
      <c r="AC328" s="80">
        <f>IF(AW317=1,ROUND((AB316+(AB316-(BA317^2/4/BG317)))*AB364,2),ROUND(AB316*BR317*AB364,2))</f>
        <v>371</v>
      </c>
      <c r="AD328" s="80"/>
      <c r="AE328" s="80"/>
      <c r="AF328" s="5" t="s">
        <v>41</v>
      </c>
      <c r="AG328" s="122">
        <f>AK316</f>
        <v>2</v>
      </c>
      <c r="AH328" s="122"/>
      <c r="AI328" s="122"/>
      <c r="AJ328" s="5" t="s">
        <v>139</v>
      </c>
      <c r="AO328" s="5" t="str">
        <f>IF(BA328=BJ328,"","( 第1列 )")</f>
        <v>( 第1列 )</v>
      </c>
      <c r="AU328" s="5" t="s">
        <v>255</v>
      </c>
      <c r="BA328" s="163">
        <v>14</v>
      </c>
      <c r="BB328" s="163"/>
      <c r="BD328" s="5" t="s">
        <v>256</v>
      </c>
      <c r="BJ328" s="163">
        <v>23</v>
      </c>
      <c r="BK328" s="163"/>
      <c r="BM328" s="1"/>
    </row>
    <row r="329" spans="3:24" ht="24.75" customHeight="1">
      <c r="C329" s="44"/>
      <c r="E329" s="44"/>
      <c r="G329" s="5" t="s">
        <v>34</v>
      </c>
      <c r="H329" s="89">
        <f>(I328-M328*Q328*U328*Y328-AC328*AG328)*1.1</f>
        <v>25220.800000000003</v>
      </c>
      <c r="I329" s="89"/>
      <c r="J329" s="89"/>
      <c r="K329" s="89"/>
      <c r="L329" s="5" t="str">
        <f>IF(H329&gt;AC322,"mm²  ＞  Asreq'd =","cm² ＜  Asreq'd =")</f>
        <v>cm² ＜  Asreq'd =</v>
      </c>
      <c r="T329" s="89">
        <f>AC322</f>
        <v>27349.136201286266</v>
      </c>
      <c r="U329" s="89"/>
      <c r="V329" s="89"/>
      <c r="W329" s="89"/>
      <c r="X329" s="5" t="str">
        <f>IF(H329&gt;AC322,"mm²  O.K","mm²  N.G")</f>
        <v>mm²  N.G</v>
      </c>
    </row>
    <row r="330" spans="3:40" ht="24.75" customHeight="1">
      <c r="C330" s="44"/>
      <c r="D330" s="4" t="s">
        <v>243</v>
      </c>
      <c r="E330" s="4"/>
      <c r="F330" s="4"/>
      <c r="G330" s="4"/>
      <c r="H330" s="4"/>
      <c r="I330" s="4"/>
      <c r="J330" s="4"/>
      <c r="K330" s="4"/>
      <c r="P330" s="5" t="s">
        <v>89</v>
      </c>
      <c r="Q330" s="102">
        <f>AN318</f>
        <v>5743318.602270116</v>
      </c>
      <c r="R330" s="102"/>
      <c r="S330" s="102"/>
      <c r="T330" s="102"/>
      <c r="U330" s="102"/>
      <c r="V330" s="102"/>
      <c r="W330" s="17" t="s">
        <v>88</v>
      </c>
      <c r="X330" s="89">
        <f>H329</f>
        <v>25220.800000000003</v>
      </c>
      <c r="Y330" s="89"/>
      <c r="Z330" s="89"/>
      <c r="AA330" s="89"/>
      <c r="AB330" s="8" t="s">
        <v>34</v>
      </c>
      <c r="AC330" s="116">
        <f>Q330/X330</f>
        <v>227.72150773449357</v>
      </c>
      <c r="AD330" s="116"/>
      <c r="AE330" s="116"/>
      <c r="AF330" s="116"/>
      <c r="AG330" s="18" t="str">
        <f>IF(AC330&gt;O240,"N/㎟ ＞  σta ,  N.G","N/㎟ ＜  σta ,  O.K")</f>
        <v>N/㎟ ＞  σta ,  N.G</v>
      </c>
      <c r="AH330" s="18"/>
      <c r="AI330" s="18"/>
      <c r="AJ330" s="18"/>
      <c r="AK330" s="18"/>
      <c r="AL330" s="18"/>
      <c r="AM330" s="18"/>
      <c r="AN330" s="18"/>
    </row>
    <row r="331" spans="5:41" ht="24.75" customHeight="1">
      <c r="E331" s="5" t="s">
        <v>157</v>
      </c>
      <c r="H331" s="5" t="s">
        <v>87</v>
      </c>
      <c r="I331" s="124">
        <f>I328</f>
        <v>29970</v>
      </c>
      <c r="J331" s="124"/>
      <c r="K331" s="124"/>
      <c r="L331" s="5" t="s">
        <v>46</v>
      </c>
      <c r="M331" s="89">
        <f>M328</f>
        <v>25</v>
      </c>
      <c r="N331" s="89"/>
      <c r="O331" s="89"/>
      <c r="P331" s="5" t="s">
        <v>41</v>
      </c>
      <c r="Q331" s="89">
        <f>Q328</f>
        <v>9</v>
      </c>
      <c r="R331" s="89"/>
      <c r="S331" s="89"/>
      <c r="T331" s="5" t="s">
        <v>41</v>
      </c>
      <c r="U331" s="125">
        <f>BJ328</f>
        <v>23</v>
      </c>
      <c r="V331" s="125"/>
      <c r="W331" s="125"/>
      <c r="X331" s="5" t="s">
        <v>41</v>
      </c>
      <c r="Y331" s="122">
        <v>2</v>
      </c>
      <c r="Z331" s="122"/>
      <c r="AA331" s="122"/>
      <c r="AB331" s="5" t="s">
        <v>140</v>
      </c>
      <c r="AC331" s="80">
        <f>AC328</f>
        <v>371</v>
      </c>
      <c r="AD331" s="80"/>
      <c r="AE331" s="80"/>
      <c r="AF331" s="5" t="s">
        <v>41</v>
      </c>
      <c r="AG331" s="122">
        <f>AG328</f>
        <v>2</v>
      </c>
      <c r="AH331" s="122"/>
      <c r="AI331" s="122"/>
      <c r="AJ331" s="5" t="s">
        <v>139</v>
      </c>
      <c r="AO331" s="5" t="str">
        <f>IF(BA328=BJ328,"","( 第2列 )")</f>
        <v>( 第2列 )</v>
      </c>
    </row>
    <row r="332" spans="3:12" ht="24.75" customHeight="1">
      <c r="C332" s="44"/>
      <c r="E332" s="44"/>
      <c r="G332" s="5" t="s">
        <v>34</v>
      </c>
      <c r="H332" s="89">
        <f>(I331-M331*Q331*U331*Y331-AC331*AG331)*1.1</f>
        <v>20765.800000000003</v>
      </c>
      <c r="I332" s="89"/>
      <c r="J332" s="89"/>
      <c r="K332" s="89"/>
      <c r="L332" s="5" t="s">
        <v>101</v>
      </c>
    </row>
    <row r="333" spans="3:17" ht="24.75" customHeight="1">
      <c r="C333" s="44"/>
      <c r="D333" s="4" t="s">
        <v>244</v>
      </c>
      <c r="E333" s="4"/>
      <c r="F333" s="4"/>
      <c r="G333" s="4"/>
      <c r="H333" s="4"/>
      <c r="I333" s="4"/>
      <c r="J333" s="4"/>
      <c r="K333" s="4"/>
      <c r="Q333" s="5" t="str">
        <f>"("&amp;AE320&amp;" - "&amp;U328&amp;") / "&amp;AE320</f>
        <v>(83 - 14) / 83</v>
      </c>
    </row>
    <row r="334" spans="3:40" ht="24.75" customHeight="1">
      <c r="C334" s="44"/>
      <c r="D334" s="37"/>
      <c r="E334" s="37"/>
      <c r="F334" s="37"/>
      <c r="G334" s="37"/>
      <c r="H334" s="37"/>
      <c r="I334" s="37"/>
      <c r="J334" s="37"/>
      <c r="K334" s="5" t="s">
        <v>89</v>
      </c>
      <c r="L334" s="102">
        <f>Q330</f>
        <v>5743318.602270116</v>
      </c>
      <c r="M334" s="102"/>
      <c r="N334" s="102"/>
      <c r="O334" s="102"/>
      <c r="P334" s="102"/>
      <c r="Q334" s="102"/>
      <c r="R334" s="17" t="s">
        <v>88</v>
      </c>
      <c r="S334" s="89">
        <f>H332</f>
        <v>20765.800000000003</v>
      </c>
      <c r="T334" s="89"/>
      <c r="U334" s="89"/>
      <c r="V334" s="89"/>
      <c r="W334" s="5" t="s">
        <v>41</v>
      </c>
      <c r="X334" s="123">
        <f>(AE320-U328)/AE320</f>
        <v>0.8313253012048193</v>
      </c>
      <c r="Y334" s="123"/>
      <c r="Z334" s="123"/>
      <c r="AA334" s="8" t="s">
        <v>34</v>
      </c>
      <c r="AB334" s="116">
        <f>L334/S334*X334</f>
        <v>229.92449445470174</v>
      </c>
      <c r="AC334" s="116"/>
      <c r="AD334" s="116"/>
      <c r="AE334" s="116"/>
      <c r="AF334" s="18" t="str">
        <f>IF(AB334&gt;O240,"N/㎟ ＞  σta ,  N.G","N/㎟ ＜  σta ,  O.K")</f>
        <v>N/㎟ ＞  σta ,  N.G</v>
      </c>
      <c r="AG334" s="18"/>
      <c r="AH334" s="18"/>
      <c r="AI334" s="18"/>
      <c r="AJ334" s="18"/>
      <c r="AK334" s="18"/>
      <c r="AL334" s="18"/>
      <c r="AM334" s="18"/>
      <c r="AN334" s="36"/>
    </row>
    <row r="335" spans="3:17" ht="24.75" customHeight="1">
      <c r="C335" s="44"/>
      <c r="D335" s="37"/>
      <c r="E335" s="37"/>
      <c r="F335" s="37"/>
      <c r="G335" s="37"/>
      <c r="H335" s="37"/>
      <c r="I335" s="37"/>
      <c r="J335" s="37"/>
      <c r="L335" s="6"/>
      <c r="M335" s="6"/>
      <c r="N335" s="6"/>
      <c r="O335" s="6"/>
      <c r="P335" s="6"/>
      <c r="Q335" s="17"/>
    </row>
    <row r="336" ht="24.75" customHeight="1">
      <c r="C336" s="5" t="s">
        <v>192</v>
      </c>
    </row>
    <row r="337" ht="24.75" customHeight="1">
      <c r="C337" s="5" t="s">
        <v>193</v>
      </c>
    </row>
    <row r="338" spans="4:37" ht="24.75" customHeight="1">
      <c r="D338" s="4" t="s">
        <v>153</v>
      </c>
      <c r="E338" s="21"/>
      <c r="F338" s="21"/>
      <c r="G338" s="13"/>
      <c r="H338" s="13"/>
      <c r="I338" s="8"/>
      <c r="J338" s="120">
        <f>AN318</f>
        <v>5743318.602270116</v>
      </c>
      <c r="K338" s="120"/>
      <c r="L338" s="120"/>
      <c r="M338" s="120"/>
      <c r="N338" s="120"/>
      <c r="O338" s="120"/>
      <c r="P338" s="46" t="s">
        <v>88</v>
      </c>
      <c r="Q338" s="121">
        <f>AE320</f>
        <v>83</v>
      </c>
      <c r="R338" s="121"/>
      <c r="S338" s="121"/>
      <c r="T338" s="121"/>
      <c r="V338" s="8" t="s">
        <v>34</v>
      </c>
      <c r="W338" s="100">
        <f>J338/Q338</f>
        <v>69196.60966590501</v>
      </c>
      <c r="X338" s="100"/>
      <c r="Y338" s="100"/>
      <c r="Z338" s="100"/>
      <c r="AA338" s="18" t="s">
        <v>202</v>
      </c>
      <c r="AB338" s="8"/>
      <c r="AC338" s="8"/>
      <c r="AD338" s="18" t="str">
        <f>IF(W338&gt;AA241," ＞  ρa    N.G","＜ ρa    O.K")</f>
        <v>＜ ρa    O.K</v>
      </c>
      <c r="AE338" s="8"/>
      <c r="AF338" s="8"/>
      <c r="AG338" s="8"/>
      <c r="AH338" s="8"/>
      <c r="AI338" s="8"/>
      <c r="AJ338" s="8"/>
      <c r="AK338" s="8"/>
    </row>
    <row r="339" spans="4:37" ht="24.75" customHeight="1">
      <c r="D339" s="4"/>
      <c r="E339" s="21"/>
      <c r="F339" s="21"/>
      <c r="G339" s="13"/>
      <c r="H339" s="13"/>
      <c r="I339" s="8"/>
      <c r="J339" s="45"/>
      <c r="K339" s="45"/>
      <c r="L339" s="45"/>
      <c r="M339" s="45"/>
      <c r="N339" s="45"/>
      <c r="O339" s="46"/>
      <c r="P339" s="35"/>
      <c r="Q339" s="35"/>
      <c r="R339" s="35"/>
      <c r="S339" s="35"/>
      <c r="U339" s="8"/>
      <c r="V339" s="22"/>
      <c r="W339" s="22"/>
      <c r="X339" s="22"/>
      <c r="Y339" s="22"/>
      <c r="Z339" s="18"/>
      <c r="AA339" s="8"/>
      <c r="AB339" s="8"/>
      <c r="AC339" s="18"/>
      <c r="AD339" s="8"/>
      <c r="AE339" s="8"/>
      <c r="AF339" s="8"/>
      <c r="AG339" s="8"/>
      <c r="AH339" s="8"/>
      <c r="AI339" s="8"/>
      <c r="AJ339" s="8"/>
      <c r="AK339" s="8"/>
    </row>
    <row r="340" spans="3:38" ht="24.75" customHeight="1">
      <c r="C340" s="5" t="s">
        <v>206</v>
      </c>
      <c r="D340" s="21"/>
      <c r="E340" s="21"/>
      <c r="F340" s="21"/>
      <c r="G340" s="8"/>
      <c r="H340" s="8"/>
      <c r="I340" s="8"/>
      <c r="U340" s="8"/>
      <c r="V340" s="22"/>
      <c r="W340" s="22"/>
      <c r="X340" s="22"/>
      <c r="Y340" s="22"/>
      <c r="Z340" s="22"/>
      <c r="AA340" s="8"/>
      <c r="AB340" s="8"/>
      <c r="AC340" s="8"/>
      <c r="AD340" s="8"/>
      <c r="AE340" s="8"/>
      <c r="AF340" s="8"/>
      <c r="AG340" s="8"/>
      <c r="AH340" s="8"/>
      <c r="AI340" s="8"/>
      <c r="AJ340" s="8"/>
      <c r="AK340" s="8"/>
      <c r="AL340" s="8"/>
    </row>
    <row r="341" spans="4:47" ht="24.75" customHeight="1">
      <c r="D341" s="5" t="s">
        <v>205</v>
      </c>
      <c r="AU341" s="23"/>
    </row>
    <row r="342" spans="5:47" ht="24.75" customHeight="1">
      <c r="E342" s="5" t="s">
        <v>211</v>
      </c>
      <c r="AU342" s="23"/>
    </row>
    <row r="343" ht="24.75" customHeight="1">
      <c r="D343" s="5" t="s">
        <v>7</v>
      </c>
    </row>
    <row r="344" spans="3:36" ht="24.75" customHeight="1">
      <c r="C344" s="106" t="s">
        <v>49</v>
      </c>
      <c r="D344" s="106"/>
      <c r="E344" s="106"/>
      <c r="G344" s="105">
        <f>O237</f>
        <v>426.8238759</v>
      </c>
      <c r="H344" s="105"/>
      <c r="I344" s="105"/>
      <c r="J344" s="19" t="s">
        <v>41</v>
      </c>
      <c r="K344" s="97">
        <v>1000000</v>
      </c>
      <c r="L344" s="97"/>
      <c r="M344" s="97"/>
      <c r="N344" s="97"/>
      <c r="P344" s="106" t="s">
        <v>47</v>
      </c>
      <c r="Q344" s="106"/>
      <c r="R344" s="122">
        <f>Q338</f>
        <v>83</v>
      </c>
      <c r="S344" s="122"/>
      <c r="T344" s="122"/>
      <c r="U344" s="92" t="s">
        <v>34</v>
      </c>
      <c r="V344" s="92"/>
      <c r="W344" s="102">
        <f>ROUND((G344*K344/(I345*K345))/R344,1)</f>
        <v>1168.7</v>
      </c>
      <c r="X344" s="102"/>
      <c r="Y344" s="102"/>
      <c r="Z344" s="102"/>
      <c r="AA344" s="92" t="str">
        <f>IF(W344&gt;AA241,"N/本   ＞ ρa   N.G.","N/本  ＜  ρa   O.K.")</f>
        <v>N/本  ＜  ρa   O.K.</v>
      </c>
      <c r="AB344" s="92"/>
      <c r="AC344" s="92"/>
      <c r="AD344" s="92"/>
      <c r="AE344" s="92"/>
      <c r="AF344" s="92"/>
      <c r="AG344" s="92"/>
      <c r="AH344" s="92"/>
      <c r="AI344" s="92"/>
      <c r="AJ344" s="92"/>
    </row>
    <row r="345" spans="3:36" ht="24.75" customHeight="1">
      <c r="C345" s="106"/>
      <c r="D345" s="106"/>
      <c r="E345" s="106"/>
      <c r="I345" s="8">
        <v>2</v>
      </c>
      <c r="J345" s="14" t="s">
        <v>41</v>
      </c>
      <c r="K345" s="24">
        <f>AM378</f>
        <v>2200</v>
      </c>
      <c r="L345" s="25"/>
      <c r="M345" s="25"/>
      <c r="P345" s="106"/>
      <c r="Q345" s="106"/>
      <c r="R345" s="122"/>
      <c r="S345" s="122"/>
      <c r="T345" s="122"/>
      <c r="U345" s="92"/>
      <c r="V345" s="92"/>
      <c r="W345" s="102"/>
      <c r="X345" s="102"/>
      <c r="Y345" s="102"/>
      <c r="Z345" s="102"/>
      <c r="AA345" s="92"/>
      <c r="AB345" s="92"/>
      <c r="AC345" s="92"/>
      <c r="AD345" s="92"/>
      <c r="AE345" s="92"/>
      <c r="AF345" s="92"/>
      <c r="AG345" s="92"/>
      <c r="AH345" s="92"/>
      <c r="AI345" s="92"/>
      <c r="AJ345" s="92"/>
    </row>
    <row r="347" spans="3:9" ht="24.75" customHeight="1">
      <c r="C347" s="5" t="s">
        <v>212</v>
      </c>
      <c r="I347" s="23"/>
    </row>
    <row r="348" spans="4:31" ht="24.75" customHeight="1">
      <c r="D348" s="5" t="s">
        <v>50</v>
      </c>
      <c r="P348" s="119">
        <f>W338</f>
        <v>69196.60966590501</v>
      </c>
      <c r="Q348" s="119"/>
      <c r="R348" s="119"/>
      <c r="S348" s="119"/>
      <c r="T348" s="5" t="s">
        <v>48</v>
      </c>
      <c r="U348" s="104">
        <f>+W344</f>
        <v>1168.7</v>
      </c>
      <c r="V348" s="104"/>
      <c r="W348" s="104"/>
      <c r="X348" s="104"/>
      <c r="Y348" s="5" t="s">
        <v>33</v>
      </c>
      <c r="AA348" s="100">
        <f>ROUND(SQRT(P348^2+U348^2),1)</f>
        <v>69206.5</v>
      </c>
      <c r="AB348" s="100"/>
      <c r="AC348" s="100"/>
      <c r="AD348" s="100"/>
      <c r="AE348" s="5" t="str">
        <f>IF(AA348&gt;$AA$8,"N/本  ＞  ρa ,  N.G","N/本  ＜  ρa ,  O.K")</f>
        <v>N/本  ＜  ρa ,  O.K</v>
      </c>
    </row>
    <row r="350" spans="3:29" ht="24.75" customHeight="1">
      <c r="C350" s="5" t="s">
        <v>195</v>
      </c>
      <c r="Z350" s="6"/>
      <c r="AA350" s="6"/>
      <c r="AB350" s="6"/>
      <c r="AC350" s="6"/>
    </row>
    <row r="351" spans="4:40" ht="24.75" customHeight="1">
      <c r="D351" s="5" t="s">
        <v>196</v>
      </c>
      <c r="L351" s="5" t="s">
        <v>158</v>
      </c>
      <c r="O351" s="5" t="s">
        <v>87</v>
      </c>
      <c r="P351" s="92">
        <f>AM306</f>
        <v>2340</v>
      </c>
      <c r="Q351" s="92"/>
      <c r="R351" s="92"/>
      <c r="S351" s="8" t="s">
        <v>140</v>
      </c>
      <c r="T351" s="89">
        <f>H241+3</f>
        <v>25</v>
      </c>
      <c r="U351" s="89"/>
      <c r="V351" s="89"/>
      <c r="W351" s="5" t="s">
        <v>137</v>
      </c>
      <c r="X351" s="90">
        <f>U328</f>
        <v>14</v>
      </c>
      <c r="Y351" s="90"/>
      <c r="Z351" s="5" t="s">
        <v>144</v>
      </c>
      <c r="AA351" s="5" t="s">
        <v>41</v>
      </c>
      <c r="AB351" s="90">
        <f>AM305</f>
        <v>15</v>
      </c>
      <c r="AC351" s="90"/>
      <c r="AD351" s="5" t="s">
        <v>41</v>
      </c>
      <c r="AE351" s="92">
        <v>1.1</v>
      </c>
      <c r="AF351" s="92"/>
      <c r="AG351" s="5" t="s">
        <v>89</v>
      </c>
      <c r="AH351" s="102">
        <f>(P351-T351*X351)*AB351*AE351</f>
        <v>32835</v>
      </c>
      <c r="AI351" s="102"/>
      <c r="AJ351" s="102"/>
      <c r="AK351" s="102"/>
      <c r="AL351" s="5" t="s">
        <v>101</v>
      </c>
      <c r="AN351" s="5" t="str">
        <f>IF(BA328=BJ328,"","( 第1列 )")</f>
        <v>( 第1列 )</v>
      </c>
    </row>
    <row r="352" spans="12:40" ht="24.75" customHeight="1">
      <c r="L352" s="5" t="s">
        <v>159</v>
      </c>
      <c r="O352" s="5" t="s">
        <v>87</v>
      </c>
      <c r="P352" s="92">
        <f>P351</f>
        <v>2340</v>
      </c>
      <c r="Q352" s="92"/>
      <c r="R352" s="92"/>
      <c r="S352" s="8" t="s">
        <v>140</v>
      </c>
      <c r="T352" s="89">
        <f>T351</f>
        <v>25</v>
      </c>
      <c r="U352" s="89"/>
      <c r="V352" s="89"/>
      <c r="W352" s="5" t="s">
        <v>41</v>
      </c>
      <c r="X352" s="90">
        <f>U331</f>
        <v>23</v>
      </c>
      <c r="Y352" s="90"/>
      <c r="Z352" s="5" t="s">
        <v>144</v>
      </c>
      <c r="AA352" s="5" t="s">
        <v>41</v>
      </c>
      <c r="AB352" s="90">
        <f>AB351</f>
        <v>15</v>
      </c>
      <c r="AC352" s="90"/>
      <c r="AD352" s="5" t="s">
        <v>41</v>
      </c>
      <c r="AE352" s="92">
        <v>1.1</v>
      </c>
      <c r="AF352" s="92"/>
      <c r="AG352" s="5" t="s">
        <v>89</v>
      </c>
      <c r="AH352" s="102">
        <f>(P352-T352*X352)*AB352*AE352</f>
        <v>29122.500000000004</v>
      </c>
      <c r="AI352" s="102"/>
      <c r="AJ352" s="102"/>
      <c r="AK352" s="102"/>
      <c r="AL352" s="5" t="s">
        <v>101</v>
      </c>
      <c r="AN352" s="5" t="str">
        <f>IF(BA328=BJ328,"","( 第2列 )")</f>
        <v>( 第2列 )</v>
      </c>
    </row>
    <row r="353" spans="4:38" ht="24.75" customHeight="1">
      <c r="D353" s="5" t="s">
        <v>198</v>
      </c>
      <c r="L353" s="5" t="s">
        <v>160</v>
      </c>
      <c r="O353" s="5" t="s">
        <v>87</v>
      </c>
      <c r="P353" s="92">
        <f>AB363</f>
        <v>150</v>
      </c>
      <c r="Q353" s="92"/>
      <c r="R353" s="92"/>
      <c r="S353" s="5" t="s">
        <v>41</v>
      </c>
      <c r="T353" s="90">
        <f>AB364</f>
        <v>14</v>
      </c>
      <c r="U353" s="90"/>
      <c r="V353" s="5" t="s">
        <v>140</v>
      </c>
      <c r="W353" s="112">
        <f>R317</f>
        <v>371</v>
      </c>
      <c r="X353" s="112"/>
      <c r="Y353" s="112"/>
      <c r="Z353" s="5" t="s">
        <v>144</v>
      </c>
      <c r="AA353" s="5" t="s">
        <v>41</v>
      </c>
      <c r="AB353" s="90">
        <f>AK316</f>
        <v>2</v>
      </c>
      <c r="AC353" s="90"/>
      <c r="AD353" s="5" t="s">
        <v>41</v>
      </c>
      <c r="AE353" s="92">
        <v>1.1</v>
      </c>
      <c r="AF353" s="92"/>
      <c r="AG353" s="5" t="s">
        <v>89</v>
      </c>
      <c r="AH353" s="102">
        <f>(P353*T353-W353)*AB353*AE353</f>
        <v>3803.8</v>
      </c>
      <c r="AI353" s="102"/>
      <c r="AJ353" s="102"/>
      <c r="AK353" s="102"/>
      <c r="AL353" s="5" t="s">
        <v>101</v>
      </c>
    </row>
    <row r="354" spans="4:43" ht="24.75" customHeight="1">
      <c r="D354" s="19" t="s">
        <v>21</v>
      </c>
      <c r="E354" s="19"/>
      <c r="F354" s="19"/>
      <c r="G354" s="19"/>
      <c r="H354" s="19"/>
      <c r="I354" s="19"/>
      <c r="J354" s="19"/>
      <c r="K354" s="19"/>
      <c r="L354" s="19" t="s">
        <v>161</v>
      </c>
      <c r="M354" s="19"/>
      <c r="N354" s="19"/>
      <c r="O354" s="19" t="s">
        <v>87</v>
      </c>
      <c r="P354" s="97">
        <f>L394/2</f>
        <v>13.13846339</v>
      </c>
      <c r="Q354" s="97"/>
      <c r="R354" s="97"/>
      <c r="S354" s="19" t="s">
        <v>41</v>
      </c>
      <c r="T354" s="117">
        <f>AM379</f>
        <v>12</v>
      </c>
      <c r="U354" s="117"/>
      <c r="V354" s="19" t="s">
        <v>144</v>
      </c>
      <c r="W354" s="19" t="s">
        <v>41</v>
      </c>
      <c r="X354" s="19">
        <v>2</v>
      </c>
      <c r="Y354" s="19"/>
      <c r="Z354" s="48"/>
      <c r="AA354" s="48"/>
      <c r="AB354" s="48"/>
      <c r="AC354" s="48"/>
      <c r="AD354" s="19"/>
      <c r="AE354" s="19"/>
      <c r="AF354" s="19"/>
      <c r="AG354" s="19" t="s">
        <v>89</v>
      </c>
      <c r="AH354" s="118">
        <f>P354*T354*X354</f>
        <v>315.32312136</v>
      </c>
      <c r="AI354" s="118"/>
      <c r="AJ354" s="118"/>
      <c r="AK354" s="118"/>
      <c r="AL354" s="19" t="s">
        <v>101</v>
      </c>
      <c r="AM354" s="19"/>
      <c r="AN354" s="19"/>
      <c r="AO354" s="19"/>
      <c r="AP354" s="19"/>
      <c r="AQ354" s="19"/>
    </row>
    <row r="355" spans="20:40" ht="24.75" customHeight="1">
      <c r="T355" s="28"/>
      <c r="U355" s="28"/>
      <c r="AE355" s="5" t="s">
        <v>162</v>
      </c>
      <c r="AH355" s="102">
        <f>AH351+AH353+AH354</f>
        <v>36954.123121360004</v>
      </c>
      <c r="AI355" s="102"/>
      <c r="AJ355" s="102"/>
      <c r="AK355" s="102"/>
      <c r="AL355" s="5" t="s">
        <v>101</v>
      </c>
      <c r="AN355" s="5" t="str">
        <f>IF(BA328=BJ328,"","( 第1列 )")</f>
        <v>( 第1列 )</v>
      </c>
    </row>
    <row r="356" spans="14:40" ht="24.75" customHeight="1">
      <c r="N356" s="6"/>
      <c r="O356" s="6"/>
      <c r="P356" s="6"/>
      <c r="Q356" s="6"/>
      <c r="T356" s="28"/>
      <c r="U356" s="28"/>
      <c r="Z356" s="6"/>
      <c r="AA356" s="6"/>
      <c r="AB356" s="6"/>
      <c r="AC356" s="6"/>
      <c r="AE356" s="5" t="s">
        <v>163</v>
      </c>
      <c r="AH356" s="102">
        <f>AH352+AH353+AH354</f>
        <v>33241.623121360004</v>
      </c>
      <c r="AI356" s="102"/>
      <c r="AJ356" s="102"/>
      <c r="AK356" s="102"/>
      <c r="AL356" s="5" t="s">
        <v>101</v>
      </c>
      <c r="AN356" s="5" t="str">
        <f>IF(BA328=BJ328,"","( 第2列 )")</f>
        <v>( 第2列 )</v>
      </c>
    </row>
    <row r="357" spans="4:39" ht="24.75" customHeight="1">
      <c r="D357" s="5" t="s">
        <v>199</v>
      </c>
      <c r="J357" s="5" t="s">
        <v>164</v>
      </c>
      <c r="M357" s="49" t="s">
        <v>165</v>
      </c>
      <c r="N357" s="6"/>
      <c r="O357" s="6"/>
      <c r="P357" s="6"/>
      <c r="S357" s="102">
        <f>AN318</f>
        <v>5743318.602270116</v>
      </c>
      <c r="T357" s="102"/>
      <c r="U357" s="102"/>
      <c r="V357" s="102"/>
      <c r="W357" s="102"/>
      <c r="X357" s="102"/>
      <c r="Y357" s="17" t="s">
        <v>88</v>
      </c>
      <c r="Z357" s="102">
        <f>AH355</f>
        <v>36954.123121360004</v>
      </c>
      <c r="AA357" s="102"/>
      <c r="AB357" s="102"/>
      <c r="AC357" s="102"/>
      <c r="AD357" s="6" t="s">
        <v>89</v>
      </c>
      <c r="AE357" s="116">
        <f>S357/Z357</f>
        <v>155.417531716519</v>
      </c>
      <c r="AF357" s="116"/>
      <c r="AG357" s="116"/>
      <c r="AH357" s="116"/>
      <c r="AI357" s="5" t="s">
        <v>145</v>
      </c>
      <c r="AM357" s="5" t="str">
        <f>IF(AE357&gt;O240,"＞  σta ,  N.G","＜  σta ,  O.K")</f>
        <v>＜  σta ,  O.K</v>
      </c>
    </row>
    <row r="358" spans="10:26" ht="24.75" customHeight="1">
      <c r="J358" s="5" t="s">
        <v>166</v>
      </c>
      <c r="M358" s="39" t="s">
        <v>167</v>
      </c>
      <c r="N358" s="25"/>
      <c r="O358" s="25"/>
      <c r="P358" s="50"/>
      <c r="Q358" s="25"/>
      <c r="R358" s="14" t="s">
        <v>41</v>
      </c>
      <c r="S358" s="49" t="str">
        <f>"("&amp;AE320&amp;" - "&amp;U328&amp;") / "&amp;AE320</f>
        <v>(83 - 14) / 83</v>
      </c>
      <c r="Y358" s="28"/>
      <c r="Z358" s="6"/>
    </row>
    <row r="359" spans="11:36" ht="24.75" customHeight="1">
      <c r="K359" s="38" t="s">
        <v>89</v>
      </c>
      <c r="L359" s="102">
        <f>S357</f>
        <v>5743318.602270116</v>
      </c>
      <c r="M359" s="102"/>
      <c r="N359" s="102"/>
      <c r="O359" s="102"/>
      <c r="P359" s="102"/>
      <c r="Q359" s="102"/>
      <c r="R359" s="17" t="s">
        <v>88</v>
      </c>
      <c r="S359" s="102">
        <f>AH356</f>
        <v>33241.623121360004</v>
      </c>
      <c r="T359" s="102"/>
      <c r="U359" s="102"/>
      <c r="V359" s="102"/>
      <c r="W359" s="5" t="s">
        <v>41</v>
      </c>
      <c r="X359" s="51">
        <f>(AE320-U328)/AE320</f>
        <v>0.8313253012048193</v>
      </c>
      <c r="Y359" s="51"/>
      <c r="Z359" s="51"/>
      <c r="AA359" s="6" t="s">
        <v>89</v>
      </c>
      <c r="AB359" s="116">
        <f>X359*L359/S359</f>
        <v>143.6321580783299</v>
      </c>
      <c r="AC359" s="116"/>
      <c r="AD359" s="116"/>
      <c r="AE359" s="116"/>
      <c r="AF359" s="5" t="s">
        <v>145</v>
      </c>
      <c r="AJ359" s="5" t="str">
        <f>IF(AB359&gt;O240,"＞  σta ,  N.G","＜  σta ,  O.K")</f>
        <v>＜  σta ,  O.K</v>
      </c>
    </row>
    <row r="360" spans="2:11" ht="24.75" customHeight="1">
      <c r="B360" s="5" t="s">
        <v>197</v>
      </c>
      <c r="H360" s="27"/>
      <c r="K360" s="9"/>
    </row>
    <row r="361" spans="7:9" ht="24.75" customHeight="1">
      <c r="G361" s="27"/>
      <c r="I361" s="27"/>
    </row>
    <row r="362" spans="5:17" ht="24.75" customHeight="1">
      <c r="E362" s="166"/>
      <c r="F362" s="166"/>
      <c r="G362" s="166"/>
      <c r="K362" s="29"/>
      <c r="L362" s="29"/>
      <c r="M362" s="29"/>
      <c r="N362" s="166"/>
      <c r="Q362" s="30"/>
    </row>
    <row r="363" spans="17:31" ht="24.75" customHeight="1">
      <c r="Q363" s="30"/>
      <c r="U363" s="31"/>
      <c r="V363" s="31"/>
      <c r="X363" s="5" t="s">
        <v>185</v>
      </c>
      <c r="AB363" s="163">
        <v>150</v>
      </c>
      <c r="AC363" s="163"/>
      <c r="AD363" s="163"/>
      <c r="AE363" s="5" t="s">
        <v>84</v>
      </c>
    </row>
    <row r="364" spans="17:31" ht="24.75" customHeight="1">
      <c r="Q364" s="30"/>
      <c r="R364" s="30"/>
      <c r="S364" s="32"/>
      <c r="T364" s="32"/>
      <c r="U364" s="167"/>
      <c r="V364" s="33"/>
      <c r="X364" s="5" t="s">
        <v>186</v>
      </c>
      <c r="AB364" s="163">
        <v>14</v>
      </c>
      <c r="AC364" s="163"/>
      <c r="AD364" s="163"/>
      <c r="AE364" s="5" t="s">
        <v>84</v>
      </c>
    </row>
    <row r="365" spans="1:3" ht="24.75" customHeight="1">
      <c r="A365" s="53"/>
      <c r="B365" s="53"/>
      <c r="C365" s="53"/>
    </row>
    <row r="367" ht="24.75" customHeight="1">
      <c r="C367" s="5" t="s">
        <v>181</v>
      </c>
    </row>
    <row r="368" spans="4:42" ht="24.75" customHeight="1">
      <c r="D368" s="52" t="s">
        <v>16</v>
      </c>
      <c r="E368" s="53"/>
      <c r="F368" s="53"/>
      <c r="G368" s="53"/>
      <c r="H368" s="53"/>
      <c r="I368" s="53"/>
      <c r="J368" s="53"/>
      <c r="K368" s="53"/>
      <c r="M368" s="52" t="s">
        <v>146</v>
      </c>
      <c r="N368" s="53"/>
      <c r="O368" s="95">
        <f>+AB364</f>
        <v>14</v>
      </c>
      <c r="P368" s="95"/>
      <c r="Q368" s="14" t="s">
        <v>41</v>
      </c>
      <c r="R368" s="114">
        <f>+AB363</f>
        <v>150</v>
      </c>
      <c r="S368" s="114"/>
      <c r="T368" s="114"/>
      <c r="U368" s="14" t="s">
        <v>140</v>
      </c>
      <c r="V368" s="115">
        <f>R317</f>
        <v>371</v>
      </c>
      <c r="W368" s="115"/>
      <c r="X368" s="115"/>
      <c r="Y368" s="115"/>
      <c r="Z368" s="5" t="s">
        <v>89</v>
      </c>
      <c r="AA368" s="39">
        <f>O368*R368-V368</f>
        <v>1729</v>
      </c>
      <c r="AB368" s="39"/>
      <c r="AC368" s="39"/>
      <c r="AD368" s="39"/>
      <c r="AE368" s="18" t="s">
        <v>101</v>
      </c>
      <c r="AO368" s="8"/>
      <c r="AP368" s="8"/>
    </row>
    <row r="369" spans="4:51" ht="24.75" customHeight="1">
      <c r="D369" s="5" t="str">
        <f>IF(O235&gt;0,"n = An σl / ρa","n = An σu / ρa")</f>
        <v>n = An σl / ρa</v>
      </c>
      <c r="G369" s="27"/>
      <c r="I369" s="27"/>
      <c r="K369" s="9" t="s">
        <v>89</v>
      </c>
      <c r="L369" s="39">
        <f>AA368</f>
        <v>1729</v>
      </c>
      <c r="M369" s="39"/>
      <c r="N369" s="39"/>
      <c r="O369" s="39"/>
      <c r="P369" s="14" t="s">
        <v>41</v>
      </c>
      <c r="Q369" s="108">
        <f>AE357</f>
        <v>155.417531716519</v>
      </c>
      <c r="R369" s="108"/>
      <c r="S369" s="108"/>
      <c r="T369" s="108"/>
      <c r="U369" s="17" t="s">
        <v>88</v>
      </c>
      <c r="V369" s="89">
        <f>R320</f>
        <v>96000</v>
      </c>
      <c r="W369" s="89"/>
      <c r="X369" s="89"/>
      <c r="Y369" s="89"/>
      <c r="AA369" s="8" t="s">
        <v>89</v>
      </c>
      <c r="AB369" s="113">
        <f>ROUND(L369*Q369/V369,1)</f>
        <v>2.8</v>
      </c>
      <c r="AC369" s="113"/>
      <c r="AD369" s="113"/>
      <c r="AE369" s="113"/>
      <c r="AF369" s="92" t="s">
        <v>43</v>
      </c>
      <c r="AG369" s="92"/>
      <c r="AH369" s="92"/>
      <c r="AI369" s="164">
        <v>5</v>
      </c>
      <c r="AJ369" s="164"/>
      <c r="AK369" s="164"/>
      <c r="AL369" s="170"/>
      <c r="AM369" s="8" t="s">
        <v>4</v>
      </c>
      <c r="AN369" s="8"/>
      <c r="AO369" s="8"/>
      <c r="AP369" s="5" t="str">
        <f>IF(AB369&lt;=AI369,"O.K.","N.G.")</f>
        <v>O.K.</v>
      </c>
      <c r="AW369" s="8"/>
      <c r="AY369" s="18"/>
    </row>
    <row r="370" ht="24.75" customHeight="1">
      <c r="C370" s="5" t="s">
        <v>239</v>
      </c>
    </row>
    <row r="371" spans="4:37" ht="24.75" customHeight="1">
      <c r="D371" s="92" t="s">
        <v>188</v>
      </c>
      <c r="E371" s="92"/>
      <c r="F371" s="92"/>
      <c r="G371" s="92"/>
      <c r="H371" s="92"/>
      <c r="I371" s="92"/>
      <c r="J371" s="92"/>
      <c r="K371" s="5" t="str">
        <f>IF(O235&gt;0,"An σl / σta","n = An σu / σta")</f>
        <v>An σl / σta</v>
      </c>
      <c r="Q371" s="5" t="s">
        <v>89</v>
      </c>
      <c r="R371" s="39">
        <f>AA368</f>
        <v>1729</v>
      </c>
      <c r="S371" s="39"/>
      <c r="T371" s="39"/>
      <c r="U371" s="39"/>
      <c r="V371" s="14" t="s">
        <v>41</v>
      </c>
      <c r="W371" s="108">
        <f>Q369</f>
        <v>155.417531716519</v>
      </c>
      <c r="X371" s="108"/>
      <c r="Y371" s="108"/>
      <c r="Z371" s="108"/>
      <c r="AA371" s="17" t="s">
        <v>88</v>
      </c>
      <c r="AB371" s="89">
        <f>O240</f>
        <v>210</v>
      </c>
      <c r="AC371" s="89"/>
      <c r="AD371" s="89"/>
      <c r="AE371" s="89"/>
      <c r="AF371" s="5" t="s">
        <v>89</v>
      </c>
      <c r="AG371" s="89">
        <f>R371*W371/AB371</f>
        <v>1279.6043444660063</v>
      </c>
      <c r="AH371" s="89"/>
      <c r="AI371" s="89"/>
      <c r="AJ371" s="89"/>
      <c r="AK371" s="5" t="s">
        <v>101</v>
      </c>
    </row>
    <row r="372" spans="4:54" ht="24.75" customHeight="1">
      <c r="D372" s="5" t="s">
        <v>240</v>
      </c>
      <c r="I372" s="165">
        <v>2</v>
      </c>
      <c r="J372" s="165"/>
      <c r="K372" s="165"/>
      <c r="L372" s="126">
        <v>80</v>
      </c>
      <c r="M372" s="126"/>
      <c r="N372" s="126"/>
      <c r="O372" s="92">
        <v>9</v>
      </c>
      <c r="P372" s="92"/>
      <c r="Q372" s="127">
        <v>780</v>
      </c>
      <c r="R372" s="127"/>
      <c r="S372" s="127"/>
      <c r="T372" s="127"/>
      <c r="U372" s="5" t="s">
        <v>31</v>
      </c>
      <c r="W372" s="89">
        <f>+L372*O372*I372</f>
        <v>1440</v>
      </c>
      <c r="X372" s="89"/>
      <c r="Y372" s="89"/>
      <c r="Z372" s="89"/>
      <c r="AA372" s="5" t="s">
        <v>101</v>
      </c>
      <c r="AD372" s="5" t="str">
        <f>IF(W372&gt;=AG371,"O.K.","N.G.")</f>
        <v>O.K.</v>
      </c>
      <c r="AX372" s="23"/>
      <c r="AZ372" s="23"/>
      <c r="BB372" s="23"/>
    </row>
    <row r="373" spans="46:54" ht="24.75" customHeight="1">
      <c r="AT373" s="4"/>
      <c r="BB373" s="8"/>
    </row>
    <row r="374" spans="2:14" ht="24.75" customHeight="1">
      <c r="B374" s="5" t="s">
        <v>17</v>
      </c>
      <c r="K374" s="7"/>
      <c r="M374" s="9"/>
      <c r="N374" s="4"/>
    </row>
    <row r="375" spans="3:9" ht="24.75" customHeight="1">
      <c r="C375" s="4" t="s">
        <v>6</v>
      </c>
      <c r="I375" s="23"/>
    </row>
    <row r="376" spans="3:9" ht="24.75" customHeight="1">
      <c r="C376" s="18" t="s">
        <v>8</v>
      </c>
      <c r="I376" s="23"/>
    </row>
    <row r="378" spans="8:42" ht="24.75" customHeight="1">
      <c r="H378" s="25"/>
      <c r="P378" s="33"/>
      <c r="V378" s="54"/>
      <c r="W378" s="54"/>
      <c r="X378" s="54"/>
      <c r="Y378" s="54"/>
      <c r="Z378" s="54"/>
      <c r="AA378" s="54"/>
      <c r="AB378" s="54"/>
      <c r="AC378" s="54"/>
      <c r="AD378" s="54"/>
      <c r="AE378" s="54"/>
      <c r="AF378" s="5" t="s">
        <v>22</v>
      </c>
      <c r="AM378" s="171">
        <v>2200</v>
      </c>
      <c r="AN378" s="171"/>
      <c r="AO378" s="171"/>
      <c r="AP378" s="171"/>
    </row>
    <row r="379" spans="8:42" ht="24.75" customHeight="1">
      <c r="H379" s="25"/>
      <c r="L379" s="25"/>
      <c r="P379" s="172"/>
      <c r="Q379" s="173"/>
      <c r="V379" s="54"/>
      <c r="W379" s="54"/>
      <c r="X379" s="54"/>
      <c r="Y379" s="54"/>
      <c r="Z379" s="54"/>
      <c r="AA379" s="54"/>
      <c r="AB379" s="54"/>
      <c r="AC379" s="54"/>
      <c r="AD379" s="54"/>
      <c r="AE379" s="54"/>
      <c r="AF379" s="5" t="s">
        <v>23</v>
      </c>
      <c r="AM379" s="171">
        <v>12</v>
      </c>
      <c r="AN379" s="171"/>
      <c r="AO379" s="171"/>
      <c r="AP379" s="171"/>
    </row>
    <row r="380" spans="16:32" ht="24.75" customHeight="1">
      <c r="P380" s="33"/>
      <c r="V380" s="54"/>
      <c r="W380" s="54"/>
      <c r="X380" s="54"/>
      <c r="Y380" s="54"/>
      <c r="Z380" s="54"/>
      <c r="AA380" s="54"/>
      <c r="AB380" s="54"/>
      <c r="AC380" s="54"/>
      <c r="AD380" s="54"/>
      <c r="AE380" s="54"/>
      <c r="AF380" s="54"/>
    </row>
    <row r="381" spans="22:32" ht="24.75" customHeight="1">
      <c r="V381" s="54"/>
      <c r="W381" s="54"/>
      <c r="X381" s="54"/>
      <c r="Y381" s="54"/>
      <c r="Z381" s="54"/>
      <c r="AA381" s="54"/>
      <c r="AB381" s="54"/>
      <c r="AC381" s="54"/>
      <c r="AD381" s="54"/>
      <c r="AE381" s="54"/>
      <c r="AF381" s="54"/>
    </row>
    <row r="382" spans="16:25" ht="24.75" customHeight="1">
      <c r="P382" s="54"/>
      <c r="R382" s="25"/>
      <c r="Y382" s="25"/>
    </row>
    <row r="383" spans="9:46" ht="24.75" customHeight="1">
      <c r="I383" s="44"/>
      <c r="P383" s="54"/>
      <c r="R383" s="54"/>
      <c r="AT383" s="189"/>
    </row>
    <row r="384" spans="9:18" ht="24.75" customHeight="1">
      <c r="I384" s="44"/>
      <c r="P384" s="54"/>
      <c r="R384" s="54"/>
    </row>
    <row r="385" spans="9:32" ht="24.75" customHeight="1">
      <c r="I385" s="44"/>
      <c r="P385" s="54"/>
      <c r="W385" s="23"/>
      <c r="AF385" s="54"/>
    </row>
    <row r="386" spans="9:32" ht="24.75" customHeight="1">
      <c r="I386" s="44"/>
      <c r="W386" s="23"/>
      <c r="X386" s="31"/>
      <c r="Y386" s="31"/>
      <c r="Z386" s="31"/>
      <c r="AA386" s="31"/>
      <c r="AB386" s="31"/>
      <c r="AC386" s="31"/>
      <c r="AF386" s="54"/>
    </row>
    <row r="387" spans="16:29" ht="24.75" customHeight="1">
      <c r="P387" s="33"/>
      <c r="W387" s="23"/>
      <c r="X387" s="31"/>
      <c r="Y387" s="31"/>
      <c r="AC387" s="23"/>
    </row>
    <row r="388" spans="16:29" ht="24.75" customHeight="1">
      <c r="P388" s="172"/>
      <c r="Q388" s="173"/>
      <c r="W388" s="23"/>
      <c r="X388" s="31"/>
      <c r="Y388" s="31"/>
      <c r="AC388" s="23"/>
    </row>
    <row r="389" spans="16:29" ht="24.75" customHeight="1">
      <c r="P389" s="33"/>
      <c r="T389" s="31"/>
      <c r="U389" s="31"/>
      <c r="Y389" s="23"/>
      <c r="Z389" s="31"/>
      <c r="AA389" s="31"/>
      <c r="AB389" s="31"/>
      <c r="AC389" s="31"/>
    </row>
    <row r="390" spans="8:23" ht="24.75" customHeight="1">
      <c r="H390" s="25"/>
      <c r="L390" s="25"/>
      <c r="W390" s="23"/>
    </row>
    <row r="391" spans="4:23" ht="24.75" customHeight="1">
      <c r="D391" s="17" t="s">
        <v>227</v>
      </c>
      <c r="W391" s="23"/>
    </row>
    <row r="392" spans="4:24" ht="24.75" customHeight="1">
      <c r="D392" s="5" t="s">
        <v>24</v>
      </c>
      <c r="I392" s="53"/>
      <c r="J392" s="53"/>
      <c r="K392" s="53"/>
      <c r="L392" s="53"/>
      <c r="S392" s="112">
        <f>(P246/(P246+P302)*AM378)/COS(RADIANS(AG237))</f>
        <v>1043.1657068801499</v>
      </c>
      <c r="T392" s="112"/>
      <c r="U392" s="112"/>
      <c r="V392" s="5" t="s">
        <v>84</v>
      </c>
      <c r="X392" s="5" t="str">
        <f>IF(AG237=0,"","( 傾斜長さ )")</f>
        <v>( 傾斜長さ )</v>
      </c>
    </row>
    <row r="393" spans="4:20" ht="24.75" customHeight="1">
      <c r="D393" s="111" t="s">
        <v>168</v>
      </c>
      <c r="E393" s="111"/>
      <c r="F393" s="111"/>
      <c r="G393" s="55">
        <f>IF(O235&gt;0,P246,P302)</f>
        <v>141.39999999975</v>
      </c>
      <c r="H393" s="56"/>
      <c r="I393" s="56"/>
      <c r="J393" s="56"/>
      <c r="K393" s="10" t="s">
        <v>218</v>
      </c>
      <c r="L393" s="10"/>
      <c r="P393" s="10"/>
      <c r="Q393" s="55"/>
      <c r="R393" s="56"/>
      <c r="S393" s="56"/>
      <c r="T393" s="56"/>
    </row>
    <row r="394" spans="4:24" ht="24.75" customHeight="1">
      <c r="D394" s="111" t="s">
        <v>117</v>
      </c>
      <c r="E394" s="111"/>
      <c r="F394" s="111"/>
      <c r="G394" s="111" t="s">
        <v>219</v>
      </c>
      <c r="H394" s="111"/>
      <c r="I394" s="111"/>
      <c r="J394" s="111"/>
      <c r="K394" s="111"/>
      <c r="L394" s="175">
        <v>26.27692678</v>
      </c>
      <c r="M394" s="175"/>
      <c r="N394" s="91"/>
      <c r="O394" s="58" t="s">
        <v>35</v>
      </c>
      <c r="P394" s="58"/>
      <c r="Q394" s="10" t="s">
        <v>34</v>
      </c>
      <c r="R394" s="55">
        <f>ROUND(G393*(S392-L394)/S392,3)</f>
        <v>137.838</v>
      </c>
      <c r="S394" s="56"/>
      <c r="T394" s="56"/>
      <c r="U394" s="56"/>
      <c r="V394" s="57"/>
      <c r="W394" s="10" t="s">
        <v>218</v>
      </c>
      <c r="X394" s="10"/>
    </row>
    <row r="395" spans="4:31" ht="24.75" customHeight="1">
      <c r="D395" s="111" t="s">
        <v>118</v>
      </c>
      <c r="E395" s="111"/>
      <c r="F395" s="111"/>
      <c r="G395" s="111" t="s">
        <v>219</v>
      </c>
      <c r="H395" s="111"/>
      <c r="I395" s="111"/>
      <c r="J395" s="111"/>
      <c r="K395" s="111"/>
      <c r="L395" s="175">
        <v>126.27692678</v>
      </c>
      <c r="M395" s="175"/>
      <c r="N395" s="91"/>
      <c r="O395" s="58" t="s">
        <v>35</v>
      </c>
      <c r="P395" s="58"/>
      <c r="Q395" s="10" t="s">
        <v>34</v>
      </c>
      <c r="R395" s="55">
        <f>ROUND(G393*(S392-L395)/S392,3)</f>
        <v>124.283</v>
      </c>
      <c r="S395" s="56"/>
      <c r="T395" s="56"/>
      <c r="U395" s="56"/>
      <c r="V395" s="57"/>
      <c r="W395" s="10" t="s">
        <v>218</v>
      </c>
      <c r="X395" s="10"/>
      <c r="Y395" s="10"/>
      <c r="Z395" s="55"/>
      <c r="AA395" s="56"/>
      <c r="AB395" s="56"/>
      <c r="AC395" s="56"/>
      <c r="AD395" s="57"/>
      <c r="AE395" s="10"/>
    </row>
    <row r="396" spans="4:31" ht="24.75" customHeight="1">
      <c r="D396" s="111" t="s">
        <v>119</v>
      </c>
      <c r="E396" s="111"/>
      <c r="F396" s="111"/>
      <c r="G396" s="111" t="s">
        <v>219</v>
      </c>
      <c r="H396" s="111"/>
      <c r="I396" s="111"/>
      <c r="J396" s="111"/>
      <c r="K396" s="111"/>
      <c r="L396" s="175">
        <v>226.27692678</v>
      </c>
      <c r="M396" s="175"/>
      <c r="N396" s="91"/>
      <c r="O396" s="58" t="s">
        <v>35</v>
      </c>
      <c r="P396" s="58"/>
      <c r="Q396" s="10" t="s">
        <v>34</v>
      </c>
      <c r="R396" s="55">
        <f>ROUND(G393*(S392-L396)/S392,3)</f>
        <v>110.728</v>
      </c>
      <c r="S396" s="56"/>
      <c r="T396" s="56"/>
      <c r="U396" s="56"/>
      <c r="V396" s="57"/>
      <c r="W396" s="10" t="s">
        <v>218</v>
      </c>
      <c r="X396" s="10"/>
      <c r="Y396" s="10"/>
      <c r="Z396" s="55"/>
      <c r="AA396" s="56"/>
      <c r="AB396" s="56"/>
      <c r="AC396" s="56"/>
      <c r="AD396" s="57"/>
      <c r="AE396" s="10"/>
    </row>
    <row r="397" spans="4:31" ht="24.75" customHeight="1">
      <c r="D397" s="111" t="s">
        <v>120</v>
      </c>
      <c r="E397" s="111"/>
      <c r="F397" s="111"/>
      <c r="G397" s="111" t="s">
        <v>219</v>
      </c>
      <c r="H397" s="111"/>
      <c r="I397" s="111"/>
      <c r="J397" s="111"/>
      <c r="K397" s="111"/>
      <c r="L397" s="175">
        <v>326.27692678</v>
      </c>
      <c r="M397" s="175"/>
      <c r="N397" s="91"/>
      <c r="O397" s="58" t="s">
        <v>35</v>
      </c>
      <c r="P397" s="58"/>
      <c r="Q397" s="10" t="s">
        <v>34</v>
      </c>
      <c r="R397" s="55">
        <f>ROUND(G393*(S392-L397)/S392,3)</f>
        <v>97.174</v>
      </c>
      <c r="S397" s="56"/>
      <c r="T397" s="56"/>
      <c r="U397" s="56"/>
      <c r="V397" s="57"/>
      <c r="W397" s="10" t="s">
        <v>218</v>
      </c>
      <c r="X397" s="10"/>
      <c r="Y397" s="10"/>
      <c r="Z397" s="55"/>
      <c r="AA397" s="56"/>
      <c r="AB397" s="56"/>
      <c r="AC397" s="56"/>
      <c r="AD397" s="57"/>
      <c r="AE397" s="10"/>
    </row>
    <row r="398" spans="4:31" ht="24.75" customHeight="1">
      <c r="D398" s="111" t="s">
        <v>121</v>
      </c>
      <c r="E398" s="111"/>
      <c r="F398" s="111"/>
      <c r="G398" s="111" t="s">
        <v>219</v>
      </c>
      <c r="H398" s="111"/>
      <c r="I398" s="111"/>
      <c r="J398" s="111"/>
      <c r="K398" s="111"/>
      <c r="L398" s="175">
        <v>426.27692678</v>
      </c>
      <c r="M398" s="175"/>
      <c r="N398" s="91"/>
      <c r="O398" s="58" t="s">
        <v>35</v>
      </c>
      <c r="P398" s="58"/>
      <c r="Q398" s="10" t="s">
        <v>34</v>
      </c>
      <c r="R398" s="55">
        <f>ROUND(G393*(S392-L398)/S392,3)</f>
        <v>83.619</v>
      </c>
      <c r="S398" s="56"/>
      <c r="T398" s="56"/>
      <c r="U398" s="56"/>
      <c r="V398" s="57"/>
      <c r="W398" s="10" t="s">
        <v>218</v>
      </c>
      <c r="X398" s="10"/>
      <c r="Y398" s="10"/>
      <c r="Z398" s="55"/>
      <c r="AA398" s="56"/>
      <c r="AB398" s="56"/>
      <c r="AC398" s="56"/>
      <c r="AD398" s="57"/>
      <c r="AE398" s="10"/>
    </row>
    <row r="399" spans="4:31" ht="24.75" customHeight="1">
      <c r="D399" s="111" t="s">
        <v>122</v>
      </c>
      <c r="E399" s="111"/>
      <c r="F399" s="111"/>
      <c r="G399" s="111" t="s">
        <v>219</v>
      </c>
      <c r="H399" s="111"/>
      <c r="I399" s="111"/>
      <c r="J399" s="111"/>
      <c r="K399" s="111"/>
      <c r="L399" s="175">
        <v>526.27692678</v>
      </c>
      <c r="M399" s="175"/>
      <c r="N399" s="91"/>
      <c r="O399" s="58" t="s">
        <v>35</v>
      </c>
      <c r="P399" s="58"/>
      <c r="Q399" s="10" t="s">
        <v>34</v>
      </c>
      <c r="R399" s="55">
        <f>ROUND(G393*(S392-L399)/S392,3)</f>
        <v>70.064</v>
      </c>
      <c r="S399" s="56"/>
      <c r="T399" s="56"/>
      <c r="U399" s="56"/>
      <c r="V399" s="57"/>
      <c r="W399" s="10" t="s">
        <v>218</v>
      </c>
      <c r="X399" s="10"/>
      <c r="Y399" s="10"/>
      <c r="Z399" s="55"/>
      <c r="AA399" s="56"/>
      <c r="AB399" s="56"/>
      <c r="AC399" s="56"/>
      <c r="AD399" s="57"/>
      <c r="AE399" s="10"/>
    </row>
    <row r="400" spans="4:25" ht="24.75" customHeight="1">
      <c r="D400" s="47"/>
      <c r="E400" s="47"/>
      <c r="F400" s="47"/>
      <c r="G400" s="47"/>
      <c r="H400" s="47"/>
      <c r="I400" s="47"/>
      <c r="J400" s="47"/>
      <c r="K400" s="47"/>
      <c r="L400" s="56"/>
      <c r="M400" s="56"/>
      <c r="N400" s="47"/>
      <c r="O400" s="47"/>
      <c r="P400" s="47"/>
      <c r="Q400" s="10"/>
      <c r="R400" s="55"/>
      <c r="S400" s="56"/>
      <c r="T400" s="56"/>
      <c r="U400" s="56"/>
      <c r="V400" s="57"/>
      <c r="W400" s="10"/>
      <c r="X400" s="10"/>
      <c r="Y400" s="10"/>
    </row>
    <row r="401" spans="4:36" ht="24.75" customHeight="1">
      <c r="D401" s="110" t="s">
        <v>169</v>
      </c>
      <c r="E401" s="110"/>
      <c r="F401" s="110"/>
      <c r="G401" s="110"/>
      <c r="H401" s="59" t="s">
        <v>87</v>
      </c>
      <c r="I401" s="107">
        <f>G393</f>
        <v>141.39999999975</v>
      </c>
      <c r="J401" s="107"/>
      <c r="K401" s="107"/>
      <c r="L401" s="107"/>
      <c r="M401" s="14" t="s">
        <v>48</v>
      </c>
      <c r="N401" s="107">
        <f aca="true" t="shared" si="3" ref="N401:N406">R394</f>
        <v>137.838</v>
      </c>
      <c r="O401" s="107"/>
      <c r="P401" s="107"/>
      <c r="Q401" s="107"/>
      <c r="R401" s="60" t="s">
        <v>170</v>
      </c>
      <c r="S401" s="56"/>
      <c r="T401" s="56"/>
      <c r="U401" s="56"/>
      <c r="V401" s="108">
        <f>L394</f>
        <v>26.27692678</v>
      </c>
      <c r="W401" s="108"/>
      <c r="X401" s="108"/>
      <c r="Y401" s="14" t="s">
        <v>137</v>
      </c>
      <c r="Z401" s="108">
        <f>AM379</f>
        <v>12</v>
      </c>
      <c r="AA401" s="108"/>
      <c r="AB401" s="108"/>
      <c r="AC401" s="5" t="s">
        <v>89</v>
      </c>
      <c r="AD401" s="109">
        <f>(I401+N401)/2*V401*Z401</f>
        <v>44025.09888112242</v>
      </c>
      <c r="AE401" s="109"/>
      <c r="AF401" s="109"/>
      <c r="AG401" s="109"/>
      <c r="AH401" s="109"/>
      <c r="AI401" s="5" t="s">
        <v>113</v>
      </c>
      <c r="AJ401" s="5" t="s">
        <v>18</v>
      </c>
    </row>
    <row r="402" spans="4:46" ht="24.75" customHeight="1">
      <c r="D402" s="92" t="s">
        <v>228</v>
      </c>
      <c r="E402" s="92"/>
      <c r="F402" s="92"/>
      <c r="G402" s="92"/>
      <c r="H402" s="14" t="s">
        <v>87</v>
      </c>
      <c r="I402" s="107">
        <f>R394</f>
        <v>137.838</v>
      </c>
      <c r="J402" s="107"/>
      <c r="K402" s="107"/>
      <c r="L402" s="107"/>
      <c r="M402" s="14" t="s">
        <v>48</v>
      </c>
      <c r="N402" s="107">
        <f t="shared" si="3"/>
        <v>124.283</v>
      </c>
      <c r="O402" s="107"/>
      <c r="P402" s="107"/>
      <c r="Q402" s="107"/>
      <c r="R402" s="61" t="s">
        <v>171</v>
      </c>
      <c r="S402" s="36"/>
      <c r="T402" s="8">
        <v>2</v>
      </c>
      <c r="U402" s="62" t="s">
        <v>137</v>
      </c>
      <c r="V402" s="63">
        <f>L395-L394</f>
        <v>100</v>
      </c>
      <c r="W402" s="63"/>
      <c r="X402" s="63"/>
      <c r="Y402" s="64" t="s">
        <v>137</v>
      </c>
      <c r="Z402" s="24">
        <f>Z401</f>
        <v>12</v>
      </c>
      <c r="AA402" s="25"/>
      <c r="AB402" s="24"/>
      <c r="AC402" s="65" t="s">
        <v>47</v>
      </c>
      <c r="AD402" s="66">
        <v>2</v>
      </c>
      <c r="AE402" s="66"/>
      <c r="AF402" s="66"/>
      <c r="AG402" s="8" t="s">
        <v>34</v>
      </c>
      <c r="AH402" s="63">
        <f>ROUND(+(I402+N402)/T402*V402*Z402/AD402,1)</f>
        <v>78636.3</v>
      </c>
      <c r="AI402" s="63"/>
      <c r="AJ402" s="63"/>
      <c r="AK402" s="63"/>
      <c r="AL402" s="92" t="str">
        <f>IF(AH402&gt;+V369,"N/本  ＞  ρa   N.G.","N/本  ＜  ρa   O.K.")</f>
        <v>N/本  ＜  ρa   O.K.</v>
      </c>
      <c r="AM402" s="92"/>
      <c r="AN402" s="92"/>
      <c r="AO402" s="92"/>
      <c r="AP402" s="92"/>
      <c r="AQ402" s="92"/>
      <c r="AR402" s="92"/>
      <c r="AS402" s="92"/>
      <c r="AT402" s="92"/>
    </row>
    <row r="403" spans="4:46" ht="24.75" customHeight="1">
      <c r="D403" s="92" t="s">
        <v>250</v>
      </c>
      <c r="E403" s="92"/>
      <c r="F403" s="92"/>
      <c r="G403" s="92"/>
      <c r="H403" s="14" t="s">
        <v>87</v>
      </c>
      <c r="I403" s="107">
        <f>N402</f>
        <v>124.283</v>
      </c>
      <c r="J403" s="107"/>
      <c r="K403" s="107"/>
      <c r="L403" s="107"/>
      <c r="M403" s="14" t="s">
        <v>48</v>
      </c>
      <c r="N403" s="107">
        <f t="shared" si="3"/>
        <v>110.728</v>
      </c>
      <c r="O403" s="107"/>
      <c r="P403" s="107"/>
      <c r="Q403" s="107"/>
      <c r="R403" s="61" t="s">
        <v>171</v>
      </c>
      <c r="S403" s="36"/>
      <c r="T403" s="8">
        <v>2</v>
      </c>
      <c r="U403" s="62" t="s">
        <v>137</v>
      </c>
      <c r="V403" s="63">
        <f>(L396-L395)</f>
        <v>100</v>
      </c>
      <c r="W403" s="67"/>
      <c r="X403" s="24"/>
      <c r="Y403" s="64" t="s">
        <v>137</v>
      </c>
      <c r="Z403" s="24">
        <f>Z401</f>
        <v>12</v>
      </c>
      <c r="AA403" s="24"/>
      <c r="AB403" s="24"/>
      <c r="AC403" s="65" t="s">
        <v>47</v>
      </c>
      <c r="AD403" s="66">
        <v>2</v>
      </c>
      <c r="AE403" s="66"/>
      <c r="AF403" s="66"/>
      <c r="AG403" s="8" t="s">
        <v>34</v>
      </c>
      <c r="AH403" s="63">
        <f>ROUND(+(I403+N403)/T403*V403*Z403/AD403,1)</f>
        <v>70503.3</v>
      </c>
      <c r="AI403" s="63"/>
      <c r="AJ403" s="63"/>
      <c r="AK403" s="63"/>
      <c r="AL403" s="92" t="str">
        <f>IF(AH403&gt;+V369,"N/本  ＞  ρa   N.G.","N/本  ＜  ρa   O.K.")</f>
        <v>N/本  ＜  ρa   O.K.</v>
      </c>
      <c r="AM403" s="92"/>
      <c r="AN403" s="92"/>
      <c r="AO403" s="92"/>
      <c r="AP403" s="92"/>
      <c r="AQ403" s="92"/>
      <c r="AR403" s="92"/>
      <c r="AS403" s="92"/>
      <c r="AT403" s="92"/>
    </row>
    <row r="404" spans="4:46" ht="24.75" customHeight="1">
      <c r="D404" s="92" t="s">
        <v>251</v>
      </c>
      <c r="E404" s="92"/>
      <c r="F404" s="92"/>
      <c r="G404" s="92"/>
      <c r="H404" s="14" t="s">
        <v>87</v>
      </c>
      <c r="I404" s="107">
        <f>N403</f>
        <v>110.728</v>
      </c>
      <c r="J404" s="107"/>
      <c r="K404" s="107"/>
      <c r="L404" s="107"/>
      <c r="M404" s="14" t="s">
        <v>48</v>
      </c>
      <c r="N404" s="107">
        <f t="shared" si="3"/>
        <v>97.174</v>
      </c>
      <c r="O404" s="107"/>
      <c r="P404" s="107"/>
      <c r="Q404" s="107"/>
      <c r="R404" s="61" t="s">
        <v>171</v>
      </c>
      <c r="S404" s="36"/>
      <c r="T404" s="8">
        <v>2</v>
      </c>
      <c r="U404" s="62" t="s">
        <v>137</v>
      </c>
      <c r="V404" s="63">
        <f>(L397-L396)</f>
        <v>100</v>
      </c>
      <c r="W404" s="67"/>
      <c r="X404" s="24"/>
      <c r="Y404" s="64" t="s">
        <v>137</v>
      </c>
      <c r="Z404" s="24">
        <f>Z401</f>
        <v>12</v>
      </c>
      <c r="AA404" s="24"/>
      <c r="AB404" s="24"/>
      <c r="AC404" s="65" t="s">
        <v>47</v>
      </c>
      <c r="AD404" s="66">
        <v>2</v>
      </c>
      <c r="AE404" s="66"/>
      <c r="AF404" s="66"/>
      <c r="AG404" s="8" t="s">
        <v>34</v>
      </c>
      <c r="AH404" s="63">
        <f>ROUND(+(I404+N404)/T404*V404*Z404/AD404,1)</f>
        <v>62370.6</v>
      </c>
      <c r="AI404" s="63"/>
      <c r="AJ404" s="63"/>
      <c r="AK404" s="63"/>
      <c r="AL404" s="92" t="str">
        <f>IF(AH404&gt;+V369,"N/本  ＞  ρa   N.G.","N/本  ＜  ρa   O.K.")</f>
        <v>N/本  ＜  ρa   O.K.</v>
      </c>
      <c r="AM404" s="92"/>
      <c r="AN404" s="92"/>
      <c r="AO404" s="92"/>
      <c r="AP404" s="92"/>
      <c r="AQ404" s="92"/>
      <c r="AR404" s="92"/>
      <c r="AS404" s="92"/>
      <c r="AT404" s="92"/>
    </row>
    <row r="405" spans="4:46" ht="24.75" customHeight="1">
      <c r="D405" s="92" t="s">
        <v>252</v>
      </c>
      <c r="E405" s="92"/>
      <c r="F405" s="92"/>
      <c r="G405" s="92"/>
      <c r="H405" s="14" t="s">
        <v>87</v>
      </c>
      <c r="I405" s="107">
        <f>N404</f>
        <v>97.174</v>
      </c>
      <c r="J405" s="107"/>
      <c r="K405" s="107"/>
      <c r="L405" s="107"/>
      <c r="M405" s="14" t="s">
        <v>48</v>
      </c>
      <c r="N405" s="107">
        <f t="shared" si="3"/>
        <v>83.619</v>
      </c>
      <c r="O405" s="107"/>
      <c r="P405" s="107"/>
      <c r="Q405" s="107"/>
      <c r="R405" s="61" t="s">
        <v>171</v>
      </c>
      <c r="S405" s="36"/>
      <c r="T405" s="8">
        <v>2</v>
      </c>
      <c r="U405" s="62" t="s">
        <v>137</v>
      </c>
      <c r="V405" s="63">
        <f>(L398-L397)</f>
        <v>100</v>
      </c>
      <c r="W405" s="67"/>
      <c r="X405" s="24"/>
      <c r="Y405" s="64" t="s">
        <v>137</v>
      </c>
      <c r="Z405" s="24">
        <f>Z401</f>
        <v>12</v>
      </c>
      <c r="AA405" s="24"/>
      <c r="AB405" s="24"/>
      <c r="AC405" s="65" t="s">
        <v>47</v>
      </c>
      <c r="AD405" s="66">
        <v>2</v>
      </c>
      <c r="AE405" s="66"/>
      <c r="AF405" s="66"/>
      <c r="AG405" s="8" t="s">
        <v>34</v>
      </c>
      <c r="AH405" s="63">
        <f>ROUND(+(I405+N405)/T405*V405*Z405/AD405,1)</f>
        <v>54237.9</v>
      </c>
      <c r="AI405" s="63"/>
      <c r="AJ405" s="63"/>
      <c r="AK405" s="63"/>
      <c r="AL405" s="92" t="str">
        <f>IF(AH405&gt;+V369,"N/本  ＞  ρa   N.G.","N/本  ＜  ρa   O.K.")</f>
        <v>N/本  ＜  ρa   O.K.</v>
      </c>
      <c r="AM405" s="92"/>
      <c r="AN405" s="92"/>
      <c r="AO405" s="92"/>
      <c r="AP405" s="92"/>
      <c r="AQ405" s="92"/>
      <c r="AR405" s="92"/>
      <c r="AS405" s="92"/>
      <c r="AT405" s="92"/>
    </row>
    <row r="406" spans="4:46" ht="24.75" customHeight="1">
      <c r="D406" s="92" t="s">
        <v>253</v>
      </c>
      <c r="E406" s="92"/>
      <c r="F406" s="92"/>
      <c r="G406" s="92"/>
      <c r="H406" s="14" t="s">
        <v>87</v>
      </c>
      <c r="I406" s="107">
        <f>N405</f>
        <v>83.619</v>
      </c>
      <c r="J406" s="107"/>
      <c r="K406" s="107"/>
      <c r="L406" s="107"/>
      <c r="M406" s="14" t="s">
        <v>48</v>
      </c>
      <c r="N406" s="107">
        <f t="shared" si="3"/>
        <v>70.064</v>
      </c>
      <c r="O406" s="107"/>
      <c r="P406" s="107"/>
      <c r="Q406" s="107"/>
      <c r="R406" s="61" t="s">
        <v>171</v>
      </c>
      <c r="S406" s="36"/>
      <c r="T406" s="8">
        <v>2</v>
      </c>
      <c r="U406" s="62" t="s">
        <v>137</v>
      </c>
      <c r="V406" s="63">
        <f>(L399-L398)</f>
        <v>100.00000000000006</v>
      </c>
      <c r="W406" s="67"/>
      <c r="X406" s="24"/>
      <c r="Y406" s="64" t="s">
        <v>137</v>
      </c>
      <c r="Z406" s="24">
        <f>Z401</f>
        <v>12</v>
      </c>
      <c r="AA406" s="24"/>
      <c r="AB406" s="24"/>
      <c r="AC406" s="65" t="s">
        <v>47</v>
      </c>
      <c r="AD406" s="66">
        <v>2</v>
      </c>
      <c r="AE406" s="66"/>
      <c r="AF406" s="66"/>
      <c r="AG406" s="8" t="s">
        <v>34</v>
      </c>
      <c r="AH406" s="63">
        <f>ROUND(+(I406+N406)/T406*V406*Z406/AD406,1)</f>
        <v>46104.9</v>
      </c>
      <c r="AI406" s="63"/>
      <c r="AJ406" s="63"/>
      <c r="AK406" s="63"/>
      <c r="AL406" s="92" t="str">
        <f>IF(AH406&gt;+V369,"N/本  ＞  ρa   N.G.","N/本  ＜  ρa   O.K.")</f>
        <v>N/本  ＜  ρa   O.K.</v>
      </c>
      <c r="AM406" s="92"/>
      <c r="AN406" s="92"/>
      <c r="AO406" s="92"/>
      <c r="AP406" s="92"/>
      <c r="AQ406" s="92"/>
      <c r="AR406" s="92"/>
      <c r="AS406" s="92"/>
      <c r="AT406" s="92"/>
    </row>
    <row r="407" spans="4:25" ht="24.75" customHeight="1">
      <c r="D407" s="47"/>
      <c r="E407" s="47"/>
      <c r="F407" s="47"/>
      <c r="G407" s="47"/>
      <c r="H407" s="47"/>
      <c r="I407" s="47"/>
      <c r="J407" s="47"/>
      <c r="K407" s="47"/>
      <c r="L407" s="56"/>
      <c r="M407" s="56"/>
      <c r="N407" s="47"/>
      <c r="O407" s="47"/>
      <c r="P407" s="47"/>
      <c r="Q407" s="10"/>
      <c r="R407" s="55"/>
      <c r="S407" s="56"/>
      <c r="T407" s="56"/>
      <c r="U407" s="56"/>
      <c r="V407" s="57"/>
      <c r="W407" s="10"/>
      <c r="X407" s="10"/>
      <c r="Y407" s="10"/>
    </row>
    <row r="408" spans="4:23" ht="24.75" customHeight="1">
      <c r="D408" s="17" t="s">
        <v>229</v>
      </c>
      <c r="W408" s="23"/>
    </row>
    <row r="409" spans="4:24" ht="24.75" customHeight="1">
      <c r="D409" s="5" t="s">
        <v>19</v>
      </c>
      <c r="I409" s="53"/>
      <c r="J409" s="53"/>
      <c r="K409" s="53"/>
      <c r="L409" s="53"/>
      <c r="S409" s="112">
        <f>(P302/(P246+P302)*AM378)/COS(RADIANS(AG237))</f>
        <v>1161.942000239845</v>
      </c>
      <c r="T409" s="112"/>
      <c r="U409" s="112"/>
      <c r="V409" s="5" t="s">
        <v>84</v>
      </c>
      <c r="X409" s="5" t="str">
        <f>IF(AG237=0,"","( 傾斜長さ )")</f>
        <v>( 傾斜長さ )</v>
      </c>
    </row>
    <row r="410" spans="4:22" ht="24.75" customHeight="1">
      <c r="D410" s="111" t="s">
        <v>172</v>
      </c>
      <c r="E410" s="111"/>
      <c r="F410" s="111"/>
      <c r="G410" s="55">
        <f>IF(O235&gt;0,P302,P246)</f>
        <v>157.5</v>
      </c>
      <c r="H410" s="56"/>
      <c r="I410" s="56"/>
      <c r="J410" s="56"/>
      <c r="K410" s="10" t="s">
        <v>218</v>
      </c>
      <c r="L410" s="10"/>
      <c r="P410" s="10"/>
      <c r="Q410" s="55"/>
      <c r="R410" s="56"/>
      <c r="S410" s="56"/>
      <c r="T410" s="56"/>
      <c r="U410" s="57"/>
      <c r="V410" s="10"/>
    </row>
    <row r="411" spans="4:24" ht="24.75" customHeight="1">
      <c r="D411" s="111" t="s">
        <v>117</v>
      </c>
      <c r="E411" s="111"/>
      <c r="F411" s="111"/>
      <c r="G411" s="111" t="s">
        <v>219</v>
      </c>
      <c r="H411" s="111"/>
      <c r="I411" s="111"/>
      <c r="J411" s="111"/>
      <c r="K411" s="111"/>
      <c r="L411" s="91">
        <f aca="true" t="shared" si="4" ref="L411:L416">L394</f>
        <v>26.27692678</v>
      </c>
      <c r="M411" s="91"/>
      <c r="N411" s="91"/>
      <c r="O411" s="58" t="s">
        <v>35</v>
      </c>
      <c r="P411" s="58"/>
      <c r="Q411" s="10" t="s">
        <v>34</v>
      </c>
      <c r="R411" s="55">
        <f>ROUND(G410*(S409-L411)/S409,3)</f>
        <v>153.938</v>
      </c>
      <c r="S411" s="56"/>
      <c r="T411" s="56"/>
      <c r="U411" s="56"/>
      <c r="V411" s="57"/>
      <c r="W411" s="10" t="s">
        <v>218</v>
      </c>
      <c r="X411" s="10"/>
    </row>
    <row r="412" spans="4:31" ht="24.75" customHeight="1">
      <c r="D412" s="111" t="s">
        <v>118</v>
      </c>
      <c r="E412" s="111"/>
      <c r="F412" s="111"/>
      <c r="G412" s="111" t="s">
        <v>219</v>
      </c>
      <c r="H412" s="111"/>
      <c r="I412" s="111"/>
      <c r="J412" s="111"/>
      <c r="K412" s="111"/>
      <c r="L412" s="91">
        <f t="shared" si="4"/>
        <v>126.27692678</v>
      </c>
      <c r="M412" s="91"/>
      <c r="N412" s="91"/>
      <c r="O412" s="58" t="s">
        <v>35</v>
      </c>
      <c r="P412" s="58"/>
      <c r="Q412" s="10" t="s">
        <v>34</v>
      </c>
      <c r="R412" s="55">
        <f>ROUND(G410*(S409-L412)/S409,3)</f>
        <v>140.383</v>
      </c>
      <c r="S412" s="56"/>
      <c r="T412" s="56"/>
      <c r="U412" s="56"/>
      <c r="V412" s="57"/>
      <c r="W412" s="10" t="s">
        <v>218</v>
      </c>
      <c r="X412" s="10"/>
      <c r="Y412" s="10"/>
      <c r="Z412" s="55"/>
      <c r="AA412" s="56"/>
      <c r="AB412" s="56"/>
      <c r="AC412" s="56"/>
      <c r="AD412" s="57"/>
      <c r="AE412" s="10"/>
    </row>
    <row r="413" spans="4:31" ht="24.75" customHeight="1">
      <c r="D413" s="111" t="s">
        <v>119</v>
      </c>
      <c r="E413" s="111"/>
      <c r="F413" s="111"/>
      <c r="G413" s="111" t="s">
        <v>219</v>
      </c>
      <c r="H413" s="111"/>
      <c r="I413" s="111"/>
      <c r="J413" s="111"/>
      <c r="K413" s="111"/>
      <c r="L413" s="91">
        <f t="shared" si="4"/>
        <v>226.27692678</v>
      </c>
      <c r="M413" s="91"/>
      <c r="N413" s="91"/>
      <c r="O413" s="58" t="s">
        <v>35</v>
      </c>
      <c r="P413" s="58"/>
      <c r="Q413" s="10" t="s">
        <v>34</v>
      </c>
      <c r="R413" s="55">
        <f>ROUND(G410*(S409-L413)/S409,3)</f>
        <v>126.828</v>
      </c>
      <c r="S413" s="56"/>
      <c r="T413" s="56"/>
      <c r="U413" s="56"/>
      <c r="V413" s="57"/>
      <c r="W413" s="10" t="s">
        <v>218</v>
      </c>
      <c r="X413" s="10"/>
      <c r="Y413" s="10"/>
      <c r="Z413" s="55"/>
      <c r="AA413" s="56"/>
      <c r="AB413" s="56"/>
      <c r="AC413" s="56"/>
      <c r="AD413" s="57"/>
      <c r="AE413" s="10"/>
    </row>
    <row r="414" spans="4:31" ht="24.75" customHeight="1">
      <c r="D414" s="111" t="s">
        <v>120</v>
      </c>
      <c r="E414" s="111"/>
      <c r="F414" s="111"/>
      <c r="G414" s="111" t="s">
        <v>219</v>
      </c>
      <c r="H414" s="111"/>
      <c r="I414" s="111"/>
      <c r="J414" s="111"/>
      <c r="K414" s="111"/>
      <c r="L414" s="91">
        <f t="shared" si="4"/>
        <v>326.27692678</v>
      </c>
      <c r="M414" s="91"/>
      <c r="N414" s="91"/>
      <c r="O414" s="58" t="s">
        <v>35</v>
      </c>
      <c r="P414" s="58"/>
      <c r="Q414" s="10" t="s">
        <v>34</v>
      </c>
      <c r="R414" s="55">
        <f>ROUND(G410*(S409-L414)/S409,3)</f>
        <v>113.274</v>
      </c>
      <c r="S414" s="56"/>
      <c r="T414" s="56"/>
      <c r="U414" s="56"/>
      <c r="V414" s="57"/>
      <c r="W414" s="10" t="s">
        <v>218</v>
      </c>
      <c r="X414" s="10"/>
      <c r="Y414" s="10"/>
      <c r="Z414" s="55"/>
      <c r="AA414" s="56"/>
      <c r="AB414" s="56"/>
      <c r="AC414" s="56"/>
      <c r="AD414" s="57"/>
      <c r="AE414" s="10"/>
    </row>
    <row r="415" spans="4:31" ht="24.75" customHeight="1">
      <c r="D415" s="111" t="s">
        <v>121</v>
      </c>
      <c r="E415" s="111"/>
      <c r="F415" s="111"/>
      <c r="G415" s="111" t="s">
        <v>219</v>
      </c>
      <c r="H415" s="111"/>
      <c r="I415" s="111"/>
      <c r="J415" s="111"/>
      <c r="K415" s="111"/>
      <c r="L415" s="91">
        <f t="shared" si="4"/>
        <v>426.27692678</v>
      </c>
      <c r="M415" s="91"/>
      <c r="N415" s="91"/>
      <c r="O415" s="58" t="s">
        <v>35</v>
      </c>
      <c r="P415" s="58"/>
      <c r="Q415" s="10" t="s">
        <v>34</v>
      </c>
      <c r="R415" s="55">
        <f>ROUND(G410*(S409-L415)/S409,3)</f>
        <v>99.719</v>
      </c>
      <c r="S415" s="56"/>
      <c r="T415" s="56"/>
      <c r="U415" s="56"/>
      <c r="V415" s="57"/>
      <c r="W415" s="10" t="s">
        <v>218</v>
      </c>
      <c r="X415" s="10"/>
      <c r="Y415" s="10"/>
      <c r="Z415" s="55"/>
      <c r="AA415" s="56"/>
      <c r="AB415" s="56"/>
      <c r="AC415" s="56"/>
      <c r="AD415" s="57"/>
      <c r="AE415" s="10"/>
    </row>
    <row r="416" spans="4:31" ht="24.75" customHeight="1">
      <c r="D416" s="111" t="s">
        <v>122</v>
      </c>
      <c r="E416" s="111"/>
      <c r="F416" s="111"/>
      <c r="G416" s="111" t="s">
        <v>219</v>
      </c>
      <c r="H416" s="111"/>
      <c r="I416" s="111"/>
      <c r="J416" s="111"/>
      <c r="K416" s="111"/>
      <c r="L416" s="91">
        <f t="shared" si="4"/>
        <v>526.27692678</v>
      </c>
      <c r="M416" s="91"/>
      <c r="N416" s="91"/>
      <c r="O416" s="58" t="s">
        <v>35</v>
      </c>
      <c r="P416" s="58"/>
      <c r="Q416" s="10" t="s">
        <v>34</v>
      </c>
      <c r="R416" s="55">
        <f>ROUND(G410*(S409-L416)/S409,3)</f>
        <v>86.164</v>
      </c>
      <c r="S416" s="56"/>
      <c r="T416" s="56"/>
      <c r="U416" s="56"/>
      <c r="V416" s="57"/>
      <c r="W416" s="10" t="s">
        <v>218</v>
      </c>
      <c r="X416" s="10"/>
      <c r="Y416" s="10"/>
      <c r="Z416" s="55"/>
      <c r="AA416" s="56"/>
      <c r="AB416" s="56"/>
      <c r="AC416" s="56"/>
      <c r="AD416" s="57"/>
      <c r="AE416" s="10"/>
    </row>
    <row r="417" spans="4:25" ht="24.75" customHeight="1">
      <c r="D417" s="47"/>
      <c r="E417" s="47"/>
      <c r="F417" s="47"/>
      <c r="G417" s="47"/>
      <c r="H417" s="47"/>
      <c r="I417" s="47"/>
      <c r="J417" s="47"/>
      <c r="K417" s="47"/>
      <c r="L417" s="56"/>
      <c r="M417" s="56"/>
      <c r="N417" s="47"/>
      <c r="O417" s="47"/>
      <c r="P417" s="47"/>
      <c r="Q417" s="10"/>
      <c r="R417" s="55"/>
      <c r="S417" s="56"/>
      <c r="T417" s="56"/>
      <c r="U417" s="56"/>
      <c r="V417" s="57"/>
      <c r="W417" s="10"/>
      <c r="X417" s="10"/>
      <c r="Y417" s="10"/>
    </row>
    <row r="418" spans="4:36" ht="24.75" customHeight="1">
      <c r="D418" s="110" t="s">
        <v>173</v>
      </c>
      <c r="E418" s="110"/>
      <c r="F418" s="110"/>
      <c r="G418" s="110"/>
      <c r="H418" s="59" t="s">
        <v>87</v>
      </c>
      <c r="I418" s="107">
        <f>G410</f>
        <v>157.5</v>
      </c>
      <c r="J418" s="107"/>
      <c r="K418" s="107"/>
      <c r="L418" s="107"/>
      <c r="M418" s="14" t="s">
        <v>48</v>
      </c>
      <c r="N418" s="107">
        <f aca="true" t="shared" si="5" ref="N418:N423">R411</f>
        <v>153.938</v>
      </c>
      <c r="O418" s="107"/>
      <c r="P418" s="107"/>
      <c r="Q418" s="107"/>
      <c r="R418" s="55" t="s">
        <v>136</v>
      </c>
      <c r="S418" s="56"/>
      <c r="T418" s="56"/>
      <c r="U418" s="56"/>
      <c r="V418" s="108">
        <f>L411</f>
        <v>26.27692678</v>
      </c>
      <c r="W418" s="108"/>
      <c r="X418" s="108"/>
      <c r="Y418" s="14" t="s">
        <v>137</v>
      </c>
      <c r="Z418" s="108">
        <f>AM379</f>
        <v>12</v>
      </c>
      <c r="AA418" s="108"/>
      <c r="AB418" s="108"/>
      <c r="AC418" s="5" t="s">
        <v>89</v>
      </c>
      <c r="AD418" s="109">
        <f>(I418+N418)/2*V418*Z418</f>
        <v>49101.80113505784</v>
      </c>
      <c r="AE418" s="109"/>
      <c r="AF418" s="109"/>
      <c r="AG418" s="109"/>
      <c r="AH418" s="109"/>
      <c r="AI418" s="5" t="s">
        <v>113</v>
      </c>
      <c r="AJ418" s="5" t="s">
        <v>20</v>
      </c>
    </row>
    <row r="419" spans="4:46" ht="24.75" customHeight="1">
      <c r="D419" s="92" t="s">
        <v>228</v>
      </c>
      <c r="E419" s="92"/>
      <c r="F419" s="92"/>
      <c r="G419" s="92"/>
      <c r="H419" s="14" t="s">
        <v>87</v>
      </c>
      <c r="I419" s="107">
        <f>R411</f>
        <v>153.938</v>
      </c>
      <c r="J419" s="107"/>
      <c r="K419" s="107"/>
      <c r="L419" s="107"/>
      <c r="M419" s="14" t="s">
        <v>48</v>
      </c>
      <c r="N419" s="107">
        <f t="shared" si="5"/>
        <v>140.383</v>
      </c>
      <c r="O419" s="107"/>
      <c r="P419" s="107"/>
      <c r="Q419" s="107"/>
      <c r="R419" s="68" t="s">
        <v>171</v>
      </c>
      <c r="S419" s="14"/>
      <c r="T419" s="8">
        <v>2</v>
      </c>
      <c r="U419" s="62" t="s">
        <v>137</v>
      </c>
      <c r="V419" s="63">
        <f>L412-L411</f>
        <v>100</v>
      </c>
      <c r="W419" s="63"/>
      <c r="X419" s="63"/>
      <c r="Y419" s="64" t="s">
        <v>137</v>
      </c>
      <c r="Z419" s="24">
        <f>Z418</f>
        <v>12</v>
      </c>
      <c r="AA419" s="25"/>
      <c r="AB419" s="24"/>
      <c r="AC419" s="65" t="s">
        <v>47</v>
      </c>
      <c r="AD419" s="66">
        <v>2</v>
      </c>
      <c r="AE419" s="66"/>
      <c r="AF419" s="66"/>
      <c r="AG419" s="8" t="s">
        <v>34</v>
      </c>
      <c r="AH419" s="63">
        <f>ROUND(+(I419+N419)/T419*V419*Z419/AD419,1)</f>
        <v>88296.3</v>
      </c>
      <c r="AI419" s="63"/>
      <c r="AJ419" s="63"/>
      <c r="AK419" s="63"/>
      <c r="AL419" s="92" t="str">
        <f>IF(AH419&gt;+V369,"N/本  ＞  ρa   N.G.","N/本  ＜  ρa   O.K.")</f>
        <v>N/本  ＜  ρa   O.K.</v>
      </c>
      <c r="AM419" s="92"/>
      <c r="AN419" s="92"/>
      <c r="AO419" s="92"/>
      <c r="AP419" s="92"/>
      <c r="AQ419" s="92"/>
      <c r="AR419" s="92"/>
      <c r="AS419" s="92"/>
      <c r="AT419" s="92"/>
    </row>
    <row r="420" spans="4:46" ht="24.75" customHeight="1">
      <c r="D420" s="92" t="s">
        <v>250</v>
      </c>
      <c r="E420" s="92"/>
      <c r="F420" s="92"/>
      <c r="G420" s="92"/>
      <c r="H420" s="14" t="s">
        <v>87</v>
      </c>
      <c r="I420" s="107">
        <f>N419</f>
        <v>140.383</v>
      </c>
      <c r="J420" s="107"/>
      <c r="K420" s="107"/>
      <c r="L420" s="107"/>
      <c r="M420" s="14" t="s">
        <v>48</v>
      </c>
      <c r="N420" s="107">
        <f t="shared" si="5"/>
        <v>126.828</v>
      </c>
      <c r="O420" s="107"/>
      <c r="P420" s="107"/>
      <c r="Q420" s="107"/>
      <c r="R420" s="68" t="s">
        <v>171</v>
      </c>
      <c r="S420" s="14"/>
      <c r="T420" s="8">
        <v>2</v>
      </c>
      <c r="U420" s="62" t="s">
        <v>137</v>
      </c>
      <c r="V420" s="63">
        <f>(L413-L412)</f>
        <v>100</v>
      </c>
      <c r="W420" s="67"/>
      <c r="X420" s="24"/>
      <c r="Y420" s="64" t="s">
        <v>137</v>
      </c>
      <c r="Z420" s="24">
        <f>Z418</f>
        <v>12</v>
      </c>
      <c r="AA420" s="24"/>
      <c r="AB420" s="24"/>
      <c r="AC420" s="65" t="s">
        <v>47</v>
      </c>
      <c r="AD420" s="66">
        <v>2</v>
      </c>
      <c r="AE420" s="66"/>
      <c r="AF420" s="66"/>
      <c r="AG420" s="8" t="s">
        <v>34</v>
      </c>
      <c r="AH420" s="63">
        <f>ROUND(+(I420+N420)/T420*V420*Z420/AD420,1)</f>
        <v>80163.3</v>
      </c>
      <c r="AI420" s="63"/>
      <c r="AJ420" s="63"/>
      <c r="AK420" s="63"/>
      <c r="AL420" s="92" t="str">
        <f>IF(AH420&gt;+V369,"N/本  ＞  ρa   N.G.","N/本  ＜  ρa   O.K.")</f>
        <v>N/本  ＜  ρa   O.K.</v>
      </c>
      <c r="AM420" s="92"/>
      <c r="AN420" s="92"/>
      <c r="AO420" s="92"/>
      <c r="AP420" s="92"/>
      <c r="AQ420" s="92"/>
      <c r="AR420" s="92"/>
      <c r="AS420" s="92"/>
      <c r="AT420" s="92"/>
    </row>
    <row r="421" spans="4:46" ht="24.75" customHeight="1">
      <c r="D421" s="92" t="s">
        <v>251</v>
      </c>
      <c r="E421" s="92"/>
      <c r="F421" s="92"/>
      <c r="G421" s="92"/>
      <c r="H421" s="14" t="s">
        <v>87</v>
      </c>
      <c r="I421" s="107">
        <f>N420</f>
        <v>126.828</v>
      </c>
      <c r="J421" s="107"/>
      <c r="K421" s="107"/>
      <c r="L421" s="107"/>
      <c r="M421" s="14" t="s">
        <v>48</v>
      </c>
      <c r="N421" s="107">
        <f t="shared" si="5"/>
        <v>113.274</v>
      </c>
      <c r="O421" s="107"/>
      <c r="P421" s="107"/>
      <c r="Q421" s="107"/>
      <c r="R421" s="68" t="s">
        <v>171</v>
      </c>
      <c r="S421" s="14"/>
      <c r="T421" s="8">
        <v>2</v>
      </c>
      <c r="U421" s="62" t="s">
        <v>137</v>
      </c>
      <c r="V421" s="63">
        <f>(L414-L413)</f>
        <v>100</v>
      </c>
      <c r="W421" s="67"/>
      <c r="X421" s="24"/>
      <c r="Y421" s="64" t="s">
        <v>137</v>
      </c>
      <c r="Z421" s="24">
        <f>Z418</f>
        <v>12</v>
      </c>
      <c r="AA421" s="24"/>
      <c r="AB421" s="24"/>
      <c r="AC421" s="65" t="s">
        <v>47</v>
      </c>
      <c r="AD421" s="66">
        <v>2</v>
      </c>
      <c r="AE421" s="66"/>
      <c r="AF421" s="66"/>
      <c r="AG421" s="8" t="s">
        <v>34</v>
      </c>
      <c r="AH421" s="63">
        <f>ROUND(+(I421+N421)/T421*V421*Z421/AD421,1)</f>
        <v>72030.6</v>
      </c>
      <c r="AI421" s="63"/>
      <c r="AJ421" s="63"/>
      <c r="AK421" s="63"/>
      <c r="AL421" s="92" t="str">
        <f>IF(AH421&gt;+V369,"N/本  ＞  ρa   N.G.","N/本  ＜  ρa   O.K.")</f>
        <v>N/本  ＜  ρa   O.K.</v>
      </c>
      <c r="AM421" s="92"/>
      <c r="AN421" s="92"/>
      <c r="AO421" s="92"/>
      <c r="AP421" s="92"/>
      <c r="AQ421" s="92"/>
      <c r="AR421" s="92"/>
      <c r="AS421" s="92"/>
      <c r="AT421" s="92"/>
    </row>
    <row r="422" spans="4:46" ht="24.75" customHeight="1">
      <c r="D422" s="92" t="s">
        <v>252</v>
      </c>
      <c r="E422" s="92"/>
      <c r="F422" s="92"/>
      <c r="G422" s="92"/>
      <c r="H422" s="14" t="s">
        <v>87</v>
      </c>
      <c r="I422" s="107">
        <f>N421</f>
        <v>113.274</v>
      </c>
      <c r="J422" s="107"/>
      <c r="K422" s="107"/>
      <c r="L422" s="107"/>
      <c r="M422" s="14" t="s">
        <v>48</v>
      </c>
      <c r="N422" s="107">
        <f t="shared" si="5"/>
        <v>99.719</v>
      </c>
      <c r="O422" s="107"/>
      <c r="P422" s="107"/>
      <c r="Q422" s="107"/>
      <c r="R422" s="68" t="s">
        <v>171</v>
      </c>
      <c r="S422" s="14"/>
      <c r="T422" s="8">
        <v>2</v>
      </c>
      <c r="U422" s="62" t="s">
        <v>137</v>
      </c>
      <c r="V422" s="63">
        <f>(L415-L414)</f>
        <v>100</v>
      </c>
      <c r="W422" s="67"/>
      <c r="X422" s="24"/>
      <c r="Y422" s="64" t="s">
        <v>137</v>
      </c>
      <c r="Z422" s="24">
        <f>Z418</f>
        <v>12</v>
      </c>
      <c r="AA422" s="24"/>
      <c r="AB422" s="24"/>
      <c r="AC422" s="65" t="s">
        <v>47</v>
      </c>
      <c r="AD422" s="66">
        <v>2</v>
      </c>
      <c r="AE422" s="66"/>
      <c r="AF422" s="66"/>
      <c r="AG422" s="8" t="s">
        <v>34</v>
      </c>
      <c r="AH422" s="63">
        <f>ROUND(+(I422+N422)/T422*V422*Z422/AD422,1)</f>
        <v>63897.9</v>
      </c>
      <c r="AI422" s="63"/>
      <c r="AJ422" s="63"/>
      <c r="AK422" s="63"/>
      <c r="AL422" s="92" t="str">
        <f>IF(AH422&gt;+V369,"N/本  ＞  ρa   N.G.","N/本  ＜  ρa   O.K.")</f>
        <v>N/本  ＜  ρa   O.K.</v>
      </c>
      <c r="AM422" s="92"/>
      <c r="AN422" s="92"/>
      <c r="AO422" s="92"/>
      <c r="AP422" s="92"/>
      <c r="AQ422" s="92"/>
      <c r="AR422" s="92"/>
      <c r="AS422" s="92"/>
      <c r="AT422" s="92"/>
    </row>
    <row r="423" spans="4:46" ht="24.75" customHeight="1">
      <c r="D423" s="92" t="s">
        <v>253</v>
      </c>
      <c r="E423" s="92"/>
      <c r="F423" s="92"/>
      <c r="G423" s="92"/>
      <c r="H423" s="14" t="s">
        <v>87</v>
      </c>
      <c r="I423" s="107">
        <f>N422</f>
        <v>99.719</v>
      </c>
      <c r="J423" s="107"/>
      <c r="K423" s="107"/>
      <c r="L423" s="107"/>
      <c r="M423" s="14" t="s">
        <v>48</v>
      </c>
      <c r="N423" s="107">
        <f t="shared" si="5"/>
        <v>86.164</v>
      </c>
      <c r="O423" s="107"/>
      <c r="P423" s="107"/>
      <c r="Q423" s="107"/>
      <c r="R423" s="68" t="s">
        <v>171</v>
      </c>
      <c r="S423" s="14"/>
      <c r="T423" s="8">
        <v>2</v>
      </c>
      <c r="U423" s="62" t="s">
        <v>137</v>
      </c>
      <c r="V423" s="63">
        <f>(L416-L415)</f>
        <v>100.00000000000006</v>
      </c>
      <c r="W423" s="67"/>
      <c r="X423" s="24"/>
      <c r="Y423" s="64" t="s">
        <v>137</v>
      </c>
      <c r="Z423" s="24">
        <f>Z418</f>
        <v>12</v>
      </c>
      <c r="AA423" s="24"/>
      <c r="AB423" s="24"/>
      <c r="AC423" s="65" t="s">
        <v>47</v>
      </c>
      <c r="AD423" s="66">
        <v>2</v>
      </c>
      <c r="AE423" s="66"/>
      <c r="AF423" s="66"/>
      <c r="AG423" s="8" t="s">
        <v>34</v>
      </c>
      <c r="AH423" s="63">
        <f>ROUND(+(I423+N423)/T423*V423*Z423/AD423,1)</f>
        <v>55764.9</v>
      </c>
      <c r="AI423" s="63"/>
      <c r="AJ423" s="63"/>
      <c r="AK423" s="63"/>
      <c r="AL423" s="92" t="str">
        <f>IF(AH423&gt;+V369,"N/本  ＞  ρa   N.G.","N/本  ＜  ρa   O.K.")</f>
        <v>N/本  ＜  ρa   O.K.</v>
      </c>
      <c r="AM423" s="92"/>
      <c r="AN423" s="92"/>
      <c r="AO423" s="92"/>
      <c r="AP423" s="92"/>
      <c r="AQ423" s="92"/>
      <c r="AR423" s="92"/>
      <c r="AS423" s="92"/>
      <c r="AT423" s="92"/>
    </row>
    <row r="424" spans="4:25" ht="24.75" customHeight="1">
      <c r="D424" s="47"/>
      <c r="E424" s="47"/>
      <c r="F424" s="47"/>
      <c r="G424" s="47"/>
      <c r="H424" s="47"/>
      <c r="I424" s="47"/>
      <c r="J424" s="47"/>
      <c r="K424" s="47"/>
      <c r="L424" s="56"/>
      <c r="M424" s="56"/>
      <c r="N424" s="47"/>
      <c r="O424" s="47"/>
      <c r="P424" s="47"/>
      <c r="Q424" s="10"/>
      <c r="R424" s="55"/>
      <c r="S424" s="56"/>
      <c r="T424" s="56"/>
      <c r="U424" s="56"/>
      <c r="V424" s="57"/>
      <c r="W424" s="10"/>
      <c r="X424" s="10"/>
      <c r="Y424" s="10"/>
    </row>
    <row r="425" spans="3:47" ht="24.75" customHeight="1">
      <c r="C425" s="18" t="s">
        <v>9</v>
      </c>
      <c r="I425" s="23"/>
      <c r="AU425" s="23"/>
    </row>
    <row r="426" spans="4:47" ht="24.75" customHeight="1">
      <c r="D426" s="5" t="s">
        <v>26</v>
      </c>
      <c r="AU426" s="23"/>
    </row>
    <row r="427" spans="4:47" ht="24.75" customHeight="1">
      <c r="D427" s="5" t="s">
        <v>27</v>
      </c>
      <c r="AU427" s="23"/>
    </row>
    <row r="428" spans="5:47" ht="24.75" customHeight="1">
      <c r="E428" s="5" t="s">
        <v>125</v>
      </c>
      <c r="AU428" s="23"/>
    </row>
    <row r="429" ht="24.75" customHeight="1">
      <c r="D429" s="5" t="s">
        <v>7</v>
      </c>
    </row>
    <row r="430" spans="3:42" ht="24.75" customHeight="1">
      <c r="C430" s="106" t="s">
        <v>49</v>
      </c>
      <c r="D430" s="106"/>
      <c r="E430" s="106"/>
      <c r="G430" s="105">
        <f>ABS(O236)</f>
        <v>409.45774052</v>
      </c>
      <c r="H430" s="105"/>
      <c r="I430" s="105"/>
      <c r="J430" s="19" t="s">
        <v>41</v>
      </c>
      <c r="K430" s="132">
        <v>1000</v>
      </c>
      <c r="L430" s="132"/>
      <c r="M430" s="132"/>
      <c r="N430" s="92" t="s">
        <v>48</v>
      </c>
      <c r="O430" s="92"/>
      <c r="P430" s="105">
        <f>ABS(O237)</f>
        <v>426.8238759</v>
      </c>
      <c r="Q430" s="105"/>
      <c r="R430" s="105"/>
      <c r="S430" s="19" t="s">
        <v>41</v>
      </c>
      <c r="T430" s="97">
        <v>100000</v>
      </c>
      <c r="U430" s="97"/>
      <c r="V430" s="97"/>
      <c r="W430" s="97"/>
      <c r="Y430" s="106" t="s">
        <v>47</v>
      </c>
      <c r="Z430" s="106"/>
      <c r="AA430" s="122">
        <v>44</v>
      </c>
      <c r="AB430" s="122"/>
      <c r="AC430" s="122"/>
      <c r="AD430" s="92" t="s">
        <v>34</v>
      </c>
      <c r="AE430" s="92"/>
      <c r="AF430" s="102">
        <f>ROUND((G430*K430/J431+P430*T430/(R431*T431))/AA430,1)</f>
        <v>4868.5</v>
      </c>
      <c r="AG430" s="102"/>
      <c r="AH430" s="102"/>
      <c r="AI430" s="102"/>
      <c r="AJ430" s="103" t="str">
        <f>IF(AF430&gt;+M358,"N/本   ＞ ρa","N/本  ＜  ρa")</f>
        <v>N/本  ＜  ρa</v>
      </c>
      <c r="AK430" s="103"/>
      <c r="AL430" s="103"/>
      <c r="AM430" s="103"/>
      <c r="AN430" s="103"/>
      <c r="AO430" s="103"/>
      <c r="AP430" s="103"/>
    </row>
    <row r="431" spans="3:42" ht="24.75" customHeight="1">
      <c r="C431" s="106"/>
      <c r="D431" s="106"/>
      <c r="E431" s="106"/>
      <c r="J431" s="8">
        <v>2</v>
      </c>
      <c r="N431" s="92"/>
      <c r="O431" s="92"/>
      <c r="R431" s="8">
        <v>2</v>
      </c>
      <c r="S431" s="14" t="s">
        <v>41</v>
      </c>
      <c r="T431" s="24">
        <f>(AG235+AN235)/2*1000</f>
        <v>2250</v>
      </c>
      <c r="U431" s="25"/>
      <c r="V431" s="25"/>
      <c r="Y431" s="106"/>
      <c r="Z431" s="106"/>
      <c r="AA431" s="122"/>
      <c r="AB431" s="122"/>
      <c r="AC431" s="122"/>
      <c r="AD431" s="92"/>
      <c r="AE431" s="92"/>
      <c r="AF431" s="102"/>
      <c r="AG431" s="102"/>
      <c r="AH431" s="102"/>
      <c r="AI431" s="102"/>
      <c r="AJ431" s="103"/>
      <c r="AK431" s="103"/>
      <c r="AL431" s="103"/>
      <c r="AM431" s="103"/>
      <c r="AN431" s="103"/>
      <c r="AO431" s="103"/>
      <c r="AP431" s="103"/>
    </row>
    <row r="433" spans="3:9" ht="24.75" customHeight="1">
      <c r="C433" s="5" t="s">
        <v>10</v>
      </c>
      <c r="I433" s="23"/>
    </row>
    <row r="434" spans="4:31" ht="24.75" customHeight="1">
      <c r="D434" s="5" t="s">
        <v>50</v>
      </c>
      <c r="P434" s="104">
        <f>ROUND(MAX(AH402:AH406,AH419:AH423),1)</f>
        <v>88296.3</v>
      </c>
      <c r="Q434" s="104"/>
      <c r="R434" s="104"/>
      <c r="S434" s="104"/>
      <c r="T434" s="5" t="s">
        <v>48</v>
      </c>
      <c r="U434" s="104">
        <f>+AF430</f>
        <v>4868.5</v>
      </c>
      <c r="V434" s="104"/>
      <c r="W434" s="104"/>
      <c r="X434" s="104"/>
      <c r="Y434" s="5" t="s">
        <v>33</v>
      </c>
      <c r="AA434" s="100">
        <f>ROUND(SQRT(P434^2+U434^2),1)</f>
        <v>88430.4</v>
      </c>
      <c r="AB434" s="100"/>
      <c r="AC434" s="100"/>
      <c r="AD434" s="100"/>
      <c r="AE434" s="5" t="str">
        <f>IF(AA434&gt;$AA$8,"N/本  ＞  ρa ,  N.G","N/本  ＜  ρa ,  O.K")</f>
        <v>N/本  ＜  ρa ,  O.K</v>
      </c>
    </row>
    <row r="435" spans="3:9" ht="24.75" customHeight="1">
      <c r="C435" s="18" t="s">
        <v>245</v>
      </c>
      <c r="I435" s="23"/>
    </row>
    <row r="436" ht="24.75" customHeight="1">
      <c r="D436" s="5" t="s">
        <v>25</v>
      </c>
    </row>
    <row r="437" spans="4:30" ht="24.75" customHeight="1">
      <c r="D437" s="92" t="s">
        <v>214</v>
      </c>
      <c r="E437" s="92"/>
      <c r="F437" s="92"/>
      <c r="G437" s="132">
        <f>+AM379</f>
        <v>12</v>
      </c>
      <c r="H437" s="132"/>
      <c r="I437" s="132"/>
      <c r="J437" s="19" t="s">
        <v>41</v>
      </c>
      <c r="K437" s="176">
        <f>IF(AG237=0,M439&amp;"³",M439)</f>
        <v>2205.1077071199948</v>
      </c>
      <c r="L437" s="176"/>
      <c r="M437" s="176"/>
      <c r="N437" s="103" t="str">
        <f>IF(AG237=0,""," × ( "&amp;ROUND(M439,1)&amp;"²cos²"&amp;ROUND(AG237,2)&amp;" + "&amp;ROUND(I439,1)&amp;"²sin²"&amp;ROUND(AG237,2)&amp;" )")</f>
        <v> × ( 2205.1²cos²3.9 + 12²sin²3.9 )</v>
      </c>
      <c r="O437" s="103"/>
      <c r="P437" s="103"/>
      <c r="Q437" s="103"/>
      <c r="R437" s="103"/>
      <c r="S437" s="103"/>
      <c r="T437" s="103"/>
      <c r="U437" s="103"/>
      <c r="V437" s="103"/>
      <c r="W437" s="103"/>
      <c r="X437" s="103"/>
      <c r="Y437" s="103"/>
      <c r="Z437" s="103"/>
      <c r="AA437" s="103"/>
      <c r="AB437" s="103"/>
      <c r="AC437" s="103"/>
      <c r="AD437" s="103"/>
    </row>
    <row r="438" spans="4:30" ht="24.75" customHeight="1">
      <c r="D438" s="92"/>
      <c r="E438" s="92"/>
      <c r="F438" s="92"/>
      <c r="I438" s="92">
        <v>12</v>
      </c>
      <c r="J438" s="92"/>
      <c r="K438" s="92"/>
      <c r="N438" s="103"/>
      <c r="O438" s="103"/>
      <c r="P438" s="103"/>
      <c r="Q438" s="103"/>
      <c r="R438" s="103"/>
      <c r="S438" s="103"/>
      <c r="T438" s="103"/>
      <c r="U438" s="103"/>
      <c r="V438" s="103"/>
      <c r="W438" s="103"/>
      <c r="X438" s="103"/>
      <c r="Y438" s="103"/>
      <c r="Z438" s="103"/>
      <c r="AA438" s="103"/>
      <c r="AB438" s="103"/>
      <c r="AC438" s="103"/>
      <c r="AD438" s="103"/>
    </row>
    <row r="439" spans="4:42" ht="24.75" customHeight="1">
      <c r="D439" s="8"/>
      <c r="E439" s="8"/>
      <c r="F439" s="8"/>
      <c r="G439" s="92" t="s">
        <v>48</v>
      </c>
      <c r="H439" s="92"/>
      <c r="I439" s="124">
        <f>+G437</f>
        <v>12</v>
      </c>
      <c r="J439" s="124"/>
      <c r="K439" s="92" t="s">
        <v>36</v>
      </c>
      <c r="L439" s="92"/>
      <c r="M439" s="100">
        <f>AM378/COS(RADIANS(AG237))</f>
        <v>2205.1077071199948</v>
      </c>
      <c r="N439" s="100"/>
      <c r="O439" s="100"/>
      <c r="P439" s="100"/>
      <c r="Q439" s="92" t="s">
        <v>37</v>
      </c>
      <c r="R439" s="92"/>
      <c r="S439" s="80">
        <f>AM378/2</f>
        <v>1100</v>
      </c>
      <c r="T439" s="80"/>
      <c r="U439" s="80"/>
      <c r="V439" s="80"/>
      <c r="W439" s="92" t="s">
        <v>46</v>
      </c>
      <c r="X439" s="80">
        <f>ROUND(Q458,2)</f>
        <v>1195.39</v>
      </c>
      <c r="Y439" s="80"/>
      <c r="Z439" s="80"/>
      <c r="AA439" s="80"/>
      <c r="AB439" s="92" t="s">
        <v>38</v>
      </c>
      <c r="AC439" s="92"/>
      <c r="AD439" s="92"/>
      <c r="AE439" s="90">
        <f>I439*M439/12*((M439*COS(RADIANS(AG237)))^2+(I439*SIN(RADIANS(AG237)))^2)+I439*M439*(S439-X439)^2</f>
        <v>10913500742.993612</v>
      </c>
      <c r="AF439" s="90"/>
      <c r="AG439" s="90"/>
      <c r="AH439" s="90"/>
      <c r="AI439" s="90"/>
      <c r="AJ439" s="90"/>
      <c r="AK439" s="92" t="s">
        <v>224</v>
      </c>
      <c r="AL439" s="92"/>
      <c r="AM439" s="28"/>
      <c r="AN439" s="28"/>
      <c r="AO439" s="8"/>
      <c r="AP439" s="8"/>
    </row>
    <row r="440" spans="4:42" ht="24.75" customHeight="1">
      <c r="D440" s="8"/>
      <c r="E440" s="8"/>
      <c r="F440" s="8"/>
      <c r="G440" s="92"/>
      <c r="H440" s="92"/>
      <c r="I440" s="124"/>
      <c r="J440" s="124"/>
      <c r="K440" s="92"/>
      <c r="L440" s="92"/>
      <c r="M440" s="100"/>
      <c r="N440" s="100"/>
      <c r="O440" s="100"/>
      <c r="P440" s="100"/>
      <c r="Q440" s="92"/>
      <c r="R440" s="92"/>
      <c r="S440" s="80"/>
      <c r="T440" s="80"/>
      <c r="U440" s="80"/>
      <c r="V440" s="80"/>
      <c r="W440" s="92"/>
      <c r="X440" s="80"/>
      <c r="Y440" s="80"/>
      <c r="Z440" s="80"/>
      <c r="AA440" s="80"/>
      <c r="AB440" s="92"/>
      <c r="AC440" s="92"/>
      <c r="AD440" s="92"/>
      <c r="AE440" s="90"/>
      <c r="AF440" s="90"/>
      <c r="AG440" s="90"/>
      <c r="AH440" s="90"/>
      <c r="AI440" s="90"/>
      <c r="AJ440" s="90"/>
      <c r="AK440" s="92"/>
      <c r="AL440" s="92"/>
      <c r="AM440" s="28"/>
      <c r="AN440" s="28"/>
      <c r="AO440" s="8"/>
      <c r="AP440" s="8"/>
    </row>
    <row r="441" spans="4:42" ht="24.75" customHeight="1">
      <c r="D441" s="8"/>
      <c r="E441" s="8"/>
      <c r="F441" s="8"/>
      <c r="I441" s="8"/>
      <c r="J441" s="8"/>
      <c r="K441" s="8"/>
      <c r="N441" s="8"/>
      <c r="O441" s="8"/>
      <c r="P441" s="9"/>
      <c r="W441" s="8"/>
      <c r="AK441" s="7"/>
      <c r="AL441" s="7"/>
      <c r="AM441" s="7"/>
      <c r="AN441" s="7"/>
      <c r="AO441" s="8"/>
      <c r="AP441" s="8"/>
    </row>
    <row r="442" spans="4:23" ht="24.75" customHeight="1">
      <c r="D442" s="5" t="s">
        <v>28</v>
      </c>
      <c r="W442" s="8"/>
    </row>
    <row r="443" spans="4:33" ht="24.75" customHeight="1">
      <c r="D443" s="92" t="s">
        <v>215</v>
      </c>
      <c r="E443" s="92"/>
      <c r="F443" s="92"/>
      <c r="G443" s="92"/>
      <c r="H443" s="97" t="s">
        <v>209</v>
      </c>
      <c r="I443" s="97"/>
      <c r="J443" s="97"/>
      <c r="K443" s="92" t="s">
        <v>34</v>
      </c>
      <c r="L443" s="92"/>
      <c r="M443" s="100">
        <f>AA445</f>
        <v>10613.32414094</v>
      </c>
      <c r="N443" s="100"/>
      <c r="O443" s="100"/>
      <c r="P443" s="100"/>
      <c r="Q443" s="92" t="s">
        <v>41</v>
      </c>
      <c r="R443" s="92"/>
      <c r="S443" s="101">
        <f>+AE439</f>
        <v>10913500742.993612</v>
      </c>
      <c r="T443" s="101"/>
      <c r="U443" s="101"/>
      <c r="V443" s="101"/>
      <c r="W443" s="101"/>
      <c r="X443" s="101"/>
      <c r="Y443" s="92" t="s">
        <v>34</v>
      </c>
      <c r="Z443" s="92"/>
      <c r="AA443" s="89">
        <f>+M443*S443/S444</f>
        <v>908.2951381145419</v>
      </c>
      <c r="AB443" s="89"/>
      <c r="AC443" s="89"/>
      <c r="AD443" s="89"/>
      <c r="AE443" s="92" t="s">
        <v>103</v>
      </c>
      <c r="AF443" s="92"/>
      <c r="AG443" s="18"/>
    </row>
    <row r="444" spans="4:33" ht="24.75" customHeight="1">
      <c r="D444" s="92"/>
      <c r="E444" s="92"/>
      <c r="F444" s="92"/>
      <c r="G444" s="92"/>
      <c r="H444" s="92" t="s">
        <v>51</v>
      </c>
      <c r="I444" s="92"/>
      <c r="J444" s="92"/>
      <c r="K444" s="92"/>
      <c r="L444" s="92"/>
      <c r="M444" s="100"/>
      <c r="N444" s="100"/>
      <c r="O444" s="100"/>
      <c r="P444" s="100"/>
      <c r="Q444" s="92"/>
      <c r="R444" s="92"/>
      <c r="S444" s="99">
        <f>+U446</f>
        <v>127523000000</v>
      </c>
      <c r="T444" s="99"/>
      <c r="U444" s="99"/>
      <c r="V444" s="99"/>
      <c r="W444" s="99"/>
      <c r="X444" s="99"/>
      <c r="Y444" s="92"/>
      <c r="Z444" s="92"/>
      <c r="AA444" s="89"/>
      <c r="AB444" s="89"/>
      <c r="AC444" s="89"/>
      <c r="AD444" s="89"/>
      <c r="AE444" s="92"/>
      <c r="AF444" s="92"/>
      <c r="AG444" s="18"/>
    </row>
    <row r="445" spans="4:31" ht="24.75" customHeight="1">
      <c r="D445" s="5" t="s">
        <v>216</v>
      </c>
      <c r="I445" s="23"/>
      <c r="AA445" s="89">
        <f>ABS(O235)</f>
        <v>10613.32414094</v>
      </c>
      <c r="AB445" s="89"/>
      <c r="AC445" s="89"/>
      <c r="AD445" s="89"/>
      <c r="AE445" s="5" t="s">
        <v>111</v>
      </c>
    </row>
    <row r="446" spans="4:31" ht="24.75" customHeight="1">
      <c r="D446" s="5" t="s">
        <v>52</v>
      </c>
      <c r="G446" s="5" t="s">
        <v>29</v>
      </c>
      <c r="I446" s="23"/>
      <c r="S446" s="5" t="s">
        <v>53</v>
      </c>
      <c r="U446" s="99">
        <v>127523000000</v>
      </c>
      <c r="V446" s="99"/>
      <c r="W446" s="99"/>
      <c r="X446" s="99"/>
      <c r="Y446" s="99"/>
      <c r="Z446" s="99"/>
      <c r="AA446" s="5" t="s">
        <v>224</v>
      </c>
      <c r="AB446" s="8"/>
      <c r="AC446" s="8"/>
      <c r="AD446" s="41"/>
      <c r="AE446" s="41"/>
    </row>
    <row r="447" spans="9:35" ht="24.75" customHeight="1">
      <c r="I447" s="23"/>
      <c r="T447" s="22"/>
      <c r="U447" s="22"/>
      <c r="V447" s="22"/>
      <c r="W447" s="22"/>
      <c r="X447" s="22"/>
      <c r="AA447" s="69"/>
      <c r="AB447" s="8"/>
      <c r="AC447" s="8"/>
      <c r="AD447" s="41"/>
      <c r="AE447" s="41"/>
      <c r="AF447" s="41"/>
      <c r="AG447" s="41"/>
      <c r="AH447" s="8"/>
      <c r="AI447" s="8"/>
    </row>
    <row r="448" spans="4:35" ht="24.75" customHeight="1">
      <c r="D448" s="97" t="s">
        <v>246</v>
      </c>
      <c r="E448" s="97"/>
      <c r="F448" s="97"/>
      <c r="G448" s="97"/>
      <c r="H448" s="97"/>
      <c r="I448" s="97"/>
      <c r="J448" s="97"/>
      <c r="K448" s="97"/>
      <c r="L448" s="97"/>
      <c r="M448" s="97"/>
      <c r="N448" s="41"/>
      <c r="O448" s="41"/>
      <c r="P448" s="41"/>
      <c r="Q448" s="8"/>
      <c r="R448" s="8"/>
      <c r="S448" s="22"/>
      <c r="T448" s="22"/>
      <c r="U448" s="22"/>
      <c r="V448" s="22"/>
      <c r="W448" s="22"/>
      <c r="X448" s="8"/>
      <c r="Y448" s="8"/>
      <c r="Z448" s="69"/>
      <c r="AA448" s="69"/>
      <c r="AB448" s="8"/>
      <c r="AC448" s="8"/>
      <c r="AD448" s="41"/>
      <c r="AE448" s="41"/>
      <c r="AF448" s="41"/>
      <c r="AG448" s="41"/>
      <c r="AH448" s="8"/>
      <c r="AI448" s="8"/>
    </row>
    <row r="449" spans="4:42" ht="24.75" customHeight="1" thickBot="1">
      <c r="D449" s="77"/>
      <c r="E449" s="75"/>
      <c r="F449" s="75"/>
      <c r="G449" s="75"/>
      <c r="H449" s="75"/>
      <c r="I449" s="75"/>
      <c r="J449" s="75"/>
      <c r="K449" s="75"/>
      <c r="L449" s="75"/>
      <c r="M449" s="74" t="s">
        <v>230</v>
      </c>
      <c r="N449" s="74"/>
      <c r="O449" s="74"/>
      <c r="P449" s="74"/>
      <c r="Q449" s="74"/>
      <c r="R449" s="74"/>
      <c r="S449" s="73" t="s">
        <v>104</v>
      </c>
      <c r="T449" s="73"/>
      <c r="U449" s="73"/>
      <c r="V449" s="73"/>
      <c r="W449" s="73"/>
      <c r="X449" s="73"/>
      <c r="Y449" s="74" t="s">
        <v>231</v>
      </c>
      <c r="Z449" s="74"/>
      <c r="AA449" s="74"/>
      <c r="AB449" s="74"/>
      <c r="AC449" s="74"/>
      <c r="AD449" s="74"/>
      <c r="AE449" s="74" t="s">
        <v>232</v>
      </c>
      <c r="AF449" s="74"/>
      <c r="AG449" s="74"/>
      <c r="AH449" s="74"/>
      <c r="AI449" s="74"/>
      <c r="AJ449" s="74"/>
      <c r="AK449" s="75" t="s">
        <v>233</v>
      </c>
      <c r="AL449" s="75"/>
      <c r="AM449" s="75"/>
      <c r="AN449" s="75"/>
      <c r="AO449" s="75"/>
      <c r="AP449" s="76"/>
    </row>
    <row r="450" spans="4:42" ht="24.75" customHeight="1" thickBot="1" thickTop="1">
      <c r="D450" s="177">
        <v>2</v>
      </c>
      <c r="E450" s="178"/>
      <c r="F450" s="178"/>
      <c r="G450" s="179">
        <v>2180</v>
      </c>
      <c r="H450" s="179"/>
      <c r="I450" s="179"/>
      <c r="J450" s="179"/>
      <c r="K450" s="180">
        <v>9</v>
      </c>
      <c r="L450" s="181"/>
      <c r="M450" s="73">
        <f>+G450*K450*D450</f>
        <v>39240</v>
      </c>
      <c r="N450" s="73"/>
      <c r="O450" s="73"/>
      <c r="P450" s="73"/>
      <c r="Q450" s="73"/>
      <c r="R450" s="73"/>
      <c r="S450" s="78" t="s">
        <v>55</v>
      </c>
      <c r="T450" s="78"/>
      <c r="U450" s="78"/>
      <c r="V450" s="78"/>
      <c r="W450" s="78"/>
      <c r="X450" s="78"/>
      <c r="Y450" s="79" t="s">
        <v>55</v>
      </c>
      <c r="Z450" s="79"/>
      <c r="AA450" s="79"/>
      <c r="AB450" s="79"/>
      <c r="AC450" s="79"/>
      <c r="AD450" s="79"/>
      <c r="AE450" s="79" t="s">
        <v>55</v>
      </c>
      <c r="AF450" s="79"/>
      <c r="AG450" s="79"/>
      <c r="AH450" s="79"/>
      <c r="AI450" s="79"/>
      <c r="AJ450" s="79"/>
      <c r="AK450" s="182">
        <f>K450*G450/12*((G450*COS(RADIANS(AG237)))^2+(K450*SIN(RADIANS(AG237)))^2)*D450</f>
        <v>15468440160.32391</v>
      </c>
      <c r="AL450" s="182"/>
      <c r="AM450" s="182"/>
      <c r="AN450" s="182"/>
      <c r="AO450" s="182"/>
      <c r="AP450" s="183"/>
    </row>
    <row r="451" spans="4:42" ht="24.75" customHeight="1" thickTop="1">
      <c r="D451" s="86" t="s">
        <v>56</v>
      </c>
      <c r="E451" s="97"/>
      <c r="F451" s="97"/>
      <c r="G451" s="97"/>
      <c r="H451" s="97"/>
      <c r="I451" s="97"/>
      <c r="J451" s="97"/>
      <c r="K451" s="97"/>
      <c r="L451" s="97"/>
      <c r="M451" s="87">
        <f>SUM(M450:R450)</f>
        <v>39240</v>
      </c>
      <c r="N451" s="87"/>
      <c r="O451" s="87"/>
      <c r="P451" s="87"/>
      <c r="Q451" s="87"/>
      <c r="R451" s="87"/>
      <c r="S451" s="88"/>
      <c r="T451" s="88"/>
      <c r="U451" s="88"/>
      <c r="V451" s="88"/>
      <c r="W451" s="88"/>
      <c r="X451" s="88"/>
      <c r="Y451" s="81"/>
      <c r="Z451" s="81"/>
      <c r="AA451" s="81"/>
      <c r="AB451" s="81"/>
      <c r="AC451" s="81"/>
      <c r="AD451" s="81"/>
      <c r="AE451" s="81">
        <f>SUM(AE450:AJ450)</f>
        <v>0</v>
      </c>
      <c r="AF451" s="81"/>
      <c r="AG451" s="81"/>
      <c r="AH451" s="81"/>
      <c r="AI451" s="81"/>
      <c r="AJ451" s="81"/>
      <c r="AK451" s="82">
        <f>SUM(AK450:AP450)</f>
        <v>15468440160.32391</v>
      </c>
      <c r="AL451" s="82"/>
      <c r="AM451" s="82"/>
      <c r="AN451" s="82"/>
      <c r="AO451" s="82"/>
      <c r="AP451" s="83"/>
    </row>
    <row r="452" spans="4:31" ht="24.75" customHeight="1">
      <c r="D452" s="5" t="s">
        <v>39</v>
      </c>
      <c r="K452" s="84">
        <f>+AK451</f>
        <v>15468440160.32391</v>
      </c>
      <c r="L452" s="84"/>
      <c r="M452" s="84"/>
      <c r="N452" s="84"/>
      <c r="O452" s="84"/>
      <c r="P452" s="84"/>
      <c r="Q452" s="5" t="s">
        <v>48</v>
      </c>
      <c r="R452" s="85">
        <f>+AE451</f>
        <v>0</v>
      </c>
      <c r="S452" s="85"/>
      <c r="T452" s="85"/>
      <c r="U452" s="85"/>
      <c r="V452" s="85"/>
      <c r="W452" s="85"/>
      <c r="X452" s="5" t="s">
        <v>89</v>
      </c>
      <c r="Y452" s="84">
        <f>+K452+R452</f>
        <v>15468440160.32391</v>
      </c>
      <c r="Z452" s="84"/>
      <c r="AA452" s="84"/>
      <c r="AB452" s="84"/>
      <c r="AC452" s="84"/>
      <c r="AD452" s="84"/>
      <c r="AE452" s="5" t="s">
        <v>224</v>
      </c>
    </row>
    <row r="453" spans="4:37" ht="24.75" customHeight="1">
      <c r="D453" s="5" t="s">
        <v>57</v>
      </c>
      <c r="G453" s="90">
        <f>+Y452</f>
        <v>15468440160.32391</v>
      </c>
      <c r="H453" s="90"/>
      <c r="I453" s="90"/>
      <c r="J453" s="90"/>
      <c r="K453" s="90"/>
      <c r="L453" s="90"/>
      <c r="M453" s="5" t="s">
        <v>48</v>
      </c>
      <c r="N453" s="80">
        <f>+M451</f>
        <v>39240</v>
      </c>
      <c r="O453" s="80"/>
      <c r="P453" s="80"/>
      <c r="Q453" s="80"/>
      <c r="R453" s="5" t="s">
        <v>37</v>
      </c>
      <c r="T453" s="80">
        <f>AM378/2</f>
        <v>1100</v>
      </c>
      <c r="U453" s="80"/>
      <c r="V453" s="80"/>
      <c r="W453" s="80"/>
      <c r="X453" s="5" t="s">
        <v>46</v>
      </c>
      <c r="Y453" s="80">
        <f>ROUND(Q458,2)</f>
        <v>1195.39</v>
      </c>
      <c r="Z453" s="80"/>
      <c r="AA453" s="80"/>
      <c r="AB453" s="80"/>
      <c r="AC453" s="5" t="s">
        <v>38</v>
      </c>
      <c r="AE453" s="99">
        <f>+G453+N453*(T453-Y453)^2</f>
        <v>15825494812.727911</v>
      </c>
      <c r="AF453" s="99"/>
      <c r="AG453" s="99"/>
      <c r="AH453" s="99"/>
      <c r="AI453" s="99"/>
      <c r="AJ453" s="99"/>
      <c r="AK453" s="5" t="s">
        <v>224</v>
      </c>
    </row>
    <row r="454" spans="4:34" ht="24.75" customHeight="1">
      <c r="D454" s="5" t="s">
        <v>58</v>
      </c>
      <c r="G454" s="5" t="s">
        <v>234</v>
      </c>
      <c r="AD454" s="6"/>
      <c r="AE454" s="6"/>
      <c r="AF454" s="6"/>
      <c r="AG454" s="6"/>
      <c r="AH454" s="6"/>
    </row>
    <row r="455" spans="7:34" ht="24.75" customHeight="1">
      <c r="G455" s="22"/>
      <c r="H455" s="22"/>
      <c r="I455" s="22"/>
      <c r="J455" s="22"/>
      <c r="K455" s="22"/>
      <c r="M455" s="41"/>
      <c r="N455" s="41"/>
      <c r="O455" s="41"/>
      <c r="P455" s="41"/>
      <c r="S455" s="41"/>
      <c r="T455" s="41"/>
      <c r="U455" s="41"/>
      <c r="V455" s="41"/>
      <c r="X455" s="41"/>
      <c r="Y455" s="41"/>
      <c r="Z455" s="41"/>
      <c r="AA455" s="41"/>
      <c r="AD455" s="6"/>
      <c r="AE455" s="6"/>
      <c r="AF455" s="6"/>
      <c r="AG455" s="6"/>
      <c r="AH455" s="6"/>
    </row>
    <row r="456" spans="4:29" ht="24.75" customHeight="1">
      <c r="D456" s="5" t="s">
        <v>235</v>
      </c>
      <c r="I456" s="8"/>
      <c r="J456" s="8"/>
      <c r="K456" s="8"/>
      <c r="L456" s="8"/>
      <c r="M456" s="41"/>
      <c r="N456" s="41"/>
      <c r="O456" s="41"/>
      <c r="P456" s="41"/>
      <c r="Q456" s="8"/>
      <c r="R456" s="8"/>
      <c r="S456" s="22"/>
      <c r="T456" s="22"/>
      <c r="U456" s="22"/>
      <c r="V456" s="22"/>
      <c r="W456" s="22"/>
      <c r="X456" s="8"/>
      <c r="Y456" s="8"/>
      <c r="Z456" s="69"/>
      <c r="AA456" s="69"/>
      <c r="AB456" s="8"/>
      <c r="AC456" s="8"/>
    </row>
    <row r="457" spans="4:9" ht="24.75" customHeight="1">
      <c r="D457" s="5" t="s">
        <v>236</v>
      </c>
      <c r="I457" s="23"/>
    </row>
    <row r="458" spans="5:21" ht="24.75" customHeight="1">
      <c r="E458" s="5" t="s">
        <v>59</v>
      </c>
      <c r="H458" s="150">
        <v>-1034.610439887</v>
      </c>
      <c r="I458" s="150"/>
      <c r="J458" s="150"/>
      <c r="K458" s="150"/>
      <c r="L458" s="70" t="s">
        <v>102</v>
      </c>
      <c r="N458" s="70" t="s">
        <v>60</v>
      </c>
      <c r="Q458" s="89">
        <f>(AM378+AM250+AM305)+H458</f>
        <v>1195.389560113</v>
      </c>
      <c r="R458" s="89"/>
      <c r="S458" s="89"/>
      <c r="T458" s="89"/>
      <c r="U458" s="70" t="s">
        <v>102</v>
      </c>
    </row>
    <row r="459" spans="4:15" ht="24.75" customHeight="1">
      <c r="D459" s="5" t="s">
        <v>237</v>
      </c>
      <c r="G459" s="23"/>
      <c r="O459" s="5" t="s">
        <v>238</v>
      </c>
    </row>
    <row r="460" spans="4:45" ht="24.75" customHeight="1">
      <c r="D460" s="92" t="s">
        <v>123</v>
      </c>
      <c r="E460" s="92"/>
      <c r="F460" s="92"/>
      <c r="G460" s="97" t="s">
        <v>114</v>
      </c>
      <c r="H460" s="97"/>
      <c r="I460" s="97"/>
      <c r="J460" s="92" t="s">
        <v>61</v>
      </c>
      <c r="K460" s="92"/>
      <c r="L460" s="92"/>
      <c r="M460" s="92" t="s">
        <v>34</v>
      </c>
      <c r="N460" s="98">
        <f>+AA443</f>
        <v>908.2951381145419</v>
      </c>
      <c r="O460" s="98"/>
      <c r="P460" s="98"/>
      <c r="Q460" s="98"/>
      <c r="R460" s="98"/>
      <c r="S460" s="19" t="s">
        <v>41</v>
      </c>
      <c r="T460" s="97">
        <f>10^6</f>
        <v>1000000</v>
      </c>
      <c r="U460" s="97"/>
      <c r="V460" s="97"/>
      <c r="W460" s="95" t="s">
        <v>41</v>
      </c>
      <c r="X460" s="95"/>
      <c r="Y460" s="96">
        <f>+H458</f>
        <v>-1034.610439887</v>
      </c>
      <c r="Z460" s="96"/>
      <c r="AA460" s="96"/>
      <c r="AB460" s="96"/>
      <c r="AC460" s="96"/>
      <c r="AD460" s="92" t="s">
        <v>34</v>
      </c>
      <c r="AE460" s="96">
        <f>+N460*T460/O461*Y460</f>
        <v>-59.3808688772319</v>
      </c>
      <c r="AF460" s="96"/>
      <c r="AG460" s="96"/>
      <c r="AH460" s="96"/>
      <c r="AI460" s="96"/>
      <c r="AJ460" s="92" t="str">
        <f>IF(O235&gt;0,IF(ABS(AE460)&gt;Z240,"N/㎟  ＞   σca ,    N.G","N/㎟  ＜   σca ,    O.K"),IF(ABS(AE460)&gt;O240,"N/㎟  ＞   σta ,    N.G","N/㎟  ＜   σta ,    O.K"))</f>
        <v>N/㎟  ＜   σca ,    O.K</v>
      </c>
      <c r="AK460" s="92"/>
      <c r="AL460" s="92"/>
      <c r="AM460" s="92"/>
      <c r="AN460" s="92"/>
      <c r="AO460" s="92"/>
      <c r="AP460" s="92"/>
      <c r="AQ460" s="92"/>
      <c r="AR460" s="92"/>
      <c r="AS460" s="92"/>
    </row>
    <row r="461" spans="4:45" ht="24.75" customHeight="1">
      <c r="D461" s="92"/>
      <c r="E461" s="92"/>
      <c r="F461" s="92"/>
      <c r="G461" s="93" t="s">
        <v>62</v>
      </c>
      <c r="H461" s="93"/>
      <c r="I461" s="93"/>
      <c r="J461" s="92"/>
      <c r="K461" s="92"/>
      <c r="L461" s="92"/>
      <c r="M461" s="92"/>
      <c r="O461" s="94">
        <f>+AE453</f>
        <v>15825494812.727911</v>
      </c>
      <c r="P461" s="94"/>
      <c r="Q461" s="94"/>
      <c r="R461" s="94"/>
      <c r="S461" s="94"/>
      <c r="T461" s="94"/>
      <c r="U461" s="94"/>
      <c r="W461" s="95"/>
      <c r="X461" s="95"/>
      <c r="Y461" s="96"/>
      <c r="Z461" s="96"/>
      <c r="AA461" s="96"/>
      <c r="AB461" s="96"/>
      <c r="AC461" s="96"/>
      <c r="AD461" s="92"/>
      <c r="AE461" s="96"/>
      <c r="AF461" s="96"/>
      <c r="AG461" s="96"/>
      <c r="AH461" s="96"/>
      <c r="AI461" s="96"/>
      <c r="AJ461" s="92"/>
      <c r="AK461" s="92"/>
      <c r="AL461" s="92"/>
      <c r="AM461" s="92"/>
      <c r="AN461" s="92"/>
      <c r="AO461" s="92"/>
      <c r="AP461" s="92"/>
      <c r="AQ461" s="92"/>
      <c r="AR461" s="92"/>
      <c r="AS461" s="92"/>
    </row>
    <row r="462" spans="4:45" ht="24.75" customHeight="1">
      <c r="D462" s="92" t="s">
        <v>124</v>
      </c>
      <c r="E462" s="92"/>
      <c r="F462" s="92"/>
      <c r="G462" s="97" t="s">
        <v>114</v>
      </c>
      <c r="H462" s="97"/>
      <c r="I462" s="97"/>
      <c r="J462" s="92" t="s">
        <v>63</v>
      </c>
      <c r="K462" s="92"/>
      <c r="L462" s="92"/>
      <c r="M462" s="92" t="s">
        <v>34</v>
      </c>
      <c r="N462" s="98">
        <f>+N460</f>
        <v>908.2951381145419</v>
      </c>
      <c r="O462" s="98"/>
      <c r="P462" s="98"/>
      <c r="Q462" s="98"/>
      <c r="R462" s="98"/>
      <c r="S462" s="19" t="s">
        <v>41</v>
      </c>
      <c r="T462" s="97">
        <f>10^6</f>
        <v>1000000</v>
      </c>
      <c r="U462" s="97"/>
      <c r="V462" s="97"/>
      <c r="W462" s="95" t="s">
        <v>41</v>
      </c>
      <c r="X462" s="95"/>
      <c r="Y462" s="96">
        <f>+Q458</f>
        <v>1195.389560113</v>
      </c>
      <c r="Z462" s="96"/>
      <c r="AA462" s="96"/>
      <c r="AB462" s="96"/>
      <c r="AC462" s="96"/>
      <c r="AD462" s="92" t="s">
        <v>34</v>
      </c>
      <c r="AE462" s="96">
        <f>+N462*T462/O463*Y462</f>
        <v>68.60869365868254</v>
      </c>
      <c r="AF462" s="96"/>
      <c r="AG462" s="96"/>
      <c r="AH462" s="96"/>
      <c r="AI462" s="96"/>
      <c r="AJ462" s="92" t="str">
        <f>IF(O235&gt;0,IF(ABS(AE462)&gt;O240,"N/㎟  ＞   σta ,    N.G","N/㎟  ＜   σta ,    O.K"),IF(ABS(AE462)&gt;Z240,"N/㎟  ＞   σca ,    N.G","N/㎟  ＜   σca ,    O.K"))</f>
        <v>N/㎟  ＜   σta ,    O.K</v>
      </c>
      <c r="AK462" s="92"/>
      <c r="AL462" s="92"/>
      <c r="AM462" s="92"/>
      <c r="AN462" s="92"/>
      <c r="AO462" s="92"/>
      <c r="AP462" s="92"/>
      <c r="AQ462" s="92"/>
      <c r="AR462" s="92"/>
      <c r="AS462" s="92"/>
    </row>
    <row r="463" spans="4:45" ht="24.75" customHeight="1">
      <c r="D463" s="92"/>
      <c r="E463" s="92"/>
      <c r="F463" s="92"/>
      <c r="G463" s="93" t="s">
        <v>62</v>
      </c>
      <c r="H463" s="93"/>
      <c r="I463" s="93"/>
      <c r="J463" s="92"/>
      <c r="K463" s="92"/>
      <c r="L463" s="92"/>
      <c r="M463" s="92"/>
      <c r="O463" s="94">
        <f>+O461</f>
        <v>15825494812.727911</v>
      </c>
      <c r="P463" s="94"/>
      <c r="Q463" s="94"/>
      <c r="R463" s="94"/>
      <c r="S463" s="94"/>
      <c r="T463" s="94"/>
      <c r="U463" s="94"/>
      <c r="W463" s="95"/>
      <c r="X463" s="95"/>
      <c r="Y463" s="96"/>
      <c r="Z463" s="96"/>
      <c r="AA463" s="96"/>
      <c r="AB463" s="96"/>
      <c r="AC463" s="96"/>
      <c r="AD463" s="92"/>
      <c r="AE463" s="96"/>
      <c r="AF463" s="96"/>
      <c r="AG463" s="96"/>
      <c r="AH463" s="96"/>
      <c r="AI463" s="96"/>
      <c r="AJ463" s="92"/>
      <c r="AK463" s="92"/>
      <c r="AL463" s="92"/>
      <c r="AM463" s="92"/>
      <c r="AN463" s="92"/>
      <c r="AO463" s="92"/>
      <c r="AP463" s="92"/>
      <c r="AQ463" s="92"/>
      <c r="AR463" s="92"/>
      <c r="AS463" s="92"/>
    </row>
    <row r="464" spans="4:32" ht="24.75" customHeight="1">
      <c r="D464" s="8"/>
      <c r="E464" s="8"/>
      <c r="G464" s="53"/>
      <c r="H464" s="53"/>
      <c r="I464" s="53"/>
      <c r="J464" s="53"/>
      <c r="K464" s="53"/>
      <c r="M464" s="53"/>
      <c r="N464" s="53"/>
      <c r="O464" s="53"/>
      <c r="P464" s="53"/>
      <c r="Q464" s="53"/>
      <c r="S464" s="53"/>
      <c r="T464" s="53"/>
      <c r="U464" s="53"/>
      <c r="V464" s="53"/>
      <c r="W464" s="53"/>
      <c r="X464" s="25"/>
      <c r="Y464" s="25"/>
      <c r="Z464" s="25"/>
      <c r="AA464" s="25"/>
      <c r="AB464" s="25"/>
      <c r="AC464" s="25"/>
      <c r="AD464" s="25"/>
      <c r="AE464" s="25"/>
      <c r="AF464" s="25"/>
    </row>
    <row r="467" spans="1:2" ht="24.75" customHeight="1">
      <c r="A467" s="4"/>
      <c r="B467" s="145" t="s">
        <v>274</v>
      </c>
    </row>
    <row r="468" spans="3:43" ht="24.75" customHeight="1">
      <c r="C468" s="5" t="s">
        <v>207</v>
      </c>
      <c r="O468" s="146">
        <v>7140.97722472</v>
      </c>
      <c r="P468" s="146"/>
      <c r="Q468" s="146"/>
      <c r="R468" s="146"/>
      <c r="S468" s="146"/>
      <c r="T468" s="5" t="s">
        <v>111</v>
      </c>
      <c r="Z468" s="5" t="s">
        <v>12</v>
      </c>
      <c r="AE468" s="5" t="s">
        <v>105</v>
      </c>
      <c r="AG468" s="146">
        <v>2.4</v>
      </c>
      <c r="AH468" s="146"/>
      <c r="AI468" s="146"/>
      <c r="AJ468" s="5" t="s">
        <v>106</v>
      </c>
      <c r="AL468" s="5" t="s">
        <v>107</v>
      </c>
      <c r="AN468" s="146">
        <v>2.1</v>
      </c>
      <c r="AO468" s="146"/>
      <c r="AP468" s="146"/>
      <c r="AQ468" s="5" t="s">
        <v>106</v>
      </c>
    </row>
    <row r="469" spans="3:36" ht="24.75" customHeight="1">
      <c r="C469" s="5" t="s">
        <v>208</v>
      </c>
      <c r="O469" s="146">
        <v>925.8041216</v>
      </c>
      <c r="P469" s="146"/>
      <c r="Q469" s="146"/>
      <c r="R469" s="146"/>
      <c r="S469" s="146"/>
      <c r="T469" s="5" t="s">
        <v>112</v>
      </c>
      <c r="Z469" s="5" t="s">
        <v>13</v>
      </c>
      <c r="AE469" s="5" t="s">
        <v>108</v>
      </c>
      <c r="AG469" s="146">
        <v>2.2</v>
      </c>
      <c r="AH469" s="146"/>
      <c r="AI469" s="146"/>
      <c r="AJ469" s="5" t="s">
        <v>106</v>
      </c>
    </row>
    <row r="470" spans="3:36" ht="24.75" customHeight="1">
      <c r="C470" s="5" t="s">
        <v>174</v>
      </c>
      <c r="J470" s="53"/>
      <c r="K470" s="53"/>
      <c r="L470" s="53"/>
      <c r="M470" s="53"/>
      <c r="N470" s="53"/>
      <c r="O470" s="146">
        <v>520.94349952</v>
      </c>
      <c r="P470" s="146"/>
      <c r="Q470" s="146"/>
      <c r="R470" s="146"/>
      <c r="S470" s="146"/>
      <c r="T470" s="5" t="s">
        <v>111</v>
      </c>
      <c r="Z470" s="5" t="s">
        <v>14</v>
      </c>
      <c r="AE470" s="147" t="s">
        <v>109</v>
      </c>
      <c r="AF470" s="147"/>
      <c r="AG470" s="148">
        <f>DEGREES(ATAN((AG468-AN468)/2/AG469))</f>
        <v>3.900493742381888</v>
      </c>
      <c r="AH470" s="148"/>
      <c r="AI470" s="148"/>
      <c r="AJ470" s="149" t="s">
        <v>110</v>
      </c>
    </row>
    <row r="471" spans="3:28" ht="24.75" customHeight="1">
      <c r="C471" s="5" t="s">
        <v>175</v>
      </c>
      <c r="O471" s="150">
        <v>-67.443201509</v>
      </c>
      <c r="P471" s="150"/>
      <c r="Q471" s="150"/>
      <c r="R471" s="150"/>
      <c r="S471" s="150"/>
      <c r="T471" s="5" t="s">
        <v>218</v>
      </c>
      <c r="AB471" s="151" t="s">
        <v>11</v>
      </c>
    </row>
    <row r="472" spans="3:47" ht="24.75" customHeight="1">
      <c r="C472" s="5" t="s">
        <v>176</v>
      </c>
      <c r="O472" s="150">
        <v>78.174769683</v>
      </c>
      <c r="P472" s="150"/>
      <c r="Q472" s="150"/>
      <c r="R472" s="150"/>
      <c r="S472" s="150"/>
      <c r="T472" s="5" t="s">
        <v>218</v>
      </c>
      <c r="AU472" s="152"/>
    </row>
    <row r="473" spans="3:85" ht="24.75" customHeight="1">
      <c r="C473" s="5" t="s">
        <v>177</v>
      </c>
      <c r="F473" s="153" t="s">
        <v>266</v>
      </c>
      <c r="G473" s="153"/>
      <c r="H473" s="153"/>
      <c r="I473" s="153"/>
      <c r="J473" s="145" t="s">
        <v>257</v>
      </c>
      <c r="L473" s="5" t="s">
        <v>148</v>
      </c>
      <c r="O473" s="102">
        <f>HLOOKUP(F473,AX474:CJ477,AU474,FALSE)</f>
        <v>210</v>
      </c>
      <c r="P473" s="102"/>
      <c r="Q473" s="102"/>
      <c r="R473" s="102"/>
      <c r="S473" s="5" t="s">
        <v>218</v>
      </c>
      <c r="W473" s="5" t="s">
        <v>149</v>
      </c>
      <c r="Z473" s="150">
        <v>157.866666667</v>
      </c>
      <c r="AA473" s="150"/>
      <c r="AB473" s="150"/>
      <c r="AC473" s="150"/>
      <c r="AD473" s="5" t="s">
        <v>218</v>
      </c>
      <c r="AH473" s="5" t="s">
        <v>150</v>
      </c>
      <c r="AK473" s="102">
        <f>HLOOKUP(F473,AX479:CJ482,AU479,FALSE)</f>
        <v>120</v>
      </c>
      <c r="AL473" s="102"/>
      <c r="AM473" s="102"/>
      <c r="AN473" s="102"/>
      <c r="AO473" s="5" t="s">
        <v>218</v>
      </c>
      <c r="AU473" s="143" t="s">
        <v>220</v>
      </c>
      <c r="AV473" s="143"/>
      <c r="AW473" s="143"/>
      <c r="AX473" s="143"/>
      <c r="AY473" s="143"/>
      <c r="AZ473" s="143"/>
      <c r="BA473" s="143"/>
      <c r="BB473" s="143"/>
      <c r="BC473" s="143"/>
      <c r="BD473" s="143"/>
      <c r="BE473" s="143"/>
      <c r="BF473" s="152"/>
      <c r="BG473" s="152"/>
      <c r="BH473" s="152"/>
      <c r="BI473" s="152"/>
      <c r="BJ473" s="152"/>
      <c r="BK473" s="152"/>
      <c r="BL473" s="152"/>
      <c r="BM473" s="152"/>
      <c r="BN473" s="152"/>
      <c r="BO473" s="152"/>
      <c r="BP473" s="152"/>
      <c r="BQ473" s="152"/>
      <c r="BR473" s="152"/>
      <c r="BS473" s="152"/>
      <c r="BT473" s="152"/>
      <c r="BU473" s="152"/>
      <c r="BV473" s="152"/>
      <c r="BW473" s="152"/>
      <c r="BX473" s="152"/>
      <c r="BY473" s="152"/>
      <c r="BZ473" s="152"/>
      <c r="CA473" s="152"/>
      <c r="CB473" s="152"/>
      <c r="CC473" s="152"/>
      <c r="CD473" s="152"/>
      <c r="CE473" s="152"/>
      <c r="CF473" s="152"/>
      <c r="CG473" s="152"/>
    </row>
    <row r="474" spans="3:88" ht="24.75" customHeight="1">
      <c r="C474" s="5" t="s">
        <v>189</v>
      </c>
      <c r="H474" s="154">
        <v>22</v>
      </c>
      <c r="I474" s="154"/>
      <c r="J474" s="154"/>
      <c r="K474" s="155" t="s">
        <v>267</v>
      </c>
      <c r="L474" s="156">
        <v>10</v>
      </c>
      <c r="M474" s="156"/>
      <c r="N474" s="156"/>
      <c r="O474" s="5" t="s">
        <v>40</v>
      </c>
      <c r="R474" s="124">
        <f>IF(H474=20,IF(L474=10,39000,31000),IF(H474=22,IF(L474=10,48000,39000),IF(H474=24,IF(L474=10,56000,45000),"確認希望")))</f>
        <v>48000</v>
      </c>
      <c r="S474" s="124"/>
      <c r="T474" s="124"/>
      <c r="U474" s="5" t="s">
        <v>41</v>
      </c>
      <c r="V474" s="144">
        <v>2</v>
      </c>
      <c r="W474" s="144"/>
      <c r="X474" s="144"/>
      <c r="Y474" s="144"/>
      <c r="Z474" s="8" t="s">
        <v>34</v>
      </c>
      <c r="AA474" s="92">
        <f>+R474*V474</f>
        <v>96000</v>
      </c>
      <c r="AB474" s="92"/>
      <c r="AC474" s="92"/>
      <c r="AD474" s="5" t="s">
        <v>113</v>
      </c>
      <c r="AU474" s="135">
        <f>IF(AM483&lt;=40,2,IF(AM483&lt;=75,3,4))</f>
        <v>2</v>
      </c>
      <c r="AV474" s="136"/>
      <c r="AW474" s="137"/>
      <c r="AX474" s="138" t="s">
        <v>91</v>
      </c>
      <c r="AY474" s="139"/>
      <c r="AZ474" s="140"/>
      <c r="BA474" s="138" t="s">
        <v>92</v>
      </c>
      <c r="BB474" s="139"/>
      <c r="BC474" s="140"/>
      <c r="BD474" s="138" t="s">
        <v>93</v>
      </c>
      <c r="BE474" s="139"/>
      <c r="BF474" s="140"/>
      <c r="BG474" s="138" t="s">
        <v>132</v>
      </c>
      <c r="BH474" s="139"/>
      <c r="BI474" s="140"/>
      <c r="BJ474" s="138" t="s">
        <v>90</v>
      </c>
      <c r="BK474" s="139"/>
      <c r="BL474" s="140"/>
      <c r="BM474" s="157" t="s">
        <v>133</v>
      </c>
      <c r="BN474" s="158"/>
      <c r="BO474" s="159"/>
      <c r="BP474" s="138" t="s">
        <v>94</v>
      </c>
      <c r="BQ474" s="139"/>
      <c r="BR474" s="140"/>
      <c r="BS474" s="138" t="s">
        <v>95</v>
      </c>
      <c r="BT474" s="139"/>
      <c r="BU474" s="140"/>
      <c r="BV474" s="138" t="s">
        <v>96</v>
      </c>
      <c r="BW474" s="139"/>
      <c r="BX474" s="140"/>
      <c r="BY474" s="157" t="s">
        <v>134</v>
      </c>
      <c r="BZ474" s="158"/>
      <c r="CA474" s="159"/>
      <c r="CB474" s="138" t="s">
        <v>97</v>
      </c>
      <c r="CC474" s="139"/>
      <c r="CD474" s="140"/>
      <c r="CE474" s="138" t="s">
        <v>98</v>
      </c>
      <c r="CF474" s="139"/>
      <c r="CG474" s="140"/>
      <c r="CH474" s="157" t="s">
        <v>135</v>
      </c>
      <c r="CI474" s="158"/>
      <c r="CJ474" s="159"/>
    </row>
    <row r="475" spans="10:88" ht="24.75" customHeight="1">
      <c r="J475" s="160"/>
      <c r="AU475" s="161">
        <v>40</v>
      </c>
      <c r="AV475" s="161"/>
      <c r="AW475" s="161"/>
      <c r="AX475" s="135">
        <v>140</v>
      </c>
      <c r="AY475" s="136"/>
      <c r="AZ475" s="137"/>
      <c r="BA475" s="135">
        <f>AX475</f>
        <v>140</v>
      </c>
      <c r="BB475" s="136"/>
      <c r="BC475" s="137"/>
      <c r="BD475" s="135">
        <f>AX475</f>
        <v>140</v>
      </c>
      <c r="BE475" s="136"/>
      <c r="BF475" s="137"/>
      <c r="BG475" s="135">
        <v>140</v>
      </c>
      <c r="BH475" s="136"/>
      <c r="BI475" s="137"/>
      <c r="BJ475" s="135">
        <v>185</v>
      </c>
      <c r="BK475" s="136"/>
      <c r="BL475" s="137"/>
      <c r="BM475" s="135">
        <f>BJ475</f>
        <v>185</v>
      </c>
      <c r="BN475" s="136"/>
      <c r="BO475" s="137"/>
      <c r="BP475" s="135">
        <v>210</v>
      </c>
      <c r="BQ475" s="136"/>
      <c r="BR475" s="137"/>
      <c r="BS475" s="135">
        <f>BP475</f>
        <v>210</v>
      </c>
      <c r="BT475" s="136"/>
      <c r="BU475" s="137"/>
      <c r="BV475" s="135">
        <f>BP475</f>
        <v>210</v>
      </c>
      <c r="BW475" s="136"/>
      <c r="BX475" s="137"/>
      <c r="BY475" s="135">
        <v>210</v>
      </c>
      <c r="BZ475" s="136"/>
      <c r="CA475" s="137"/>
      <c r="CB475" s="135">
        <v>255</v>
      </c>
      <c r="CC475" s="136"/>
      <c r="CD475" s="137"/>
      <c r="CE475" s="135">
        <f>CB475</f>
        <v>255</v>
      </c>
      <c r="CF475" s="136"/>
      <c r="CG475" s="137"/>
      <c r="CH475" s="135">
        <f>CE475</f>
        <v>255</v>
      </c>
      <c r="CI475" s="136"/>
      <c r="CJ475" s="137"/>
    </row>
    <row r="476" spans="2:88" ht="24.75" customHeight="1">
      <c r="B476" s="5" t="s">
        <v>0</v>
      </c>
      <c r="I476" s="92" t="str">
        <f>IF(O468&gt;0,"(上フランジ)","(下フランジ)")</f>
        <v>(上フランジ)</v>
      </c>
      <c r="J476" s="92"/>
      <c r="K476" s="92"/>
      <c r="L476" s="92"/>
      <c r="M476" s="92"/>
      <c r="N476" s="92"/>
      <c r="O476" s="5" t="s">
        <v>249</v>
      </c>
      <c r="AU476" s="162" t="s">
        <v>99</v>
      </c>
      <c r="AV476" s="162"/>
      <c r="AW476" s="162"/>
      <c r="AX476" s="135">
        <v>125</v>
      </c>
      <c r="AY476" s="136"/>
      <c r="AZ476" s="137"/>
      <c r="BA476" s="135">
        <f>AX476</f>
        <v>125</v>
      </c>
      <c r="BB476" s="136"/>
      <c r="BC476" s="137"/>
      <c r="BD476" s="135">
        <f>AX476</f>
        <v>125</v>
      </c>
      <c r="BE476" s="136"/>
      <c r="BF476" s="137"/>
      <c r="BG476" s="135">
        <v>140</v>
      </c>
      <c r="BH476" s="136"/>
      <c r="BI476" s="137"/>
      <c r="BJ476" s="135">
        <v>175</v>
      </c>
      <c r="BK476" s="136"/>
      <c r="BL476" s="137"/>
      <c r="BM476" s="135">
        <f>BM475</f>
        <v>185</v>
      </c>
      <c r="BN476" s="136"/>
      <c r="BO476" s="137"/>
      <c r="BP476" s="135">
        <v>200</v>
      </c>
      <c r="BQ476" s="136"/>
      <c r="BR476" s="137"/>
      <c r="BS476" s="135">
        <f>BP476</f>
        <v>200</v>
      </c>
      <c r="BT476" s="136"/>
      <c r="BU476" s="137"/>
      <c r="BV476" s="135">
        <f>BP476</f>
        <v>200</v>
      </c>
      <c r="BW476" s="136"/>
      <c r="BX476" s="137"/>
      <c r="BY476" s="135">
        <v>210</v>
      </c>
      <c r="BZ476" s="136"/>
      <c r="CA476" s="137"/>
      <c r="CB476" s="135">
        <v>245</v>
      </c>
      <c r="CC476" s="136"/>
      <c r="CD476" s="137"/>
      <c r="CE476" s="135">
        <f>CB476</f>
        <v>245</v>
      </c>
      <c r="CF476" s="136"/>
      <c r="CG476" s="137"/>
      <c r="CH476" s="135">
        <f>CH475</f>
        <v>255</v>
      </c>
      <c r="CI476" s="136"/>
      <c r="CJ476" s="137"/>
    </row>
    <row r="477" spans="3:88" ht="24.75" customHeight="1">
      <c r="C477" s="5" t="s">
        <v>115</v>
      </c>
      <c r="E477" s="142">
        <f>IF(O468&gt;0,ABS(O471),ABS(O472))</f>
        <v>67.443201509</v>
      </c>
      <c r="F477" s="142"/>
      <c r="G477" s="142"/>
      <c r="H477" s="142"/>
      <c r="I477" s="142"/>
      <c r="J477" s="142"/>
      <c r="K477" s="5" t="str">
        <f>+T471</f>
        <v>N/㎟</v>
      </c>
      <c r="AU477" s="162" t="s">
        <v>100</v>
      </c>
      <c r="AV477" s="162"/>
      <c r="AW477" s="162"/>
      <c r="AX477" s="135">
        <v>125</v>
      </c>
      <c r="AY477" s="136"/>
      <c r="AZ477" s="137"/>
      <c r="BA477" s="135">
        <f>AX477</f>
        <v>125</v>
      </c>
      <c r="BB477" s="136"/>
      <c r="BC477" s="137"/>
      <c r="BD477" s="135">
        <f>AX477</f>
        <v>125</v>
      </c>
      <c r="BE477" s="136"/>
      <c r="BF477" s="137"/>
      <c r="BG477" s="135">
        <v>140</v>
      </c>
      <c r="BH477" s="136"/>
      <c r="BI477" s="137"/>
      <c r="BJ477" s="135">
        <v>175</v>
      </c>
      <c r="BK477" s="136"/>
      <c r="BL477" s="137"/>
      <c r="BM477" s="135">
        <f>BM475</f>
        <v>185</v>
      </c>
      <c r="BN477" s="136"/>
      <c r="BO477" s="137"/>
      <c r="BP477" s="135">
        <v>195</v>
      </c>
      <c r="BQ477" s="136"/>
      <c r="BR477" s="137"/>
      <c r="BS477" s="135">
        <f>BP477</f>
        <v>195</v>
      </c>
      <c r="BT477" s="136"/>
      <c r="BU477" s="137"/>
      <c r="BV477" s="135">
        <f>BP477</f>
        <v>195</v>
      </c>
      <c r="BW477" s="136"/>
      <c r="BX477" s="137"/>
      <c r="BY477" s="135">
        <v>210</v>
      </c>
      <c r="BZ477" s="136"/>
      <c r="CA477" s="137"/>
      <c r="CB477" s="135">
        <v>240</v>
      </c>
      <c r="CC477" s="136"/>
      <c r="CD477" s="137"/>
      <c r="CE477" s="135">
        <f>CB477</f>
        <v>240</v>
      </c>
      <c r="CF477" s="136"/>
      <c r="CG477" s="137"/>
      <c r="CH477" s="135">
        <f>CH475</f>
        <v>255</v>
      </c>
      <c r="CI477" s="136"/>
      <c r="CJ477" s="137"/>
    </row>
    <row r="478" spans="3:54" ht="24.75" customHeight="1">
      <c r="C478" s="5" t="s">
        <v>116</v>
      </c>
      <c r="E478" s="130">
        <v>0.75</v>
      </c>
      <c r="F478" s="130"/>
      <c r="G478" s="130"/>
      <c r="H478" s="130"/>
      <c r="I478" s="5" t="s">
        <v>41</v>
      </c>
      <c r="J478" s="102">
        <f>Z473</f>
        <v>157.866666667</v>
      </c>
      <c r="K478" s="102"/>
      <c r="L478" s="102"/>
      <c r="M478" s="5" t="s">
        <v>34</v>
      </c>
      <c r="N478" s="89">
        <f>+E478*J478</f>
        <v>118.40000000025</v>
      </c>
      <c r="O478" s="89"/>
      <c r="P478" s="89"/>
      <c r="Q478" s="89"/>
      <c r="R478" s="5" t="str">
        <f>+K477</f>
        <v>N/㎟</v>
      </c>
      <c r="T478" s="10"/>
      <c r="U478" s="11"/>
      <c r="V478" s="12" t="s">
        <v>178</v>
      </c>
      <c r="AU478" s="141" t="s">
        <v>221</v>
      </c>
      <c r="AV478" s="141"/>
      <c r="AW478" s="141"/>
      <c r="AX478" s="141"/>
      <c r="AY478" s="141"/>
      <c r="AZ478" s="141"/>
      <c r="BA478" s="141"/>
      <c r="BB478" s="141"/>
    </row>
    <row r="479" spans="3:88" ht="24.75" customHeight="1">
      <c r="C479" s="5" t="s">
        <v>247</v>
      </c>
      <c r="L479" s="5" t="str">
        <f>IF(O468&gt;0,"σu","σl")</f>
        <v>σu</v>
      </c>
      <c r="N479" s="5" t="s">
        <v>179</v>
      </c>
      <c r="P479" s="89">
        <f>+MAX(E477,N478)</f>
        <v>118.40000000025</v>
      </c>
      <c r="Q479" s="89"/>
      <c r="R479" s="89"/>
      <c r="S479" s="89"/>
      <c r="T479" s="5" t="s">
        <v>222</v>
      </c>
      <c r="AU479" s="135">
        <f>AU474</f>
        <v>2</v>
      </c>
      <c r="AV479" s="136"/>
      <c r="AW479" s="137"/>
      <c r="AX479" s="138" t="s">
        <v>91</v>
      </c>
      <c r="AY479" s="139"/>
      <c r="AZ479" s="140"/>
      <c r="BA479" s="138" t="s">
        <v>92</v>
      </c>
      <c r="BB479" s="139"/>
      <c r="BC479" s="140"/>
      <c r="BD479" s="138" t="s">
        <v>93</v>
      </c>
      <c r="BE479" s="139"/>
      <c r="BF479" s="140"/>
      <c r="BG479" s="138" t="s">
        <v>132</v>
      </c>
      <c r="BH479" s="139"/>
      <c r="BI479" s="140"/>
      <c r="BJ479" s="138" t="s">
        <v>90</v>
      </c>
      <c r="BK479" s="139"/>
      <c r="BL479" s="140"/>
      <c r="BM479" s="157" t="s">
        <v>133</v>
      </c>
      <c r="BN479" s="158"/>
      <c r="BO479" s="159"/>
      <c r="BP479" s="138" t="s">
        <v>94</v>
      </c>
      <c r="BQ479" s="139"/>
      <c r="BR479" s="140"/>
      <c r="BS479" s="138" t="s">
        <v>95</v>
      </c>
      <c r="BT479" s="139"/>
      <c r="BU479" s="140"/>
      <c r="BV479" s="138" t="s">
        <v>96</v>
      </c>
      <c r="BW479" s="139"/>
      <c r="BX479" s="140"/>
      <c r="BY479" s="157" t="s">
        <v>134</v>
      </c>
      <c r="BZ479" s="158"/>
      <c r="CA479" s="159"/>
      <c r="CB479" s="138" t="s">
        <v>97</v>
      </c>
      <c r="CC479" s="139"/>
      <c r="CD479" s="140"/>
      <c r="CE479" s="138" t="s">
        <v>98</v>
      </c>
      <c r="CF479" s="139"/>
      <c r="CG479" s="140"/>
      <c r="CH479" s="157" t="s">
        <v>135</v>
      </c>
      <c r="CI479" s="158"/>
      <c r="CJ479" s="159"/>
    </row>
    <row r="480" spans="7:88" ht="24.75" customHeight="1">
      <c r="G480" s="9"/>
      <c r="AU480" s="161">
        <v>40</v>
      </c>
      <c r="AV480" s="161"/>
      <c r="AW480" s="161"/>
      <c r="AX480" s="135">
        <v>80</v>
      </c>
      <c r="AY480" s="136"/>
      <c r="AZ480" s="137"/>
      <c r="BA480" s="135">
        <f>AX480</f>
        <v>80</v>
      </c>
      <c r="BB480" s="136"/>
      <c r="BC480" s="137"/>
      <c r="BD480" s="135">
        <f>AX480</f>
        <v>80</v>
      </c>
      <c r="BE480" s="136"/>
      <c r="BF480" s="137"/>
      <c r="BG480" s="135">
        <v>80</v>
      </c>
      <c r="BH480" s="136"/>
      <c r="BI480" s="137"/>
      <c r="BJ480" s="135">
        <v>105</v>
      </c>
      <c r="BK480" s="136"/>
      <c r="BL480" s="137"/>
      <c r="BM480" s="135">
        <v>105</v>
      </c>
      <c r="BN480" s="136"/>
      <c r="BO480" s="137"/>
      <c r="BP480" s="135">
        <v>120</v>
      </c>
      <c r="BQ480" s="136"/>
      <c r="BR480" s="137"/>
      <c r="BS480" s="135">
        <f>BP480</f>
        <v>120</v>
      </c>
      <c r="BT480" s="136"/>
      <c r="BU480" s="137"/>
      <c r="BV480" s="135">
        <f>BP480</f>
        <v>120</v>
      </c>
      <c r="BW480" s="136"/>
      <c r="BX480" s="137"/>
      <c r="BY480" s="135">
        <v>120</v>
      </c>
      <c r="BZ480" s="136"/>
      <c r="CA480" s="137"/>
      <c r="CB480" s="135">
        <v>145</v>
      </c>
      <c r="CC480" s="136"/>
      <c r="CD480" s="137"/>
      <c r="CE480" s="135">
        <f>CB480</f>
        <v>145</v>
      </c>
      <c r="CF480" s="136"/>
      <c r="CG480" s="137"/>
      <c r="CH480" s="135">
        <v>145</v>
      </c>
      <c r="CI480" s="136"/>
      <c r="CJ480" s="137"/>
    </row>
    <row r="481" spans="7:88" ht="24.75" customHeight="1">
      <c r="G481" s="9"/>
      <c r="AU481" s="162" t="s">
        <v>99</v>
      </c>
      <c r="AV481" s="162"/>
      <c r="AW481" s="162"/>
      <c r="AX481" s="135">
        <v>75</v>
      </c>
      <c r="AY481" s="136"/>
      <c r="AZ481" s="137"/>
      <c r="BA481" s="135">
        <f>AX481</f>
        <v>75</v>
      </c>
      <c r="BB481" s="136"/>
      <c r="BC481" s="137"/>
      <c r="BD481" s="135">
        <f>AX481</f>
        <v>75</v>
      </c>
      <c r="BE481" s="136"/>
      <c r="BF481" s="137"/>
      <c r="BG481" s="135">
        <v>80</v>
      </c>
      <c r="BH481" s="136"/>
      <c r="BI481" s="137"/>
      <c r="BJ481" s="135">
        <v>100</v>
      </c>
      <c r="BK481" s="136"/>
      <c r="BL481" s="137"/>
      <c r="BM481" s="135">
        <v>105</v>
      </c>
      <c r="BN481" s="136"/>
      <c r="BO481" s="137"/>
      <c r="BP481" s="135">
        <v>115</v>
      </c>
      <c r="BQ481" s="136"/>
      <c r="BR481" s="137"/>
      <c r="BS481" s="135">
        <f>BP481</f>
        <v>115</v>
      </c>
      <c r="BT481" s="136"/>
      <c r="BU481" s="137"/>
      <c r="BV481" s="135">
        <f>BP481</f>
        <v>115</v>
      </c>
      <c r="BW481" s="136"/>
      <c r="BX481" s="137"/>
      <c r="BY481" s="135">
        <v>120</v>
      </c>
      <c r="BZ481" s="136"/>
      <c r="CA481" s="137"/>
      <c r="CB481" s="135">
        <v>140</v>
      </c>
      <c r="CC481" s="136"/>
      <c r="CD481" s="137"/>
      <c r="CE481" s="135">
        <f>CB481</f>
        <v>140</v>
      </c>
      <c r="CF481" s="136"/>
      <c r="CG481" s="137"/>
      <c r="CH481" s="135">
        <v>145</v>
      </c>
      <c r="CI481" s="136"/>
      <c r="CJ481" s="137"/>
    </row>
    <row r="482" spans="7:88" ht="24.75" customHeight="1">
      <c r="G482" s="9"/>
      <c r="AU482" s="162" t="s">
        <v>100</v>
      </c>
      <c r="AV482" s="162"/>
      <c r="AW482" s="162"/>
      <c r="AX482" s="135">
        <v>75</v>
      </c>
      <c r="AY482" s="136"/>
      <c r="AZ482" s="137"/>
      <c r="BA482" s="135">
        <f>AX482</f>
        <v>75</v>
      </c>
      <c r="BB482" s="136"/>
      <c r="BC482" s="137"/>
      <c r="BD482" s="135">
        <f>AX482</f>
        <v>75</v>
      </c>
      <c r="BE482" s="136"/>
      <c r="BF482" s="137"/>
      <c r="BG482" s="135">
        <v>80</v>
      </c>
      <c r="BH482" s="136"/>
      <c r="BI482" s="137"/>
      <c r="BJ482" s="135">
        <v>100</v>
      </c>
      <c r="BK482" s="136"/>
      <c r="BL482" s="137"/>
      <c r="BM482" s="135">
        <v>105</v>
      </c>
      <c r="BN482" s="136"/>
      <c r="BO482" s="137"/>
      <c r="BP482" s="135">
        <v>110</v>
      </c>
      <c r="BQ482" s="136"/>
      <c r="BR482" s="137"/>
      <c r="BS482" s="135">
        <f>BP482</f>
        <v>110</v>
      </c>
      <c r="BT482" s="136"/>
      <c r="BU482" s="137"/>
      <c r="BV482" s="135">
        <f>BP482</f>
        <v>110</v>
      </c>
      <c r="BW482" s="136"/>
      <c r="BX482" s="137"/>
      <c r="BY482" s="135">
        <v>120</v>
      </c>
      <c r="BZ482" s="136"/>
      <c r="CA482" s="137"/>
      <c r="CB482" s="135">
        <v>135</v>
      </c>
      <c r="CC482" s="136"/>
      <c r="CD482" s="137"/>
      <c r="CE482" s="135">
        <f>CB482</f>
        <v>135</v>
      </c>
      <c r="CF482" s="136"/>
      <c r="CG482" s="137"/>
      <c r="CH482" s="135">
        <v>145</v>
      </c>
      <c r="CI482" s="136"/>
      <c r="CJ482" s="137"/>
    </row>
    <row r="483" spans="7:41" ht="24.75" customHeight="1">
      <c r="G483" s="9"/>
      <c r="AH483" s="5" t="s">
        <v>180</v>
      </c>
      <c r="AM483" s="163">
        <v>12</v>
      </c>
      <c r="AN483" s="163"/>
      <c r="AO483" s="5" t="s">
        <v>84</v>
      </c>
    </row>
    <row r="484" spans="34:42" ht="24.75" customHeight="1">
      <c r="AH484" s="5" t="s">
        <v>217</v>
      </c>
      <c r="AM484" s="163">
        <v>2640</v>
      </c>
      <c r="AN484" s="163"/>
      <c r="AO484" s="163"/>
      <c r="AP484" s="4" t="s">
        <v>84</v>
      </c>
    </row>
    <row r="485" spans="34:43" ht="24.75" customHeight="1">
      <c r="AH485" s="5" t="s">
        <v>210</v>
      </c>
      <c r="AO485" s="163">
        <v>120</v>
      </c>
      <c r="AP485" s="163"/>
      <c r="AQ485" s="5" t="s">
        <v>84</v>
      </c>
    </row>
    <row r="486" spans="34:38" ht="24.75" customHeight="1">
      <c r="AH486" s="5" t="s">
        <v>201</v>
      </c>
      <c r="AL486" s="5" t="s">
        <v>223</v>
      </c>
    </row>
    <row r="491" ht="24.75" customHeight="1">
      <c r="C491" s="5" t="s">
        <v>181</v>
      </c>
    </row>
    <row r="492" spans="4:40" ht="24.75" customHeight="1">
      <c r="D492" s="5" t="s">
        <v>182</v>
      </c>
      <c r="I492" s="5" t="str">
        <f>IF(O468&gt;0,"Asσs ＋ 2 Pfwu","Asσs ＋ 2 Pfwl")</f>
        <v>Asσs ＋ 2 Pfwu</v>
      </c>
      <c r="P492" s="5" t="s">
        <v>89</v>
      </c>
      <c r="Q492" s="95">
        <f>+AM483</f>
        <v>12</v>
      </c>
      <c r="R492" s="95"/>
      <c r="S492" s="14" t="s">
        <v>41</v>
      </c>
      <c r="T492" s="114">
        <f>+AM484</f>
        <v>2640</v>
      </c>
      <c r="U492" s="114"/>
      <c r="V492" s="114"/>
      <c r="W492" s="14" t="s">
        <v>41</v>
      </c>
      <c r="X492" s="108">
        <f>P479</f>
        <v>118.40000000025</v>
      </c>
      <c r="Y492" s="108"/>
      <c r="Z492" s="108"/>
      <c r="AA492" s="14" t="s">
        <v>143</v>
      </c>
      <c r="AB492" s="95">
        <f>IF(O468&gt;0,AD634,AD651)</f>
        <v>36815.86635754757</v>
      </c>
      <c r="AC492" s="95"/>
      <c r="AD492" s="95"/>
      <c r="AE492" s="95"/>
      <c r="AF492" s="14" t="s">
        <v>138</v>
      </c>
      <c r="AG492" s="14"/>
      <c r="AH492" s="5" t="s">
        <v>89</v>
      </c>
      <c r="AI492" s="102">
        <f>Q492*T492*X492+AB492*2</f>
        <v>3824543.732723015</v>
      </c>
      <c r="AJ492" s="102"/>
      <c r="AK492" s="102"/>
      <c r="AL492" s="102"/>
      <c r="AM492" s="102"/>
      <c r="AN492" s="5" t="s">
        <v>113</v>
      </c>
    </row>
    <row r="493" spans="9:31" ht="24.75" customHeight="1">
      <c r="I493" s="5" t="s">
        <v>200</v>
      </c>
      <c r="V493" s="5" t="str">
        <f>IF(O468&gt;0,"Pfwu","Pfwl")</f>
        <v>Pfwu</v>
      </c>
      <c r="X493" s="14" t="s">
        <v>183</v>
      </c>
      <c r="Y493" s="14"/>
      <c r="AA493" s="6"/>
      <c r="AB493" s="6"/>
      <c r="AC493" s="6"/>
      <c r="AD493" s="6"/>
      <c r="AE493" s="6"/>
    </row>
    <row r="494" spans="4:41" ht="24.75" customHeight="1">
      <c r="D494" s="5" t="s">
        <v>151</v>
      </c>
      <c r="F494" s="14" t="s">
        <v>152</v>
      </c>
      <c r="J494" s="5" t="s">
        <v>89</v>
      </c>
      <c r="K494" s="102">
        <f>AI492</f>
        <v>3824543.732723015</v>
      </c>
      <c r="L494" s="102"/>
      <c r="M494" s="102"/>
      <c r="N494" s="102"/>
      <c r="O494" s="102"/>
      <c r="P494" s="17" t="s">
        <v>88</v>
      </c>
      <c r="Q494" s="89">
        <f>+AA474</f>
        <v>96000</v>
      </c>
      <c r="R494" s="89"/>
      <c r="S494" s="89"/>
      <c r="T494" s="89"/>
      <c r="U494" s="8" t="s">
        <v>30</v>
      </c>
      <c r="V494" s="113">
        <f>ROUNDUP(K494/Q494,1)</f>
        <v>39.9</v>
      </c>
      <c r="W494" s="113"/>
      <c r="X494" s="113"/>
      <c r="Y494" s="113"/>
      <c r="AA494" s="92" t="s">
        <v>43</v>
      </c>
      <c r="AB494" s="92"/>
      <c r="AC494" s="6"/>
      <c r="AE494" s="164">
        <v>80</v>
      </c>
      <c r="AF494" s="164"/>
      <c r="AG494" s="164"/>
      <c r="AH494" s="164"/>
      <c r="AI494" s="92" t="s">
        <v>5</v>
      </c>
      <c r="AJ494" s="92"/>
      <c r="AK494" s="92"/>
      <c r="AL494" s="92"/>
      <c r="AM494" s="92"/>
      <c r="AO494" s="5" t="str">
        <f>IF(V494&lt;=AE494,"O.K.","N.G.")</f>
        <v>O.K.</v>
      </c>
    </row>
    <row r="495" ht="24.75" customHeight="1">
      <c r="C495" s="5" t="s">
        <v>239</v>
      </c>
    </row>
    <row r="496" spans="4:33" ht="24.75" customHeight="1">
      <c r="D496" s="18" t="s">
        <v>184</v>
      </c>
      <c r="E496" s="18"/>
      <c r="F496" s="18"/>
      <c r="G496" s="18"/>
      <c r="H496" s="18"/>
      <c r="I496" s="18"/>
      <c r="J496" s="18"/>
      <c r="P496" s="15"/>
      <c r="Q496" s="102">
        <f>AI492</f>
        <v>3824543.732723015</v>
      </c>
      <c r="R496" s="102"/>
      <c r="S496" s="102"/>
      <c r="T496" s="102"/>
      <c r="U496" s="102"/>
      <c r="V496" s="17" t="s">
        <v>88</v>
      </c>
      <c r="W496" s="108">
        <f>Z473</f>
        <v>157.866666667</v>
      </c>
      <c r="X496" s="108"/>
      <c r="Y496" s="108"/>
      <c r="Z496" s="108"/>
      <c r="AA496" s="8" t="s">
        <v>34</v>
      </c>
      <c r="AB496" s="89">
        <f>Q496/W496</f>
        <v>24226.417225812536</v>
      </c>
      <c r="AC496" s="89"/>
      <c r="AD496" s="89"/>
      <c r="AE496" s="89"/>
      <c r="AF496" s="92" t="s">
        <v>101</v>
      </c>
      <c r="AG496" s="92"/>
    </row>
    <row r="497" spans="4:27" ht="24.75" customHeight="1">
      <c r="D497" s="5" t="s">
        <v>240</v>
      </c>
      <c r="I497" s="165">
        <v>2</v>
      </c>
      <c r="J497" s="165"/>
      <c r="K497" s="165"/>
      <c r="L497" s="126">
        <v>80</v>
      </c>
      <c r="M497" s="126"/>
      <c r="N497" s="126"/>
      <c r="O497" s="163">
        <v>9</v>
      </c>
      <c r="P497" s="163"/>
      <c r="Q497" s="127">
        <v>630</v>
      </c>
      <c r="R497" s="127"/>
      <c r="S497" s="127"/>
      <c r="T497" s="127"/>
      <c r="U497" s="5" t="s">
        <v>31</v>
      </c>
      <c r="W497" s="89">
        <f>+L497*O497*I497</f>
        <v>1440</v>
      </c>
      <c r="X497" s="89"/>
      <c r="Y497" s="89"/>
      <c r="Z497" s="89"/>
      <c r="AA497" s="5" t="s">
        <v>101</v>
      </c>
    </row>
    <row r="498" spans="9:45" ht="24.75" customHeight="1">
      <c r="I498" s="165">
        <v>6</v>
      </c>
      <c r="J498" s="165"/>
      <c r="K498" s="165"/>
      <c r="L498" s="126">
        <v>280</v>
      </c>
      <c r="M498" s="126"/>
      <c r="N498" s="126"/>
      <c r="O498" s="163">
        <v>9</v>
      </c>
      <c r="P498" s="163"/>
      <c r="Q498" s="127">
        <f>Q497</f>
        <v>630</v>
      </c>
      <c r="R498" s="127"/>
      <c r="S498" s="127"/>
      <c r="T498" s="127"/>
      <c r="U498" s="5" t="s">
        <v>31</v>
      </c>
      <c r="W498" s="89">
        <f>+L498*O498*I498</f>
        <v>15120</v>
      </c>
      <c r="X498" s="89"/>
      <c r="Y498" s="89"/>
      <c r="Z498" s="89"/>
      <c r="AA498" s="5" t="s">
        <v>101</v>
      </c>
      <c r="AR498" s="18"/>
      <c r="AS498" s="18"/>
    </row>
    <row r="499" spans="9:28" ht="24.75" customHeight="1">
      <c r="I499" s="165">
        <v>1</v>
      </c>
      <c r="J499" s="165"/>
      <c r="K499" s="165"/>
      <c r="L499" s="126">
        <f>+AM484-10</f>
        <v>2630</v>
      </c>
      <c r="M499" s="126"/>
      <c r="N499" s="126"/>
      <c r="O499" s="163">
        <v>9</v>
      </c>
      <c r="P499" s="163"/>
      <c r="Q499" s="127">
        <f>Q498</f>
        <v>630</v>
      </c>
      <c r="R499" s="127"/>
      <c r="S499" s="127"/>
      <c r="T499" s="127"/>
      <c r="U499" s="19" t="s">
        <v>31</v>
      </c>
      <c r="V499" s="19"/>
      <c r="W499" s="105">
        <f>+L499*O499*I499</f>
        <v>23670</v>
      </c>
      <c r="X499" s="105"/>
      <c r="Y499" s="105"/>
      <c r="Z499" s="105"/>
      <c r="AA499" s="19" t="s">
        <v>101</v>
      </c>
      <c r="AB499" s="19"/>
    </row>
    <row r="500" spans="21:39" ht="24.75" customHeight="1">
      <c r="U500" s="5" t="s">
        <v>32</v>
      </c>
      <c r="W500" s="89">
        <f>+SUM(W497:W499)</f>
        <v>40230</v>
      </c>
      <c r="X500" s="89"/>
      <c r="Y500" s="89"/>
      <c r="Z500" s="89"/>
      <c r="AA500" s="92" t="str">
        <f>IF(W500&gt;AB496,"mm² ＞  Asreq'd =","mm² ＜   Asreq'd =")</f>
        <v>mm² ＞  Asreq'd =</v>
      </c>
      <c r="AB500" s="92"/>
      <c r="AC500" s="92"/>
      <c r="AD500" s="92"/>
      <c r="AE500" s="92"/>
      <c r="AF500" s="92"/>
      <c r="AG500" s="92"/>
      <c r="AH500" s="92"/>
      <c r="AI500" s="89">
        <f>+AB496</f>
        <v>24226.417225812536</v>
      </c>
      <c r="AJ500" s="89"/>
      <c r="AK500" s="89"/>
      <c r="AL500" s="89"/>
      <c r="AM500" s="5" t="str">
        <f>IF(W500&gt;AB496,"mm² O.K","mm² N.G")</f>
        <v>mm² O.K</v>
      </c>
    </row>
    <row r="501" spans="4:38" ht="24.75" customHeight="1">
      <c r="D501" s="4" t="s">
        <v>241</v>
      </c>
      <c r="E501" s="4"/>
      <c r="F501" s="4"/>
      <c r="G501" s="4"/>
      <c r="H501" s="4"/>
      <c r="I501" s="4"/>
      <c r="J501" s="4"/>
      <c r="K501" s="4"/>
      <c r="O501" s="5" t="s">
        <v>89</v>
      </c>
      <c r="P501" s="102">
        <f>AI492</f>
        <v>3824543.732723015</v>
      </c>
      <c r="Q501" s="102"/>
      <c r="R501" s="102"/>
      <c r="S501" s="102"/>
      <c r="T501" s="102"/>
      <c r="U501" s="17" t="s">
        <v>88</v>
      </c>
      <c r="V501" s="89">
        <f>W500</f>
        <v>40230</v>
      </c>
      <c r="W501" s="89"/>
      <c r="X501" s="89"/>
      <c r="Y501" s="89"/>
      <c r="Z501" s="8" t="s">
        <v>34</v>
      </c>
      <c r="AA501" s="134">
        <f>P501/V501</f>
        <v>95.06695830780549</v>
      </c>
      <c r="AB501" s="134"/>
      <c r="AC501" s="134"/>
      <c r="AD501" s="134"/>
      <c r="AE501" s="134"/>
      <c r="AF501" s="18" t="str">
        <f>IF(AA501&gt;Z473,"N/㎟ ＞  σca , N.G","N/㎟＜  σca , O.K")</f>
        <v>N/㎟＜  σca , O.K</v>
      </c>
      <c r="AG501" s="18"/>
      <c r="AH501" s="18"/>
      <c r="AI501" s="18"/>
      <c r="AJ501" s="18"/>
      <c r="AK501" s="18"/>
      <c r="AL501" s="18"/>
    </row>
    <row r="502" spans="4:44" ht="24.75" customHeight="1">
      <c r="D502" s="21"/>
      <c r="E502" s="21"/>
      <c r="F502" s="21"/>
      <c r="G502" s="21"/>
      <c r="H502" s="21"/>
      <c r="I502" s="21"/>
      <c r="J502" s="21"/>
      <c r="K502" s="21"/>
      <c r="W502" s="8"/>
      <c r="X502" s="20"/>
      <c r="Y502" s="20"/>
      <c r="Z502" s="20"/>
      <c r="AA502" s="20"/>
      <c r="AR502" s="18"/>
    </row>
    <row r="503" ht="24.75" customHeight="1">
      <c r="C503" s="5" t="s">
        <v>192</v>
      </c>
    </row>
    <row r="504" spans="3:23" ht="24.75" customHeight="1">
      <c r="C504" s="5" t="s">
        <v>193</v>
      </c>
      <c r="M504" s="13"/>
      <c r="N504" s="13"/>
      <c r="O504" s="14"/>
      <c r="P504" s="15"/>
      <c r="Q504" s="15"/>
      <c r="R504" s="15"/>
      <c r="S504" s="14"/>
      <c r="T504" s="16"/>
      <c r="U504" s="16"/>
      <c r="V504" s="16"/>
      <c r="W504" s="16"/>
    </row>
    <row r="505" spans="4:38" ht="24.75" customHeight="1">
      <c r="D505" s="4" t="s">
        <v>153</v>
      </c>
      <c r="E505" s="21"/>
      <c r="F505" s="21"/>
      <c r="G505" s="13"/>
      <c r="H505" s="13"/>
      <c r="I505" s="8"/>
      <c r="J505" s="102">
        <f>AI492</f>
        <v>3824543.732723015</v>
      </c>
      <c r="K505" s="102"/>
      <c r="L505" s="102"/>
      <c r="M505" s="102"/>
      <c r="N505" s="102"/>
      <c r="O505" s="17" t="s">
        <v>88</v>
      </c>
      <c r="P505" s="133">
        <f>+AE494</f>
        <v>80</v>
      </c>
      <c r="Q505" s="133"/>
      <c r="R505" s="133"/>
      <c r="S505" s="133"/>
      <c r="U505" s="8" t="s">
        <v>34</v>
      </c>
      <c r="V505" s="100">
        <f>J505/P505</f>
        <v>47806.79665903769</v>
      </c>
      <c r="W505" s="100"/>
      <c r="X505" s="100"/>
      <c r="Y505" s="100"/>
      <c r="Z505" s="100"/>
      <c r="AA505" s="18" t="s">
        <v>202</v>
      </c>
      <c r="AB505" s="8"/>
      <c r="AC505" s="8"/>
      <c r="AD505" s="18" t="str">
        <f>IF(V505&gt;AA474," ＞  ρa    N.G","＜ ρa    O.K")</f>
        <v>＜ ρa    O.K</v>
      </c>
      <c r="AE505" s="8"/>
      <c r="AF505" s="8"/>
      <c r="AG505" s="8"/>
      <c r="AH505" s="8"/>
      <c r="AI505" s="8"/>
      <c r="AJ505" s="8"/>
      <c r="AK505" s="8"/>
      <c r="AL505" s="8"/>
    </row>
    <row r="506" spans="3:38" ht="24.75" customHeight="1">
      <c r="C506" s="14"/>
      <c r="D506" s="34"/>
      <c r="E506" s="34"/>
      <c r="F506" s="34"/>
      <c r="G506" s="13"/>
      <c r="H506" s="13"/>
      <c r="I506" s="13"/>
      <c r="J506" s="14"/>
      <c r="K506" s="14"/>
      <c r="L506" s="14"/>
      <c r="M506" s="35"/>
      <c r="N506" s="35"/>
      <c r="O506" s="35"/>
      <c r="P506" s="35"/>
      <c r="Q506" s="14"/>
      <c r="R506" s="14"/>
      <c r="S506" s="14"/>
      <c r="T506" s="14"/>
      <c r="U506" s="13"/>
      <c r="V506" s="71"/>
      <c r="W506" s="71"/>
      <c r="X506" s="71"/>
      <c r="Y506" s="71"/>
      <c r="Z506" s="71"/>
      <c r="AA506" s="13"/>
      <c r="AB506" s="13"/>
      <c r="AC506" s="13"/>
      <c r="AD506" s="13"/>
      <c r="AE506" s="13"/>
      <c r="AF506" s="13"/>
      <c r="AG506" s="13"/>
      <c r="AH506" s="13"/>
      <c r="AI506" s="13"/>
      <c r="AJ506" s="13"/>
      <c r="AK506" s="13"/>
      <c r="AL506" s="8"/>
    </row>
    <row r="507" spans="3:38" ht="24.75" customHeight="1">
      <c r="C507" s="5" t="s">
        <v>206</v>
      </c>
      <c r="D507" s="21"/>
      <c r="E507" s="21"/>
      <c r="F507" s="21"/>
      <c r="G507" s="8"/>
      <c r="H507" s="8"/>
      <c r="I507" s="8"/>
      <c r="U507" s="8"/>
      <c r="V507" s="22"/>
      <c r="W507" s="22"/>
      <c r="X507" s="22"/>
      <c r="Y507" s="22"/>
      <c r="Z507" s="22"/>
      <c r="AA507" s="8"/>
      <c r="AB507" s="8"/>
      <c r="AC507" s="8"/>
      <c r="AD507" s="8"/>
      <c r="AE507" s="8"/>
      <c r="AF507" s="8"/>
      <c r="AG507" s="8"/>
      <c r="AH507" s="8"/>
      <c r="AI507" s="8"/>
      <c r="AJ507" s="8"/>
      <c r="AK507" s="8"/>
      <c r="AL507" s="8"/>
    </row>
    <row r="508" spans="4:47" ht="24.75" customHeight="1">
      <c r="D508" s="5" t="s">
        <v>205</v>
      </c>
      <c r="AU508" s="23"/>
    </row>
    <row r="509" spans="5:47" ht="24.75" customHeight="1">
      <c r="E509" s="5" t="s">
        <v>211</v>
      </c>
      <c r="AU509" s="23"/>
    </row>
    <row r="510" ht="24.75" customHeight="1">
      <c r="D510" s="5" t="s">
        <v>7</v>
      </c>
    </row>
    <row r="511" spans="3:36" ht="24.75" customHeight="1">
      <c r="C511" s="106" t="s">
        <v>49</v>
      </c>
      <c r="D511" s="106"/>
      <c r="E511" s="106"/>
      <c r="G511" s="105">
        <f>O470</f>
        <v>520.94349952</v>
      </c>
      <c r="H511" s="105"/>
      <c r="I511" s="105"/>
      <c r="J511" s="19" t="s">
        <v>41</v>
      </c>
      <c r="K511" s="97">
        <v>1000000</v>
      </c>
      <c r="L511" s="97"/>
      <c r="M511" s="97"/>
      <c r="N511" s="97"/>
      <c r="P511" s="106" t="s">
        <v>47</v>
      </c>
      <c r="Q511" s="106"/>
      <c r="R511" s="122">
        <f>P505</f>
        <v>80</v>
      </c>
      <c r="S511" s="122"/>
      <c r="T511" s="122"/>
      <c r="U511" s="92" t="s">
        <v>34</v>
      </c>
      <c r="V511" s="92"/>
      <c r="W511" s="102">
        <f>ROUND((G511*K511/(I512*K512))/R511,1)</f>
        <v>1480</v>
      </c>
      <c r="X511" s="102"/>
      <c r="Y511" s="102"/>
      <c r="Z511" s="102"/>
      <c r="AA511" s="92" t="str">
        <f>IF(W511&gt;AA474,"N/本   ＞ ρa   N.G.","N/本  ＜  ρa   O.K.")</f>
        <v>N/本  ＜  ρa   O.K.</v>
      </c>
      <c r="AB511" s="92"/>
      <c r="AC511" s="92"/>
      <c r="AD511" s="92"/>
      <c r="AE511" s="92"/>
      <c r="AF511" s="92"/>
      <c r="AG511" s="92"/>
      <c r="AH511" s="92"/>
      <c r="AI511" s="92"/>
      <c r="AJ511" s="92"/>
    </row>
    <row r="512" spans="3:36" ht="24.75" customHeight="1">
      <c r="C512" s="106"/>
      <c r="D512" s="106"/>
      <c r="E512" s="106"/>
      <c r="I512" s="8">
        <v>2</v>
      </c>
      <c r="J512" s="14" t="s">
        <v>41</v>
      </c>
      <c r="K512" s="24">
        <f>AM611</f>
        <v>2200</v>
      </c>
      <c r="L512" s="25"/>
      <c r="M512" s="25"/>
      <c r="P512" s="106"/>
      <c r="Q512" s="106"/>
      <c r="R512" s="122"/>
      <c r="S512" s="122"/>
      <c r="T512" s="122"/>
      <c r="U512" s="92"/>
      <c r="V512" s="92"/>
      <c r="W512" s="102"/>
      <c r="X512" s="102"/>
      <c r="Y512" s="102"/>
      <c r="Z512" s="102"/>
      <c r="AA512" s="92"/>
      <c r="AB512" s="92"/>
      <c r="AC512" s="92"/>
      <c r="AD512" s="92"/>
      <c r="AE512" s="92"/>
      <c r="AF512" s="92"/>
      <c r="AG512" s="92"/>
      <c r="AH512" s="92"/>
      <c r="AI512" s="92"/>
      <c r="AJ512" s="92"/>
    </row>
    <row r="514" spans="3:9" ht="24.75" customHeight="1">
      <c r="C514" s="5" t="s">
        <v>212</v>
      </c>
      <c r="I514" s="23"/>
    </row>
    <row r="515" spans="4:31" ht="24.75" customHeight="1">
      <c r="D515" s="5" t="s">
        <v>50</v>
      </c>
      <c r="P515" s="119">
        <f>V505</f>
        <v>47806.79665903769</v>
      </c>
      <c r="Q515" s="119"/>
      <c r="R515" s="119"/>
      <c r="S515" s="119"/>
      <c r="T515" s="5" t="s">
        <v>48</v>
      </c>
      <c r="U515" s="104">
        <f>+W511</f>
        <v>1480</v>
      </c>
      <c r="V515" s="104"/>
      <c r="W515" s="104"/>
      <c r="X515" s="104"/>
      <c r="Y515" s="5" t="s">
        <v>33</v>
      </c>
      <c r="AA515" s="100">
        <f>ROUND(SQRT(P515^2+U515^2),1)</f>
        <v>47829.7</v>
      </c>
      <c r="AB515" s="100"/>
      <c r="AC515" s="100"/>
      <c r="AD515" s="100"/>
      <c r="AE515" s="5" t="str">
        <f>IF(AA515&gt;$AA$8,"N/本  ＞  ρa ,  N.G","N/本  ＜  ρa ,  O.K")</f>
        <v>N/本  ＜  ρa ,  O.K</v>
      </c>
    </row>
    <row r="516" spans="16:30" ht="24.75" customHeight="1">
      <c r="P516" s="26"/>
      <c r="Q516" s="26"/>
      <c r="R516" s="26"/>
      <c r="S516" s="26"/>
      <c r="U516" s="26"/>
      <c r="V516" s="26"/>
      <c r="W516" s="26"/>
      <c r="X516" s="26"/>
      <c r="AA516" s="9"/>
      <c r="AB516" s="9"/>
      <c r="AC516" s="9"/>
      <c r="AD516" s="9"/>
    </row>
    <row r="517" spans="2:11" ht="24.75" customHeight="1">
      <c r="B517" s="5" t="s">
        <v>187</v>
      </c>
      <c r="H517" s="27"/>
      <c r="K517" s="9"/>
    </row>
    <row r="518" spans="7:9" ht="24.75" customHeight="1">
      <c r="G518" s="27"/>
      <c r="I518" s="27"/>
    </row>
    <row r="519" spans="5:17" ht="24.75" customHeight="1">
      <c r="E519" s="166"/>
      <c r="F519" s="166"/>
      <c r="G519" s="166"/>
      <c r="K519" s="29"/>
      <c r="L519" s="29"/>
      <c r="M519" s="29"/>
      <c r="N519" s="166"/>
      <c r="Q519" s="30"/>
    </row>
    <row r="520" spans="17:31" ht="24.75" customHeight="1">
      <c r="Q520" s="30"/>
      <c r="U520" s="31"/>
      <c r="V520" s="31"/>
      <c r="X520" s="5" t="s">
        <v>185</v>
      </c>
      <c r="AB520" s="163">
        <v>150</v>
      </c>
      <c r="AC520" s="163"/>
      <c r="AD520" s="163"/>
      <c r="AE520" s="5" t="s">
        <v>84</v>
      </c>
    </row>
    <row r="521" spans="17:31" ht="24.75" customHeight="1">
      <c r="Q521" s="30"/>
      <c r="R521" s="30"/>
      <c r="S521" s="32"/>
      <c r="T521" s="32"/>
      <c r="U521" s="167"/>
      <c r="V521" s="33"/>
      <c r="X521" s="5" t="s">
        <v>186</v>
      </c>
      <c r="AB521" s="163">
        <v>14</v>
      </c>
      <c r="AC521" s="163"/>
      <c r="AD521" s="163"/>
      <c r="AE521" s="5" t="s">
        <v>84</v>
      </c>
    </row>
    <row r="522" spans="1:19" ht="24.75" customHeight="1">
      <c r="A522" s="53"/>
      <c r="B522" s="53"/>
      <c r="C522" s="53"/>
      <c r="D522" s="53"/>
      <c r="E522" s="53"/>
      <c r="F522" s="53"/>
      <c r="G522" s="53"/>
      <c r="H522" s="53"/>
      <c r="I522" s="53"/>
      <c r="J522" s="53"/>
      <c r="K522" s="53"/>
      <c r="L522" s="53"/>
      <c r="M522" s="53"/>
      <c r="N522" s="53"/>
      <c r="O522" s="53"/>
      <c r="P522" s="53"/>
      <c r="Q522" s="53"/>
      <c r="R522" s="53"/>
      <c r="S522" s="53"/>
    </row>
    <row r="523" spans="7:11" ht="24.75" customHeight="1">
      <c r="G523" s="27"/>
      <c r="I523" s="27"/>
      <c r="K523" s="9"/>
    </row>
    <row r="524" ht="24.75" customHeight="1">
      <c r="C524" s="5" t="s">
        <v>181</v>
      </c>
    </row>
    <row r="525" spans="4:41" ht="24.75" customHeight="1">
      <c r="D525" s="106" t="s">
        <v>42</v>
      </c>
      <c r="E525" s="106"/>
      <c r="F525" s="19" t="str">
        <f>IF(O468&gt;0,"As σu","As σl")</f>
        <v>As σu</v>
      </c>
      <c r="G525" s="19"/>
      <c r="H525" s="19"/>
      <c r="I525" s="92" t="s">
        <v>34</v>
      </c>
      <c r="J525" s="97">
        <f>+AB521</f>
        <v>14</v>
      </c>
      <c r="K525" s="97"/>
      <c r="L525" s="19" t="s">
        <v>41</v>
      </c>
      <c r="M525" s="132">
        <f>+AB520</f>
        <v>150</v>
      </c>
      <c r="N525" s="132"/>
      <c r="O525" s="132"/>
      <c r="P525" s="19" t="s">
        <v>41</v>
      </c>
      <c r="Q525" s="105">
        <f>P479</f>
        <v>118.40000000025</v>
      </c>
      <c r="R525" s="105"/>
      <c r="S525" s="105"/>
      <c r="T525" s="105"/>
      <c r="U525" s="92" t="s">
        <v>30</v>
      </c>
      <c r="V525" s="113">
        <f>ROUND(+J525*M525*Q525/M526,1)</f>
        <v>2.6</v>
      </c>
      <c r="W525" s="113"/>
      <c r="X525" s="113"/>
      <c r="Y525" s="113"/>
      <c r="Z525" s="92" t="s">
        <v>43</v>
      </c>
      <c r="AA525" s="92"/>
      <c r="AB525" s="92"/>
      <c r="AC525" s="164">
        <v>5</v>
      </c>
      <c r="AD525" s="164"/>
      <c r="AE525" s="164"/>
      <c r="AF525" s="164"/>
      <c r="AG525" s="92" t="s">
        <v>4</v>
      </c>
      <c r="AH525" s="92"/>
      <c r="AI525" s="92"/>
      <c r="AJ525" s="92"/>
      <c r="AM525" s="92" t="str">
        <f>IF(V525&lt;=AC525,"O.K.","N.G.")</f>
        <v>O.K.</v>
      </c>
      <c r="AN525" s="92"/>
      <c r="AO525" s="92"/>
    </row>
    <row r="526" spans="4:51" ht="24.75" customHeight="1">
      <c r="D526" s="106"/>
      <c r="E526" s="106"/>
      <c r="F526" s="92" t="s">
        <v>44</v>
      </c>
      <c r="G526" s="92"/>
      <c r="H526" s="92"/>
      <c r="I526" s="92"/>
      <c r="M526" s="89">
        <f>AA474</f>
        <v>96000</v>
      </c>
      <c r="N526" s="89"/>
      <c r="O526" s="89"/>
      <c r="P526" s="89"/>
      <c r="U526" s="92"/>
      <c r="V526" s="113"/>
      <c r="W526" s="113"/>
      <c r="X526" s="113"/>
      <c r="Y526" s="113"/>
      <c r="Z526" s="92"/>
      <c r="AA526" s="92"/>
      <c r="AB526" s="92"/>
      <c r="AC526" s="164"/>
      <c r="AD526" s="164"/>
      <c r="AE526" s="164"/>
      <c r="AF526" s="164"/>
      <c r="AG526" s="92"/>
      <c r="AH526" s="92"/>
      <c r="AI526" s="92"/>
      <c r="AJ526" s="92"/>
      <c r="AM526" s="92"/>
      <c r="AN526" s="92"/>
      <c r="AO526" s="92"/>
      <c r="AW526" s="8"/>
      <c r="AY526" s="18"/>
    </row>
    <row r="527" ht="24.75" customHeight="1">
      <c r="C527" s="5" t="s">
        <v>239</v>
      </c>
    </row>
    <row r="528" spans="4:28" ht="24.75" customHeight="1">
      <c r="D528" s="92" t="s">
        <v>188</v>
      </c>
      <c r="E528" s="106"/>
      <c r="F528" s="106"/>
      <c r="G528" s="106"/>
      <c r="H528" s="106"/>
      <c r="I528" s="106"/>
      <c r="J528" s="106"/>
      <c r="K528" s="132">
        <f>+J525</f>
        <v>14</v>
      </c>
      <c r="L528" s="132"/>
      <c r="M528" s="19" t="s">
        <v>41</v>
      </c>
      <c r="N528" s="132">
        <f>+M525</f>
        <v>150</v>
      </c>
      <c r="O528" s="132"/>
      <c r="P528" s="132"/>
      <c r="Q528" s="19" t="s">
        <v>41</v>
      </c>
      <c r="R528" s="105">
        <f>+Q525</f>
        <v>118.40000000025</v>
      </c>
      <c r="S528" s="105"/>
      <c r="T528" s="105"/>
      <c r="U528" s="105"/>
      <c r="V528" s="92" t="s">
        <v>34</v>
      </c>
      <c r="W528" s="89">
        <f>+K528*N528*R528/N529</f>
        <v>1575</v>
      </c>
      <c r="X528" s="89"/>
      <c r="Y528" s="89"/>
      <c r="Z528" s="89"/>
      <c r="AA528" s="103" t="s">
        <v>101</v>
      </c>
      <c r="AB528" s="103"/>
    </row>
    <row r="529" spans="4:54" ht="24.75" customHeight="1">
      <c r="D529" s="106"/>
      <c r="E529" s="106"/>
      <c r="F529" s="106"/>
      <c r="G529" s="106"/>
      <c r="H529" s="106"/>
      <c r="I529" s="106"/>
      <c r="J529" s="106"/>
      <c r="N529" s="89">
        <f>Z473</f>
        <v>157.866666667</v>
      </c>
      <c r="O529" s="89"/>
      <c r="P529" s="89"/>
      <c r="Q529" s="89"/>
      <c r="V529" s="92"/>
      <c r="W529" s="89"/>
      <c r="X529" s="89"/>
      <c r="Y529" s="89"/>
      <c r="Z529" s="89"/>
      <c r="AA529" s="103"/>
      <c r="AB529" s="103"/>
      <c r="AX529" s="23"/>
      <c r="AZ529" s="23"/>
      <c r="BB529" s="23"/>
    </row>
    <row r="530" spans="4:54" ht="24.75" customHeight="1">
      <c r="D530" s="5" t="s">
        <v>240</v>
      </c>
      <c r="I530" s="165">
        <v>2</v>
      </c>
      <c r="J530" s="165"/>
      <c r="K530" s="165"/>
      <c r="L530" s="126">
        <v>80</v>
      </c>
      <c r="M530" s="126"/>
      <c r="N530" s="126"/>
      <c r="O530" s="92">
        <v>9</v>
      </c>
      <c r="P530" s="92"/>
      <c r="Q530" s="127">
        <v>780</v>
      </c>
      <c r="R530" s="127"/>
      <c r="S530" s="127"/>
      <c r="T530" s="127"/>
      <c r="U530" s="5" t="s">
        <v>31</v>
      </c>
      <c r="W530" s="89">
        <f>+L530*O530*I530</f>
        <v>1440</v>
      </c>
      <c r="X530" s="89"/>
      <c r="Y530" s="89"/>
      <c r="Z530" s="89"/>
      <c r="AA530" s="5" t="s">
        <v>101</v>
      </c>
      <c r="AD530" s="5" t="str">
        <f>IF(W530&gt;=W528,"O.K.","N.G.")</f>
        <v>N.G.</v>
      </c>
      <c r="AT530" s="4"/>
      <c r="BB530" s="8"/>
    </row>
    <row r="532" spans="2:15" ht="24.75" customHeight="1">
      <c r="B532" s="5" t="s">
        <v>1</v>
      </c>
      <c r="I532" s="92" t="str">
        <f>IF(O468&gt;0,"(下フランジ)","(上フランジ)")</f>
        <v>(下フランジ)</v>
      </c>
      <c r="J532" s="92"/>
      <c r="K532" s="92"/>
      <c r="L532" s="92"/>
      <c r="M532" s="92"/>
      <c r="N532" s="92"/>
      <c r="O532" s="5" t="s">
        <v>249</v>
      </c>
    </row>
    <row r="533" spans="3:10" ht="24.75" customHeight="1">
      <c r="C533" s="5" t="s">
        <v>115</v>
      </c>
      <c r="E533" s="131">
        <f>IF(O468&gt;0,ABS(O472),ABS(O471))</f>
        <v>78.174769683</v>
      </c>
      <c r="F533" s="131"/>
      <c r="G533" s="131"/>
      <c r="H533" s="131"/>
      <c r="I533" s="131"/>
      <c r="J533" s="5" t="s">
        <v>218</v>
      </c>
    </row>
    <row r="534" spans="3:22" ht="24.75" customHeight="1">
      <c r="C534" s="5" t="s">
        <v>116</v>
      </c>
      <c r="E534" s="130">
        <f>+E478</f>
        <v>0.75</v>
      </c>
      <c r="F534" s="130"/>
      <c r="G534" s="130"/>
      <c r="H534" s="130"/>
      <c r="I534" s="5" t="s">
        <v>41</v>
      </c>
      <c r="J534" s="102">
        <f>O473</f>
        <v>210</v>
      </c>
      <c r="K534" s="102"/>
      <c r="L534" s="102"/>
      <c r="M534" s="5" t="s">
        <v>34</v>
      </c>
      <c r="N534" s="89">
        <f>+E534*J534</f>
        <v>157.5</v>
      </c>
      <c r="O534" s="89"/>
      <c r="P534" s="89"/>
      <c r="Q534" s="89"/>
      <c r="R534" s="5" t="str">
        <f>+J533</f>
        <v>N/㎟</v>
      </c>
      <c r="T534" s="10"/>
      <c r="U534" s="11"/>
      <c r="V534" s="12" t="s">
        <v>178</v>
      </c>
    </row>
    <row r="535" spans="3:20" ht="24.75" customHeight="1">
      <c r="C535" s="5" t="s">
        <v>247</v>
      </c>
      <c r="L535" s="5" t="str">
        <f>IF(O468&gt;0,"σl","σu")</f>
        <v>σl</v>
      </c>
      <c r="N535" s="5" t="s">
        <v>179</v>
      </c>
      <c r="P535" s="89">
        <f>+MAX(E533,N534)</f>
        <v>157.5</v>
      </c>
      <c r="Q535" s="89"/>
      <c r="R535" s="89"/>
      <c r="S535" s="89"/>
      <c r="T535" s="5" t="s">
        <v>222</v>
      </c>
    </row>
    <row r="537" ht="24.75" customHeight="1">
      <c r="G537" s="9"/>
    </row>
    <row r="538" spans="7:42" ht="24.75" customHeight="1">
      <c r="G538" s="9"/>
      <c r="AH538" s="5" t="s">
        <v>180</v>
      </c>
      <c r="AM538" s="163">
        <v>12</v>
      </c>
      <c r="AN538" s="163"/>
      <c r="AO538" s="163"/>
      <c r="AP538" s="5" t="s">
        <v>84</v>
      </c>
    </row>
    <row r="539" spans="7:42" ht="24.75" customHeight="1">
      <c r="G539" s="9"/>
      <c r="AH539" s="5" t="s">
        <v>217</v>
      </c>
      <c r="AM539" s="163">
        <v>2340</v>
      </c>
      <c r="AN539" s="163"/>
      <c r="AO539" s="163"/>
      <c r="AP539" s="5" t="s">
        <v>84</v>
      </c>
    </row>
    <row r="540" spans="34:43" ht="24.75" customHeight="1">
      <c r="AH540" s="5" t="s">
        <v>210</v>
      </c>
      <c r="AO540" s="163">
        <v>120</v>
      </c>
      <c r="AP540" s="163"/>
      <c r="AQ540" s="5" t="s">
        <v>84</v>
      </c>
    </row>
    <row r="541" spans="34:38" ht="24.75" customHeight="1">
      <c r="AH541" s="5" t="s">
        <v>201</v>
      </c>
      <c r="AL541" s="5" t="s">
        <v>213</v>
      </c>
    </row>
    <row r="542" spans="5:38" ht="24.75" customHeight="1">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row>
    <row r="543" spans="5:38" ht="24.75" customHeight="1">
      <c r="E543" s="34"/>
      <c r="F543" s="34"/>
      <c r="G543" s="14"/>
      <c r="H543" s="14"/>
      <c r="I543" s="14"/>
      <c r="J543" s="13"/>
      <c r="K543" s="13"/>
      <c r="L543" s="13"/>
      <c r="M543" s="14"/>
      <c r="N543" s="16"/>
      <c r="O543" s="16"/>
      <c r="P543" s="16"/>
      <c r="Q543" s="14"/>
      <c r="R543" s="16"/>
      <c r="S543" s="16"/>
      <c r="T543" s="16"/>
      <c r="U543" s="16"/>
      <c r="V543" s="13"/>
      <c r="W543" s="35"/>
      <c r="X543" s="35"/>
      <c r="Y543" s="35"/>
      <c r="Z543" s="35"/>
      <c r="AA543" s="13"/>
      <c r="AB543" s="13"/>
      <c r="AC543" s="13"/>
      <c r="AD543" s="168"/>
      <c r="AE543" s="168"/>
      <c r="AF543" s="168"/>
      <c r="AG543" s="168"/>
      <c r="AH543" s="13"/>
      <c r="AI543" s="13"/>
      <c r="AJ543" s="13"/>
      <c r="AK543" s="13"/>
      <c r="AL543" s="14"/>
    </row>
    <row r="544" spans="5:38" ht="24.75" customHeight="1">
      <c r="E544" s="34"/>
      <c r="F544" s="34"/>
      <c r="G544" s="13"/>
      <c r="H544" s="13"/>
      <c r="I544" s="13"/>
      <c r="J544" s="13"/>
      <c r="K544" s="14"/>
      <c r="L544" s="14"/>
      <c r="M544" s="14"/>
      <c r="N544" s="16"/>
      <c r="O544" s="16"/>
      <c r="P544" s="16"/>
      <c r="Q544" s="16"/>
      <c r="R544" s="14"/>
      <c r="S544" s="14"/>
      <c r="T544" s="14"/>
      <c r="U544" s="14"/>
      <c r="V544" s="13"/>
      <c r="W544" s="35"/>
      <c r="X544" s="35"/>
      <c r="Y544" s="35"/>
      <c r="Z544" s="35"/>
      <c r="AA544" s="13"/>
      <c r="AB544" s="13"/>
      <c r="AC544" s="13"/>
      <c r="AD544" s="168"/>
      <c r="AE544" s="168"/>
      <c r="AF544" s="168"/>
      <c r="AG544" s="168"/>
      <c r="AH544" s="13"/>
      <c r="AI544" s="13"/>
      <c r="AJ544" s="13"/>
      <c r="AK544" s="13"/>
      <c r="AL544" s="14"/>
    </row>
    <row r="545" spans="5:38" ht="24.75" customHeight="1">
      <c r="E545" s="13"/>
      <c r="F545" s="34"/>
      <c r="G545" s="34"/>
      <c r="H545" s="34"/>
      <c r="I545" s="34"/>
      <c r="J545" s="34"/>
      <c r="K545" s="34"/>
      <c r="L545" s="16"/>
      <c r="M545" s="16"/>
      <c r="N545" s="14"/>
      <c r="O545" s="16"/>
      <c r="P545" s="16"/>
      <c r="Q545" s="16"/>
      <c r="R545" s="14"/>
      <c r="S545" s="16"/>
      <c r="T545" s="16"/>
      <c r="U545" s="16"/>
      <c r="V545" s="16"/>
      <c r="W545" s="13"/>
      <c r="X545" s="16"/>
      <c r="Y545" s="16"/>
      <c r="Z545" s="16"/>
      <c r="AA545" s="16"/>
      <c r="AB545" s="36"/>
      <c r="AC545" s="36"/>
      <c r="AD545" s="14"/>
      <c r="AE545" s="14"/>
      <c r="AF545" s="14"/>
      <c r="AG545" s="14"/>
      <c r="AH545" s="14"/>
      <c r="AI545" s="14"/>
      <c r="AJ545" s="14"/>
      <c r="AK545" s="14"/>
      <c r="AL545" s="14"/>
    </row>
    <row r="546" spans="7:30" ht="24.75" customHeight="1">
      <c r="G546" s="34"/>
      <c r="H546" s="34"/>
      <c r="I546" s="34"/>
      <c r="J546" s="34"/>
      <c r="K546" s="34"/>
      <c r="L546" s="14"/>
      <c r="M546" s="14"/>
      <c r="N546" s="14"/>
      <c r="O546" s="16"/>
      <c r="P546" s="16"/>
      <c r="Q546" s="16"/>
      <c r="R546" s="16"/>
      <c r="S546" s="14"/>
      <c r="T546" s="14"/>
      <c r="U546" s="14"/>
      <c r="V546" s="14"/>
      <c r="W546" s="13"/>
      <c r="X546" s="16"/>
      <c r="Y546" s="16"/>
      <c r="Z546" s="16"/>
      <c r="AA546" s="16"/>
      <c r="AB546" s="36"/>
      <c r="AC546" s="36"/>
      <c r="AD546" s="14"/>
    </row>
    <row r="547" ht="24.75" customHeight="1">
      <c r="C547" s="5" t="s">
        <v>181</v>
      </c>
    </row>
    <row r="548" ht="24.75" customHeight="1">
      <c r="D548" s="5" t="s">
        <v>2</v>
      </c>
    </row>
    <row r="549" spans="4:38" ht="24.75" customHeight="1">
      <c r="D549" s="5" t="s">
        <v>3</v>
      </c>
      <c r="S549" s="5" t="s">
        <v>190</v>
      </c>
      <c r="AB549" s="150">
        <v>26.5</v>
      </c>
      <c r="AC549" s="150"/>
      <c r="AD549" s="150"/>
      <c r="AE549" s="5" t="s">
        <v>191</v>
      </c>
      <c r="AK549" s="169">
        <v>2</v>
      </c>
      <c r="AL549" s="5" t="s">
        <v>203</v>
      </c>
    </row>
    <row r="550" spans="5:71" ht="24.75" customHeight="1">
      <c r="E550" s="37" t="str">
        <f>IF(AW550=1,"Ar = ( "&amp;AB549&amp;" + "&amp;ROUND(AB549-(BA550^2/4/BG550),3)&amp;" ) × "&amp;AB597&amp;" = ","Ar = "&amp;AB549&amp;"× "&amp;BR550&amp;"本 ×"&amp;AB597&amp;" = ")</f>
        <v>Ar = 26.5× 1本 ×14 = </v>
      </c>
      <c r="F550" s="34"/>
      <c r="R550" s="128">
        <f>IF(AW550=1,(AB549+(AB549-(BA550^2/4/BG550)))*AB597,AB549*BR550*AB597)</f>
        <v>371</v>
      </c>
      <c r="S550" s="128"/>
      <c r="T550" s="128"/>
      <c r="U550" s="128"/>
      <c r="V550" s="128"/>
      <c r="W550" s="5">
        <f>IF(AW550=1,"∵ w = d - p2/4g = "&amp;AB549&amp;" - "&amp;BA550&amp;"²/ ( 4 × "&amp;BG550&amp;" ) = "&amp;ROUND(AB549-(BA550^2/4/BG550),3)&amp;" mm","")</f>
      </c>
      <c r="Y550" s="38"/>
      <c r="Z550" s="39"/>
      <c r="AA550" s="39"/>
      <c r="AB550" s="39"/>
      <c r="AD550" s="40"/>
      <c r="AE550" s="40"/>
      <c r="AF550" s="40"/>
      <c r="AG550" s="18"/>
      <c r="AI550" s="28"/>
      <c r="AJ550" s="28"/>
      <c r="AL550" s="41"/>
      <c r="AM550" s="41"/>
      <c r="AN550" s="41"/>
      <c r="AP550" s="13"/>
      <c r="AU550" s="5" t="s">
        <v>154</v>
      </c>
      <c r="AW550" s="169">
        <v>0</v>
      </c>
      <c r="AX550" s="5" t="s">
        <v>155</v>
      </c>
      <c r="AY550" s="5" t="s">
        <v>141</v>
      </c>
      <c r="BA550" s="163">
        <v>75</v>
      </c>
      <c r="BB550" s="163"/>
      <c r="BC550" s="163"/>
      <c r="BD550" s="5" t="s">
        <v>155</v>
      </c>
      <c r="BE550" s="5" t="s">
        <v>142</v>
      </c>
      <c r="BG550" s="163">
        <v>0</v>
      </c>
      <c r="BH550" s="163"/>
      <c r="BI550" s="163"/>
      <c r="BJ550" s="5" t="s">
        <v>155</v>
      </c>
      <c r="BK550" s="5" t="s">
        <v>254</v>
      </c>
      <c r="BR550" s="169">
        <v>1</v>
      </c>
      <c r="BS550" s="5" t="s">
        <v>204</v>
      </c>
    </row>
    <row r="551" spans="4:45" ht="24.75" customHeight="1">
      <c r="D551" s="5" t="s">
        <v>182</v>
      </c>
      <c r="I551" s="5" t="str">
        <f>IF(O468&gt;0,"(As＋Ar×"&amp;AK549&amp;")σs＋2 Pfwl","(As＋Ar×"&amp;AK549&amp;")σs＋2 Pfwu")</f>
        <v>(As＋Ar×2)σs＋2 Pfwl</v>
      </c>
      <c r="R551" s="5" t="s">
        <v>89</v>
      </c>
      <c r="S551" s="5" t="s">
        <v>87</v>
      </c>
      <c r="T551" s="42">
        <f>AM538*AM539</f>
        <v>28080</v>
      </c>
      <c r="U551" s="42"/>
      <c r="V551" s="43"/>
      <c r="W551" s="43" t="s">
        <v>143</v>
      </c>
      <c r="X551" s="39">
        <f>R550*AK549</f>
        <v>742</v>
      </c>
      <c r="Y551" s="39"/>
      <c r="Z551" s="39"/>
      <c r="AA551" s="5" t="s">
        <v>144</v>
      </c>
      <c r="AB551" s="14" t="s">
        <v>137</v>
      </c>
      <c r="AC551" s="108">
        <f>P535</f>
        <v>157.5</v>
      </c>
      <c r="AD551" s="108"/>
      <c r="AE551" s="108"/>
      <c r="AF551" s="14" t="s">
        <v>143</v>
      </c>
      <c r="AG551" s="95">
        <f>IF(O468&gt;0,AD651,AD634)</f>
        <v>49145.00040268416</v>
      </c>
      <c r="AH551" s="95"/>
      <c r="AI551" s="95"/>
      <c r="AJ551" s="95"/>
      <c r="AK551" s="14" t="s">
        <v>138</v>
      </c>
      <c r="AL551" s="14"/>
      <c r="AM551" s="5" t="s">
        <v>89</v>
      </c>
      <c r="AN551" s="129">
        <f>(T551+X551)*AC551+AG551*2</f>
        <v>4637755.000805369</v>
      </c>
      <c r="AO551" s="129"/>
      <c r="AP551" s="129"/>
      <c r="AQ551" s="129"/>
      <c r="AR551" s="129"/>
      <c r="AS551" s="129"/>
    </row>
    <row r="552" spans="9:31" ht="24.75" customHeight="1">
      <c r="I552" s="5" t="s">
        <v>200</v>
      </c>
      <c r="V552" s="5" t="str">
        <f>IF(O468&gt;0,"Pfwl","Pfwu")</f>
        <v>Pfwl</v>
      </c>
      <c r="X552" s="14" t="s">
        <v>183</v>
      </c>
      <c r="Y552" s="14"/>
      <c r="AA552" s="6"/>
      <c r="AB552" s="6"/>
      <c r="AC552" s="6"/>
      <c r="AD552" s="6"/>
      <c r="AE552" s="6"/>
    </row>
    <row r="553" spans="4:41" ht="24.75" customHeight="1">
      <c r="D553" s="5" t="s">
        <v>151</v>
      </c>
      <c r="F553" s="14" t="s">
        <v>152</v>
      </c>
      <c r="J553" s="5" t="s">
        <v>89</v>
      </c>
      <c r="K553" s="102">
        <f>AN551</f>
        <v>4637755.000805369</v>
      </c>
      <c r="L553" s="102"/>
      <c r="M553" s="102"/>
      <c r="N553" s="102"/>
      <c r="O553" s="102"/>
      <c r="P553" s="102"/>
      <c r="Q553" s="17" t="s">
        <v>88</v>
      </c>
      <c r="R553" s="89">
        <f>AA474</f>
        <v>96000</v>
      </c>
      <c r="S553" s="89"/>
      <c r="T553" s="89"/>
      <c r="U553" s="89"/>
      <c r="V553" s="8" t="s">
        <v>89</v>
      </c>
      <c r="W553" s="113">
        <f>ROUND(K553/R553,1)</f>
        <v>48.3</v>
      </c>
      <c r="X553" s="113"/>
      <c r="Y553" s="113"/>
      <c r="Z553" s="113"/>
      <c r="AA553" s="92" t="s">
        <v>43</v>
      </c>
      <c r="AB553" s="92"/>
      <c r="AC553" s="6"/>
      <c r="AD553" s="6"/>
      <c r="AE553" s="164">
        <v>83</v>
      </c>
      <c r="AF553" s="164"/>
      <c r="AG553" s="164"/>
      <c r="AH553" s="164"/>
      <c r="AI553" s="92" t="s">
        <v>5</v>
      </c>
      <c r="AJ553" s="92"/>
      <c r="AK553" s="92"/>
      <c r="AL553" s="92"/>
      <c r="AM553" s="92"/>
      <c r="AO553" s="5" t="str">
        <f>IF(W553&lt;=AE553,"O.K.","N.G.")</f>
        <v>O.K.</v>
      </c>
    </row>
    <row r="554" ht="24.75" customHeight="1">
      <c r="C554" s="5" t="s">
        <v>239</v>
      </c>
    </row>
    <row r="555" spans="4:34" ht="24.75" customHeight="1">
      <c r="D555" s="18" t="s">
        <v>194</v>
      </c>
      <c r="E555" s="18"/>
      <c r="F555" s="18"/>
      <c r="G555" s="18"/>
      <c r="H555" s="18"/>
      <c r="I555" s="18"/>
      <c r="J555" s="18"/>
      <c r="P555" s="15"/>
      <c r="Q555" s="102">
        <f>AN551</f>
        <v>4637755.000805369</v>
      </c>
      <c r="R555" s="102"/>
      <c r="S555" s="102"/>
      <c r="T555" s="102"/>
      <c r="U555" s="102"/>
      <c r="V555" s="102"/>
      <c r="W555" s="17" t="s">
        <v>88</v>
      </c>
      <c r="X555" s="108">
        <f>O473</f>
        <v>210</v>
      </c>
      <c r="Y555" s="108"/>
      <c r="Z555" s="108"/>
      <c r="AA555" s="108"/>
      <c r="AB555" s="8" t="s">
        <v>34</v>
      </c>
      <c r="AC555" s="89">
        <f>Q555/X555</f>
        <v>22084.547622882706</v>
      </c>
      <c r="AD555" s="89"/>
      <c r="AE555" s="89"/>
      <c r="AF555" s="89"/>
      <c r="AG555" s="92" t="s">
        <v>101</v>
      </c>
      <c r="AH555" s="92"/>
    </row>
    <row r="556" spans="4:27" ht="24.75" customHeight="1">
      <c r="D556" s="5" t="s">
        <v>240</v>
      </c>
      <c r="I556" s="165">
        <v>2</v>
      </c>
      <c r="J556" s="165"/>
      <c r="K556" s="165"/>
      <c r="L556" s="126">
        <v>80</v>
      </c>
      <c r="M556" s="126"/>
      <c r="N556" s="126"/>
      <c r="O556" s="163">
        <v>9</v>
      </c>
      <c r="P556" s="163"/>
      <c r="Q556" s="127">
        <v>630</v>
      </c>
      <c r="R556" s="127"/>
      <c r="S556" s="127"/>
      <c r="T556" s="127"/>
      <c r="U556" s="5" t="s">
        <v>31</v>
      </c>
      <c r="W556" s="89">
        <f>+L556*O556*I556</f>
        <v>1440</v>
      </c>
      <c r="X556" s="89"/>
      <c r="Y556" s="89"/>
      <c r="Z556" s="89"/>
      <c r="AA556" s="5" t="s">
        <v>101</v>
      </c>
    </row>
    <row r="557" spans="9:27" ht="24.75" customHeight="1">
      <c r="I557" s="165">
        <v>3</v>
      </c>
      <c r="J557" s="165"/>
      <c r="K557" s="165"/>
      <c r="L557" s="126">
        <v>280</v>
      </c>
      <c r="M557" s="126"/>
      <c r="N557" s="126"/>
      <c r="O557" s="163">
        <v>9</v>
      </c>
      <c r="P557" s="163"/>
      <c r="Q557" s="127">
        <f>Q556</f>
        <v>630</v>
      </c>
      <c r="R557" s="127"/>
      <c r="S557" s="127"/>
      <c r="T557" s="127"/>
      <c r="U557" s="5" t="s">
        <v>31</v>
      </c>
      <c r="W557" s="89">
        <f>+L557*O557*I557</f>
        <v>7560</v>
      </c>
      <c r="X557" s="89"/>
      <c r="Y557" s="89"/>
      <c r="Z557" s="89"/>
      <c r="AA557" s="5" t="s">
        <v>101</v>
      </c>
    </row>
    <row r="558" spans="9:28" ht="24.75" customHeight="1">
      <c r="I558" s="165">
        <v>1</v>
      </c>
      <c r="J558" s="165"/>
      <c r="K558" s="165"/>
      <c r="L558" s="126">
        <f>+AM539-10</f>
        <v>2330</v>
      </c>
      <c r="M558" s="126"/>
      <c r="N558" s="126"/>
      <c r="O558" s="163">
        <v>9</v>
      </c>
      <c r="P558" s="163"/>
      <c r="Q558" s="127">
        <f>Q557</f>
        <v>630</v>
      </c>
      <c r="R558" s="127"/>
      <c r="S558" s="127"/>
      <c r="T558" s="127"/>
      <c r="U558" s="19" t="s">
        <v>31</v>
      </c>
      <c r="V558" s="19"/>
      <c r="W558" s="105">
        <f>+L558*O558*I558</f>
        <v>20970</v>
      </c>
      <c r="X558" s="105"/>
      <c r="Y558" s="105"/>
      <c r="Z558" s="105"/>
      <c r="AA558" s="19" t="s">
        <v>101</v>
      </c>
      <c r="AB558" s="19"/>
    </row>
    <row r="559" spans="21:27" ht="24.75" customHeight="1">
      <c r="U559" s="5" t="s">
        <v>32</v>
      </c>
      <c r="W559" s="89">
        <f>+SUM(W556:W558)</f>
        <v>29970</v>
      </c>
      <c r="X559" s="89"/>
      <c r="Y559" s="89"/>
      <c r="Z559" s="89"/>
      <c r="AA559" s="5" t="s">
        <v>101</v>
      </c>
    </row>
    <row r="560" ht="24.75" customHeight="1">
      <c r="D560" s="5" t="s">
        <v>242</v>
      </c>
    </row>
    <row r="561" spans="5:65" ht="24.75" customHeight="1">
      <c r="E561" s="5" t="s">
        <v>156</v>
      </c>
      <c r="H561" s="5" t="s">
        <v>87</v>
      </c>
      <c r="I561" s="124">
        <f>+W559</f>
        <v>29970</v>
      </c>
      <c r="J561" s="124"/>
      <c r="K561" s="124"/>
      <c r="L561" s="5" t="s">
        <v>46</v>
      </c>
      <c r="M561" s="89">
        <f>+(+H474+3)</f>
        <v>25</v>
      </c>
      <c r="N561" s="89"/>
      <c r="O561" s="89"/>
      <c r="P561" s="5" t="s">
        <v>41</v>
      </c>
      <c r="Q561" s="89">
        <f>O557</f>
        <v>9</v>
      </c>
      <c r="R561" s="89"/>
      <c r="S561" s="89"/>
      <c r="T561" s="5" t="s">
        <v>41</v>
      </c>
      <c r="U561" s="125">
        <f>BA561</f>
        <v>14</v>
      </c>
      <c r="V561" s="125"/>
      <c r="W561" s="125"/>
      <c r="X561" s="5" t="s">
        <v>41</v>
      </c>
      <c r="Y561" s="122">
        <v>2</v>
      </c>
      <c r="Z561" s="122"/>
      <c r="AA561" s="122"/>
      <c r="AB561" s="5" t="s">
        <v>140</v>
      </c>
      <c r="AC561" s="80">
        <f>IF(AW550=1,ROUND((AB549+(AB549-(BA550^2/4/BG550)))*AB597,2),ROUND(AB549*BR550*AB597,2))</f>
        <v>371</v>
      </c>
      <c r="AD561" s="80"/>
      <c r="AE561" s="80"/>
      <c r="AF561" s="5" t="s">
        <v>41</v>
      </c>
      <c r="AG561" s="122">
        <f>AK549</f>
        <v>2</v>
      </c>
      <c r="AH561" s="122"/>
      <c r="AI561" s="122"/>
      <c r="AJ561" s="5" t="s">
        <v>139</v>
      </c>
      <c r="AO561" s="5" t="str">
        <f>IF(BA561=BJ561,"","( 第1列 )")</f>
        <v>( 第1列 )</v>
      </c>
      <c r="AU561" s="5" t="s">
        <v>255</v>
      </c>
      <c r="BA561" s="163">
        <v>14</v>
      </c>
      <c r="BB561" s="163"/>
      <c r="BD561" s="5" t="s">
        <v>256</v>
      </c>
      <c r="BJ561" s="163">
        <v>23</v>
      </c>
      <c r="BK561" s="163"/>
      <c r="BM561" s="1"/>
    </row>
    <row r="562" spans="3:24" ht="24.75" customHeight="1">
      <c r="C562" s="44"/>
      <c r="E562" s="44"/>
      <c r="G562" s="5" t="s">
        <v>34</v>
      </c>
      <c r="H562" s="89">
        <f>(I561-M561*Q561*U561*Y561-AC561*AG561)*1.1</f>
        <v>25220.800000000003</v>
      </c>
      <c r="I562" s="89"/>
      <c r="J562" s="89"/>
      <c r="K562" s="89"/>
      <c r="L562" s="5" t="str">
        <f>IF(H562&gt;AC555,"mm²  ＞  Asreq'd =","cm² ＜  Asreq'd =")</f>
        <v>mm²  ＞  Asreq'd =</v>
      </c>
      <c r="T562" s="89">
        <f>AC555</f>
        <v>22084.547622882706</v>
      </c>
      <c r="U562" s="89"/>
      <c r="V562" s="89"/>
      <c r="W562" s="89"/>
      <c r="X562" s="5" t="str">
        <f>IF(H562&gt;AC555,"mm²  O.K","mm²  N.G")</f>
        <v>mm²  O.K</v>
      </c>
    </row>
    <row r="563" spans="3:40" ht="24.75" customHeight="1">
      <c r="C563" s="44"/>
      <c r="D563" s="4" t="s">
        <v>243</v>
      </c>
      <c r="E563" s="4"/>
      <c r="F563" s="4"/>
      <c r="G563" s="4"/>
      <c r="H563" s="4"/>
      <c r="I563" s="4"/>
      <c r="J563" s="4"/>
      <c r="K563" s="4"/>
      <c r="P563" s="5" t="s">
        <v>89</v>
      </c>
      <c r="Q563" s="102">
        <f>AN551</f>
        <v>4637755.000805369</v>
      </c>
      <c r="R563" s="102"/>
      <c r="S563" s="102"/>
      <c r="T563" s="102"/>
      <c r="U563" s="102"/>
      <c r="V563" s="102"/>
      <c r="W563" s="17" t="s">
        <v>88</v>
      </c>
      <c r="X563" s="89">
        <f>H562</f>
        <v>25220.800000000003</v>
      </c>
      <c r="Y563" s="89"/>
      <c r="Z563" s="89"/>
      <c r="AA563" s="89"/>
      <c r="AB563" s="8" t="s">
        <v>34</v>
      </c>
      <c r="AC563" s="116">
        <f>Q563/X563</f>
        <v>183.88611783945663</v>
      </c>
      <c r="AD563" s="116"/>
      <c r="AE563" s="116"/>
      <c r="AF563" s="116"/>
      <c r="AG563" s="18" t="str">
        <f>IF(AC563&gt;O473,"N/㎟ ＞  σta ,  N.G","N/㎟ ＜  σta ,  O.K")</f>
        <v>N/㎟ ＜  σta ,  O.K</v>
      </c>
      <c r="AH563" s="18"/>
      <c r="AI563" s="18"/>
      <c r="AJ563" s="18"/>
      <c r="AK563" s="18"/>
      <c r="AL563" s="18"/>
      <c r="AM563" s="18"/>
      <c r="AN563" s="18"/>
    </row>
    <row r="564" spans="5:41" ht="24.75" customHeight="1">
      <c r="E564" s="5" t="s">
        <v>157</v>
      </c>
      <c r="H564" s="5" t="s">
        <v>87</v>
      </c>
      <c r="I564" s="124">
        <f>I561</f>
        <v>29970</v>
      </c>
      <c r="J564" s="124"/>
      <c r="K564" s="124"/>
      <c r="L564" s="5" t="s">
        <v>46</v>
      </c>
      <c r="M564" s="89">
        <f>M561</f>
        <v>25</v>
      </c>
      <c r="N564" s="89"/>
      <c r="O564" s="89"/>
      <c r="P564" s="5" t="s">
        <v>41</v>
      </c>
      <c r="Q564" s="89">
        <f>Q561</f>
        <v>9</v>
      </c>
      <c r="R564" s="89"/>
      <c r="S564" s="89"/>
      <c r="T564" s="5" t="s">
        <v>41</v>
      </c>
      <c r="U564" s="125">
        <f>BJ561</f>
        <v>23</v>
      </c>
      <c r="V564" s="125"/>
      <c r="W564" s="125"/>
      <c r="X564" s="5" t="s">
        <v>41</v>
      </c>
      <c r="Y564" s="122">
        <v>2</v>
      </c>
      <c r="Z564" s="122"/>
      <c r="AA564" s="122"/>
      <c r="AB564" s="5" t="s">
        <v>140</v>
      </c>
      <c r="AC564" s="80">
        <f>AC561</f>
        <v>371</v>
      </c>
      <c r="AD564" s="80"/>
      <c r="AE564" s="80"/>
      <c r="AF564" s="5" t="s">
        <v>41</v>
      </c>
      <c r="AG564" s="122">
        <f>AG561</f>
        <v>2</v>
      </c>
      <c r="AH564" s="122"/>
      <c r="AI564" s="122"/>
      <c r="AJ564" s="5" t="s">
        <v>139</v>
      </c>
      <c r="AO564" s="5" t="str">
        <f>IF(BA561=BJ561,"","( 第2列 )")</f>
        <v>( 第2列 )</v>
      </c>
    </row>
    <row r="565" spans="3:12" ht="24.75" customHeight="1">
      <c r="C565" s="44"/>
      <c r="E565" s="44"/>
      <c r="G565" s="5" t="s">
        <v>34</v>
      </c>
      <c r="H565" s="89">
        <f>(I564-M564*Q564*U564*Y564-AC564*AG564)*1.1</f>
        <v>20765.800000000003</v>
      </c>
      <c r="I565" s="89"/>
      <c r="J565" s="89"/>
      <c r="K565" s="89"/>
      <c r="L565" s="5" t="s">
        <v>101</v>
      </c>
    </row>
    <row r="566" spans="3:17" ht="24.75" customHeight="1">
      <c r="C566" s="44"/>
      <c r="D566" s="4" t="s">
        <v>244</v>
      </c>
      <c r="E566" s="4"/>
      <c r="F566" s="4"/>
      <c r="G566" s="4"/>
      <c r="H566" s="4"/>
      <c r="I566" s="4"/>
      <c r="J566" s="4"/>
      <c r="K566" s="4"/>
      <c r="Q566" s="5" t="str">
        <f>"("&amp;AE553&amp;" - "&amp;U561&amp;") / "&amp;AE553</f>
        <v>(83 - 14) / 83</v>
      </c>
    </row>
    <row r="567" spans="3:40" ht="24.75" customHeight="1">
      <c r="C567" s="44"/>
      <c r="D567" s="37"/>
      <c r="E567" s="37"/>
      <c r="F567" s="37"/>
      <c r="G567" s="37"/>
      <c r="H567" s="37"/>
      <c r="I567" s="37"/>
      <c r="J567" s="37"/>
      <c r="K567" s="5" t="s">
        <v>89</v>
      </c>
      <c r="L567" s="102">
        <f>Q563</f>
        <v>4637755.000805369</v>
      </c>
      <c r="M567" s="102"/>
      <c r="N567" s="102"/>
      <c r="O567" s="102"/>
      <c r="P567" s="102"/>
      <c r="Q567" s="102"/>
      <c r="R567" s="17" t="s">
        <v>88</v>
      </c>
      <c r="S567" s="89">
        <f>H565</f>
        <v>20765.800000000003</v>
      </c>
      <c r="T567" s="89"/>
      <c r="U567" s="89"/>
      <c r="V567" s="89"/>
      <c r="W567" s="5" t="s">
        <v>41</v>
      </c>
      <c r="X567" s="123">
        <f>(AE553-U561)/AE553</f>
        <v>0.8313253012048193</v>
      </c>
      <c r="Y567" s="123"/>
      <c r="Z567" s="123"/>
      <c r="AA567" s="8" t="s">
        <v>34</v>
      </c>
      <c r="AB567" s="116">
        <f>L567/S567*X567</f>
        <v>185.66503929339007</v>
      </c>
      <c r="AC567" s="116"/>
      <c r="AD567" s="116"/>
      <c r="AE567" s="116"/>
      <c r="AF567" s="18" t="str">
        <f>IF(AB567&gt;O473,"N/㎟ ＞  σta ,  N.G","N/㎟ ＜  σta ,  O.K")</f>
        <v>N/㎟ ＜  σta ,  O.K</v>
      </c>
      <c r="AG567" s="18"/>
      <c r="AH567" s="18"/>
      <c r="AI567" s="18"/>
      <c r="AJ567" s="18"/>
      <c r="AK567" s="18"/>
      <c r="AL567" s="18"/>
      <c r="AM567" s="18"/>
      <c r="AN567" s="36"/>
    </row>
    <row r="568" spans="3:17" ht="24.75" customHeight="1">
      <c r="C568" s="44"/>
      <c r="D568" s="37"/>
      <c r="E568" s="37"/>
      <c r="F568" s="37"/>
      <c r="G568" s="37"/>
      <c r="H568" s="37"/>
      <c r="I568" s="37"/>
      <c r="J568" s="37"/>
      <c r="L568" s="6"/>
      <c r="M568" s="6"/>
      <c r="N568" s="6"/>
      <c r="O568" s="6"/>
      <c r="P568" s="6"/>
      <c r="Q568" s="17"/>
    </row>
    <row r="569" ht="24.75" customHeight="1">
      <c r="C569" s="5" t="s">
        <v>192</v>
      </c>
    </row>
    <row r="570" ht="24.75" customHeight="1">
      <c r="C570" s="5" t="s">
        <v>193</v>
      </c>
    </row>
    <row r="571" spans="4:37" ht="24.75" customHeight="1">
      <c r="D571" s="4" t="s">
        <v>153</v>
      </c>
      <c r="E571" s="21"/>
      <c r="F571" s="21"/>
      <c r="G571" s="13"/>
      <c r="H571" s="13"/>
      <c r="I571" s="8"/>
      <c r="J571" s="120">
        <f>AN551</f>
        <v>4637755.000805369</v>
      </c>
      <c r="K571" s="120"/>
      <c r="L571" s="120"/>
      <c r="M571" s="120"/>
      <c r="N571" s="120"/>
      <c r="O571" s="120"/>
      <c r="P571" s="46" t="s">
        <v>88</v>
      </c>
      <c r="Q571" s="121">
        <f>AE553</f>
        <v>83</v>
      </c>
      <c r="R571" s="121"/>
      <c r="S571" s="121"/>
      <c r="T571" s="121"/>
      <c r="V571" s="8" t="s">
        <v>34</v>
      </c>
      <c r="W571" s="100">
        <f>J571/Q571</f>
        <v>55876.56627476348</v>
      </c>
      <c r="X571" s="100"/>
      <c r="Y571" s="100"/>
      <c r="Z571" s="100"/>
      <c r="AA571" s="18" t="s">
        <v>202</v>
      </c>
      <c r="AB571" s="8"/>
      <c r="AC571" s="8"/>
      <c r="AD571" s="18" t="str">
        <f>IF(W571&gt;AA474," ＞  ρa    N.G","＜ ρa    O.K")</f>
        <v>＜ ρa    O.K</v>
      </c>
      <c r="AE571" s="8"/>
      <c r="AF571" s="8"/>
      <c r="AG571" s="8"/>
      <c r="AH571" s="8"/>
      <c r="AI571" s="8"/>
      <c r="AJ571" s="8"/>
      <c r="AK571" s="8"/>
    </row>
    <row r="572" spans="4:37" ht="24.75" customHeight="1">
      <c r="D572" s="4"/>
      <c r="E572" s="21"/>
      <c r="F572" s="21"/>
      <c r="G572" s="13"/>
      <c r="H572" s="13"/>
      <c r="I572" s="8"/>
      <c r="J572" s="45"/>
      <c r="K572" s="45"/>
      <c r="L572" s="45"/>
      <c r="M572" s="45"/>
      <c r="N572" s="45"/>
      <c r="O572" s="46"/>
      <c r="P572" s="35"/>
      <c r="Q572" s="35"/>
      <c r="R572" s="35"/>
      <c r="S572" s="35"/>
      <c r="U572" s="8"/>
      <c r="V572" s="22"/>
      <c r="W572" s="22"/>
      <c r="X572" s="22"/>
      <c r="Y572" s="22"/>
      <c r="Z572" s="18"/>
      <c r="AA572" s="8"/>
      <c r="AB572" s="8"/>
      <c r="AC572" s="18"/>
      <c r="AD572" s="8"/>
      <c r="AE572" s="8"/>
      <c r="AF572" s="8"/>
      <c r="AG572" s="8"/>
      <c r="AH572" s="8"/>
      <c r="AI572" s="8"/>
      <c r="AJ572" s="8"/>
      <c r="AK572" s="8"/>
    </row>
    <row r="573" spans="3:38" ht="24.75" customHeight="1">
      <c r="C573" s="5" t="s">
        <v>206</v>
      </c>
      <c r="D573" s="21"/>
      <c r="E573" s="21"/>
      <c r="F573" s="21"/>
      <c r="G573" s="8"/>
      <c r="H573" s="8"/>
      <c r="I573" s="8"/>
      <c r="U573" s="8"/>
      <c r="V573" s="22"/>
      <c r="W573" s="22"/>
      <c r="X573" s="22"/>
      <c r="Y573" s="22"/>
      <c r="Z573" s="22"/>
      <c r="AA573" s="8"/>
      <c r="AB573" s="8"/>
      <c r="AC573" s="8"/>
      <c r="AD573" s="8"/>
      <c r="AE573" s="8"/>
      <c r="AF573" s="8"/>
      <c r="AG573" s="8"/>
      <c r="AH573" s="8"/>
      <c r="AI573" s="8"/>
      <c r="AJ573" s="8"/>
      <c r="AK573" s="8"/>
      <c r="AL573" s="8"/>
    </row>
    <row r="574" spans="4:47" ht="24.75" customHeight="1">
      <c r="D574" s="5" t="s">
        <v>205</v>
      </c>
      <c r="AU574" s="23"/>
    </row>
    <row r="575" spans="5:47" ht="24.75" customHeight="1">
      <c r="E575" s="5" t="s">
        <v>211</v>
      </c>
      <c r="AU575" s="23"/>
    </row>
    <row r="576" ht="24.75" customHeight="1">
      <c r="D576" s="5" t="s">
        <v>7</v>
      </c>
    </row>
    <row r="577" spans="3:36" ht="24.75" customHeight="1">
      <c r="C577" s="106" t="s">
        <v>49</v>
      </c>
      <c r="D577" s="106"/>
      <c r="E577" s="106"/>
      <c r="G577" s="105">
        <f>O470</f>
        <v>520.94349952</v>
      </c>
      <c r="H577" s="105"/>
      <c r="I577" s="105"/>
      <c r="J577" s="19" t="s">
        <v>41</v>
      </c>
      <c r="K577" s="97">
        <v>1000000</v>
      </c>
      <c r="L577" s="97"/>
      <c r="M577" s="97"/>
      <c r="N577" s="97"/>
      <c r="P577" s="106" t="s">
        <v>47</v>
      </c>
      <c r="Q577" s="106"/>
      <c r="R577" s="122">
        <f>Q571</f>
        <v>83</v>
      </c>
      <c r="S577" s="122"/>
      <c r="T577" s="122"/>
      <c r="U577" s="92" t="s">
        <v>34</v>
      </c>
      <c r="V577" s="92"/>
      <c r="W577" s="102">
        <f>ROUND((G577*K577/(I578*K578))/R577,1)</f>
        <v>1426.5</v>
      </c>
      <c r="X577" s="102"/>
      <c r="Y577" s="102"/>
      <c r="Z577" s="102"/>
      <c r="AA577" s="92" t="str">
        <f>IF(W577&gt;AA474,"N/本   ＞ ρa   N.G.","N/本  ＜  ρa   O.K.")</f>
        <v>N/本  ＜  ρa   O.K.</v>
      </c>
      <c r="AB577" s="92"/>
      <c r="AC577" s="92"/>
      <c r="AD577" s="92"/>
      <c r="AE577" s="92"/>
      <c r="AF577" s="92"/>
      <c r="AG577" s="92"/>
      <c r="AH577" s="92"/>
      <c r="AI577" s="92"/>
      <c r="AJ577" s="92"/>
    </row>
    <row r="578" spans="3:36" ht="24.75" customHeight="1">
      <c r="C578" s="106"/>
      <c r="D578" s="106"/>
      <c r="E578" s="106"/>
      <c r="I578" s="8">
        <v>2</v>
      </c>
      <c r="J578" s="14" t="s">
        <v>41</v>
      </c>
      <c r="K578" s="24">
        <f>AM611</f>
        <v>2200</v>
      </c>
      <c r="L578" s="25"/>
      <c r="M578" s="25"/>
      <c r="P578" s="106"/>
      <c r="Q578" s="106"/>
      <c r="R578" s="122"/>
      <c r="S578" s="122"/>
      <c r="T578" s="122"/>
      <c r="U578" s="92"/>
      <c r="V578" s="92"/>
      <c r="W578" s="102"/>
      <c r="X578" s="102"/>
      <c r="Y578" s="102"/>
      <c r="Z578" s="102"/>
      <c r="AA578" s="92"/>
      <c r="AB578" s="92"/>
      <c r="AC578" s="92"/>
      <c r="AD578" s="92"/>
      <c r="AE578" s="92"/>
      <c r="AF578" s="92"/>
      <c r="AG578" s="92"/>
      <c r="AH578" s="92"/>
      <c r="AI578" s="92"/>
      <c r="AJ578" s="92"/>
    </row>
    <row r="580" spans="3:9" ht="24.75" customHeight="1">
      <c r="C580" s="5" t="s">
        <v>212</v>
      </c>
      <c r="I580" s="23"/>
    </row>
    <row r="581" spans="4:31" ht="24.75" customHeight="1">
      <c r="D581" s="5" t="s">
        <v>50</v>
      </c>
      <c r="P581" s="119">
        <f>W571</f>
        <v>55876.56627476348</v>
      </c>
      <c r="Q581" s="119"/>
      <c r="R581" s="119"/>
      <c r="S581" s="119"/>
      <c r="T581" s="5" t="s">
        <v>48</v>
      </c>
      <c r="U581" s="104">
        <f>+W577</f>
        <v>1426.5</v>
      </c>
      <c r="V581" s="104"/>
      <c r="W581" s="104"/>
      <c r="X581" s="104"/>
      <c r="Y581" s="5" t="s">
        <v>33</v>
      </c>
      <c r="AA581" s="100">
        <f>ROUND(SQRT(P581^2+U581^2),1)</f>
        <v>55894.8</v>
      </c>
      <c r="AB581" s="100"/>
      <c r="AC581" s="100"/>
      <c r="AD581" s="100"/>
      <c r="AE581" s="5" t="str">
        <f>IF(AA581&gt;$AA$8,"N/本  ＞  ρa ,  N.G","N/本  ＜  ρa ,  O.K")</f>
        <v>N/本  ＜  ρa ,  O.K</v>
      </c>
    </row>
    <row r="583" spans="3:29" ht="24.75" customHeight="1">
      <c r="C583" s="5" t="s">
        <v>195</v>
      </c>
      <c r="Z583" s="6"/>
      <c r="AA583" s="6"/>
      <c r="AB583" s="6"/>
      <c r="AC583" s="6"/>
    </row>
    <row r="584" spans="4:40" ht="24.75" customHeight="1">
      <c r="D584" s="5" t="s">
        <v>196</v>
      </c>
      <c r="L584" s="5" t="s">
        <v>158</v>
      </c>
      <c r="O584" s="5" t="s">
        <v>87</v>
      </c>
      <c r="P584" s="92">
        <f>AM539</f>
        <v>2340</v>
      </c>
      <c r="Q584" s="92"/>
      <c r="R584" s="92"/>
      <c r="S584" s="8" t="s">
        <v>140</v>
      </c>
      <c r="T584" s="89">
        <f>H474+3</f>
        <v>25</v>
      </c>
      <c r="U584" s="89"/>
      <c r="V584" s="89"/>
      <c r="W584" s="5" t="s">
        <v>137</v>
      </c>
      <c r="X584" s="90">
        <f>U561</f>
        <v>14</v>
      </c>
      <c r="Y584" s="90"/>
      <c r="Z584" s="5" t="s">
        <v>144</v>
      </c>
      <c r="AA584" s="5" t="s">
        <v>41</v>
      </c>
      <c r="AB584" s="90">
        <f>AM538</f>
        <v>12</v>
      </c>
      <c r="AC584" s="90"/>
      <c r="AD584" s="5" t="s">
        <v>41</v>
      </c>
      <c r="AE584" s="92">
        <v>1.1</v>
      </c>
      <c r="AF584" s="92"/>
      <c r="AG584" s="5" t="s">
        <v>89</v>
      </c>
      <c r="AH584" s="102">
        <f>(P584-T584*X584)*AB584*AE584</f>
        <v>26268.000000000004</v>
      </c>
      <c r="AI584" s="102"/>
      <c r="AJ584" s="102"/>
      <c r="AK584" s="102"/>
      <c r="AL584" s="5" t="s">
        <v>101</v>
      </c>
      <c r="AN584" s="5" t="str">
        <f>IF(BA561=BJ561,"","( 第1列 )")</f>
        <v>( 第1列 )</v>
      </c>
    </row>
    <row r="585" spans="12:40" ht="24.75" customHeight="1">
      <c r="L585" s="5" t="s">
        <v>159</v>
      </c>
      <c r="O585" s="5" t="s">
        <v>87</v>
      </c>
      <c r="P585" s="92">
        <f>P584</f>
        <v>2340</v>
      </c>
      <c r="Q585" s="92"/>
      <c r="R585" s="92"/>
      <c r="S585" s="8" t="s">
        <v>140</v>
      </c>
      <c r="T585" s="89">
        <f>T584</f>
        <v>25</v>
      </c>
      <c r="U585" s="89"/>
      <c r="V585" s="89"/>
      <c r="W585" s="5" t="s">
        <v>41</v>
      </c>
      <c r="X585" s="90">
        <f>U564</f>
        <v>23</v>
      </c>
      <c r="Y585" s="90"/>
      <c r="Z585" s="5" t="s">
        <v>144</v>
      </c>
      <c r="AA585" s="5" t="s">
        <v>41</v>
      </c>
      <c r="AB585" s="90">
        <f>AB584</f>
        <v>12</v>
      </c>
      <c r="AC585" s="90"/>
      <c r="AD585" s="5" t="s">
        <v>41</v>
      </c>
      <c r="AE585" s="92">
        <v>1.1</v>
      </c>
      <c r="AF585" s="92"/>
      <c r="AG585" s="5" t="s">
        <v>89</v>
      </c>
      <c r="AH585" s="102">
        <f>(P585-T585*X585)*AB585*AE585</f>
        <v>23298.000000000004</v>
      </c>
      <c r="AI585" s="102"/>
      <c r="AJ585" s="102"/>
      <c r="AK585" s="102"/>
      <c r="AL585" s="5" t="s">
        <v>101</v>
      </c>
      <c r="AN585" s="5" t="str">
        <f>IF(BA561=BJ561,"","( 第2列 )")</f>
        <v>( 第2列 )</v>
      </c>
    </row>
    <row r="586" spans="4:38" ht="24.75" customHeight="1">
      <c r="D586" s="5" t="s">
        <v>198</v>
      </c>
      <c r="L586" s="5" t="s">
        <v>160</v>
      </c>
      <c r="O586" s="5" t="s">
        <v>87</v>
      </c>
      <c r="P586" s="92">
        <f>AB596</f>
        <v>150</v>
      </c>
      <c r="Q586" s="92"/>
      <c r="R586" s="92"/>
      <c r="S586" s="5" t="s">
        <v>41</v>
      </c>
      <c r="T586" s="90">
        <f>AB597</f>
        <v>14</v>
      </c>
      <c r="U586" s="90"/>
      <c r="V586" s="5" t="s">
        <v>140</v>
      </c>
      <c r="W586" s="112">
        <f>R550</f>
        <v>371</v>
      </c>
      <c r="X586" s="112"/>
      <c r="Y586" s="112"/>
      <c r="Z586" s="5" t="s">
        <v>144</v>
      </c>
      <c r="AA586" s="5" t="s">
        <v>41</v>
      </c>
      <c r="AB586" s="90">
        <f>AK549</f>
        <v>2</v>
      </c>
      <c r="AC586" s="90"/>
      <c r="AD586" s="5" t="s">
        <v>41</v>
      </c>
      <c r="AE586" s="92">
        <v>1.1</v>
      </c>
      <c r="AF586" s="92"/>
      <c r="AG586" s="5" t="s">
        <v>89</v>
      </c>
      <c r="AH586" s="102">
        <f>(P586*T586-W586)*AB586*AE586</f>
        <v>3803.8</v>
      </c>
      <c r="AI586" s="102"/>
      <c r="AJ586" s="102"/>
      <c r="AK586" s="102"/>
      <c r="AL586" s="5" t="s">
        <v>101</v>
      </c>
    </row>
    <row r="587" spans="4:43" ht="24.75" customHeight="1">
      <c r="D587" s="19" t="s">
        <v>21</v>
      </c>
      <c r="E587" s="19"/>
      <c r="F587" s="19"/>
      <c r="G587" s="19"/>
      <c r="H587" s="19"/>
      <c r="I587" s="19"/>
      <c r="J587" s="19"/>
      <c r="K587" s="19"/>
      <c r="L587" s="19" t="s">
        <v>161</v>
      </c>
      <c r="M587" s="19"/>
      <c r="N587" s="19"/>
      <c r="O587" s="19" t="s">
        <v>87</v>
      </c>
      <c r="P587" s="97">
        <f>L627/2</f>
        <v>13.13846339</v>
      </c>
      <c r="Q587" s="97"/>
      <c r="R587" s="97"/>
      <c r="S587" s="19" t="s">
        <v>41</v>
      </c>
      <c r="T587" s="117">
        <f>AM612</f>
        <v>12</v>
      </c>
      <c r="U587" s="117"/>
      <c r="V587" s="19" t="s">
        <v>144</v>
      </c>
      <c r="W587" s="19" t="s">
        <v>41</v>
      </c>
      <c r="X587" s="19">
        <v>2</v>
      </c>
      <c r="Y587" s="19"/>
      <c r="Z587" s="48"/>
      <c r="AA587" s="48"/>
      <c r="AB587" s="48"/>
      <c r="AC587" s="48"/>
      <c r="AD587" s="19"/>
      <c r="AE587" s="19"/>
      <c r="AF587" s="19"/>
      <c r="AG587" s="19" t="s">
        <v>89</v>
      </c>
      <c r="AH587" s="118">
        <f>P587*T587*X587</f>
        <v>315.32312136</v>
      </c>
      <c r="AI587" s="118"/>
      <c r="AJ587" s="118"/>
      <c r="AK587" s="118"/>
      <c r="AL587" s="19" t="s">
        <v>101</v>
      </c>
      <c r="AM587" s="19"/>
      <c r="AN587" s="19"/>
      <c r="AO587" s="19"/>
      <c r="AP587" s="19"/>
      <c r="AQ587" s="19"/>
    </row>
    <row r="588" spans="20:40" ht="24.75" customHeight="1">
      <c r="T588" s="28"/>
      <c r="U588" s="28"/>
      <c r="AE588" s="5" t="s">
        <v>162</v>
      </c>
      <c r="AH588" s="102">
        <f>AH584+AH586+AH587</f>
        <v>30387.123121360004</v>
      </c>
      <c r="AI588" s="102"/>
      <c r="AJ588" s="102"/>
      <c r="AK588" s="102"/>
      <c r="AL588" s="5" t="s">
        <v>101</v>
      </c>
      <c r="AN588" s="5" t="str">
        <f>IF(BA561=BJ561,"","( 第1列 )")</f>
        <v>( 第1列 )</v>
      </c>
    </row>
    <row r="589" spans="14:40" ht="24.75" customHeight="1">
      <c r="N589" s="6"/>
      <c r="O589" s="6"/>
      <c r="P589" s="6"/>
      <c r="Q589" s="6"/>
      <c r="T589" s="28"/>
      <c r="U589" s="28"/>
      <c r="Z589" s="6"/>
      <c r="AA589" s="6"/>
      <c r="AB589" s="6"/>
      <c r="AC589" s="6"/>
      <c r="AE589" s="5" t="s">
        <v>163</v>
      </c>
      <c r="AH589" s="102">
        <f>AH585+AH586+AH587</f>
        <v>27417.123121360004</v>
      </c>
      <c r="AI589" s="102"/>
      <c r="AJ589" s="102"/>
      <c r="AK589" s="102"/>
      <c r="AL589" s="5" t="s">
        <v>101</v>
      </c>
      <c r="AN589" s="5" t="str">
        <f>IF(BA561=BJ561,"","( 第2列 )")</f>
        <v>( 第2列 )</v>
      </c>
    </row>
    <row r="590" spans="4:39" ht="24.75" customHeight="1">
      <c r="D590" s="5" t="s">
        <v>199</v>
      </c>
      <c r="J590" s="5" t="s">
        <v>164</v>
      </c>
      <c r="M590" s="49" t="s">
        <v>165</v>
      </c>
      <c r="N590" s="6"/>
      <c r="O590" s="6"/>
      <c r="P590" s="6"/>
      <c r="S590" s="102">
        <f>AN551</f>
        <v>4637755.000805369</v>
      </c>
      <c r="T590" s="102"/>
      <c r="U590" s="102"/>
      <c r="V590" s="102"/>
      <c r="W590" s="102"/>
      <c r="X590" s="102"/>
      <c r="Y590" s="17" t="s">
        <v>88</v>
      </c>
      <c r="Z590" s="102">
        <f>AH588</f>
        <v>30387.123121360004</v>
      </c>
      <c r="AA590" s="102"/>
      <c r="AB590" s="102"/>
      <c r="AC590" s="102"/>
      <c r="AD590" s="6" t="s">
        <v>89</v>
      </c>
      <c r="AE590" s="116">
        <f>S590/Z590</f>
        <v>152.62237831081</v>
      </c>
      <c r="AF590" s="116"/>
      <c r="AG590" s="116"/>
      <c r="AH590" s="116"/>
      <c r="AI590" s="5" t="s">
        <v>145</v>
      </c>
      <c r="AM590" s="5" t="str">
        <f>IF(AE590&gt;O473,"＞  σta ,  N.G","＜  σta ,  O.K")</f>
        <v>＜  σta ,  O.K</v>
      </c>
    </row>
    <row r="591" spans="10:26" ht="24.75" customHeight="1">
      <c r="J591" s="5" t="s">
        <v>166</v>
      </c>
      <c r="M591" s="39" t="s">
        <v>167</v>
      </c>
      <c r="N591" s="25"/>
      <c r="O591" s="25"/>
      <c r="P591" s="50"/>
      <c r="Q591" s="25"/>
      <c r="R591" s="14" t="s">
        <v>41</v>
      </c>
      <c r="S591" s="49" t="str">
        <f>"("&amp;AE553&amp;" - "&amp;U561&amp;") / "&amp;AE553</f>
        <v>(83 - 14) / 83</v>
      </c>
      <c r="Y591" s="28"/>
      <c r="Z591" s="6"/>
    </row>
    <row r="592" spans="11:36" ht="24.75" customHeight="1">
      <c r="K592" s="38" t="s">
        <v>89</v>
      </c>
      <c r="L592" s="102">
        <f>S590</f>
        <v>4637755.000805369</v>
      </c>
      <c r="M592" s="102"/>
      <c r="N592" s="102"/>
      <c r="O592" s="102"/>
      <c r="P592" s="102"/>
      <c r="Q592" s="102"/>
      <c r="R592" s="17" t="s">
        <v>88</v>
      </c>
      <c r="S592" s="102">
        <f>AH589</f>
        <v>27417.123121360004</v>
      </c>
      <c r="T592" s="102"/>
      <c r="U592" s="102"/>
      <c r="V592" s="102"/>
      <c r="W592" s="5" t="s">
        <v>41</v>
      </c>
      <c r="X592" s="51">
        <f>(AE553-U561)/AE553</f>
        <v>0.8313253012048193</v>
      </c>
      <c r="Y592" s="51"/>
      <c r="Z592" s="51"/>
      <c r="AA592" s="6" t="s">
        <v>89</v>
      </c>
      <c r="AB592" s="116">
        <f>X592*L592/S592</f>
        <v>140.6231812102477</v>
      </c>
      <c r="AC592" s="116"/>
      <c r="AD592" s="116"/>
      <c r="AE592" s="116"/>
      <c r="AF592" s="5" t="s">
        <v>145</v>
      </c>
      <c r="AJ592" s="5" t="str">
        <f>IF(AB592&gt;O473,"＞  σta ,  N.G","＜  σta ,  O.K")</f>
        <v>＜  σta ,  O.K</v>
      </c>
    </row>
    <row r="593" spans="2:11" ht="24.75" customHeight="1">
      <c r="B593" s="5" t="s">
        <v>197</v>
      </c>
      <c r="H593" s="27"/>
      <c r="K593" s="9"/>
    </row>
    <row r="594" spans="7:9" ht="24.75" customHeight="1">
      <c r="G594" s="27"/>
      <c r="I594" s="27"/>
    </row>
    <row r="595" spans="5:17" ht="24.75" customHeight="1">
      <c r="E595" s="166"/>
      <c r="F595" s="166"/>
      <c r="G595" s="166"/>
      <c r="K595" s="29"/>
      <c r="L595" s="29"/>
      <c r="M595" s="29"/>
      <c r="N595" s="166"/>
      <c r="Q595" s="30"/>
    </row>
    <row r="596" spans="17:31" ht="24.75" customHeight="1">
      <c r="Q596" s="30"/>
      <c r="U596" s="31"/>
      <c r="V596" s="31"/>
      <c r="X596" s="5" t="s">
        <v>185</v>
      </c>
      <c r="AB596" s="163">
        <v>150</v>
      </c>
      <c r="AC596" s="163"/>
      <c r="AD596" s="163"/>
      <c r="AE596" s="5" t="s">
        <v>84</v>
      </c>
    </row>
    <row r="597" spans="17:31" ht="24.75" customHeight="1">
      <c r="Q597" s="30"/>
      <c r="R597" s="30"/>
      <c r="S597" s="32"/>
      <c r="T597" s="32"/>
      <c r="U597" s="167"/>
      <c r="V597" s="33"/>
      <c r="X597" s="5" t="s">
        <v>186</v>
      </c>
      <c r="AB597" s="163">
        <v>14</v>
      </c>
      <c r="AC597" s="163"/>
      <c r="AD597" s="163"/>
      <c r="AE597" s="5" t="s">
        <v>84</v>
      </c>
    </row>
    <row r="598" spans="1:3" ht="24.75" customHeight="1">
      <c r="A598" s="53"/>
      <c r="B598" s="53"/>
      <c r="C598" s="53"/>
    </row>
    <row r="600" ht="24.75" customHeight="1">
      <c r="C600" s="5" t="s">
        <v>181</v>
      </c>
    </row>
    <row r="601" spans="4:42" ht="24.75" customHeight="1">
      <c r="D601" s="52" t="s">
        <v>16</v>
      </c>
      <c r="E601" s="53"/>
      <c r="F601" s="53"/>
      <c r="G601" s="53"/>
      <c r="H601" s="53"/>
      <c r="I601" s="53"/>
      <c r="J601" s="53"/>
      <c r="K601" s="53"/>
      <c r="M601" s="52" t="s">
        <v>146</v>
      </c>
      <c r="N601" s="53"/>
      <c r="O601" s="95">
        <f>+AB597</f>
        <v>14</v>
      </c>
      <c r="P601" s="95"/>
      <c r="Q601" s="14" t="s">
        <v>41</v>
      </c>
      <c r="R601" s="114">
        <f>+AB596</f>
        <v>150</v>
      </c>
      <c r="S601" s="114"/>
      <c r="T601" s="114"/>
      <c r="U601" s="14" t="s">
        <v>140</v>
      </c>
      <c r="V601" s="115">
        <f>R550</f>
        <v>371</v>
      </c>
      <c r="W601" s="115"/>
      <c r="X601" s="115"/>
      <c r="Y601" s="115"/>
      <c r="Z601" s="5" t="s">
        <v>89</v>
      </c>
      <c r="AA601" s="39">
        <f>O601*R601-V601</f>
        <v>1729</v>
      </c>
      <c r="AB601" s="39"/>
      <c r="AC601" s="39"/>
      <c r="AD601" s="39"/>
      <c r="AE601" s="18" t="s">
        <v>101</v>
      </c>
      <c r="AO601" s="8"/>
      <c r="AP601" s="8"/>
    </row>
    <row r="602" spans="4:51" ht="24.75" customHeight="1">
      <c r="D602" s="5" t="str">
        <f>IF(O468&gt;0,"n = An σl / ρa","n = An σu / ρa")</f>
        <v>n = An σl / ρa</v>
      </c>
      <c r="G602" s="27"/>
      <c r="I602" s="27"/>
      <c r="K602" s="9" t="s">
        <v>89</v>
      </c>
      <c r="L602" s="39">
        <f>AA601</f>
        <v>1729</v>
      </c>
      <c r="M602" s="39"/>
      <c r="N602" s="39"/>
      <c r="O602" s="39"/>
      <c r="P602" s="14" t="s">
        <v>41</v>
      </c>
      <c r="Q602" s="108">
        <f>AE590</f>
        <v>152.62237831081</v>
      </c>
      <c r="R602" s="108"/>
      <c r="S602" s="108"/>
      <c r="T602" s="108"/>
      <c r="U602" s="17" t="s">
        <v>88</v>
      </c>
      <c r="V602" s="89">
        <f>R553</f>
        <v>96000</v>
      </c>
      <c r="W602" s="89"/>
      <c r="X602" s="89"/>
      <c r="Y602" s="89"/>
      <c r="AA602" s="8" t="s">
        <v>89</v>
      </c>
      <c r="AB602" s="113">
        <f>ROUND(L602*Q602/V602,1)</f>
        <v>2.7</v>
      </c>
      <c r="AC602" s="113"/>
      <c r="AD602" s="113"/>
      <c r="AE602" s="113"/>
      <c r="AF602" s="92" t="s">
        <v>43</v>
      </c>
      <c r="AG602" s="92"/>
      <c r="AH602" s="92"/>
      <c r="AI602" s="164">
        <v>5</v>
      </c>
      <c r="AJ602" s="164"/>
      <c r="AK602" s="164"/>
      <c r="AL602" s="170"/>
      <c r="AM602" s="8" t="s">
        <v>4</v>
      </c>
      <c r="AN602" s="8"/>
      <c r="AO602" s="8"/>
      <c r="AP602" s="5" t="str">
        <f>IF(AB602&lt;=AI602,"O.K.","N.G.")</f>
        <v>O.K.</v>
      </c>
      <c r="AW602" s="8"/>
      <c r="AY602" s="18"/>
    </row>
    <row r="603" ht="24.75" customHeight="1">
      <c r="C603" s="5" t="s">
        <v>239</v>
      </c>
    </row>
    <row r="604" spans="4:37" ht="24.75" customHeight="1">
      <c r="D604" s="92" t="s">
        <v>188</v>
      </c>
      <c r="E604" s="92"/>
      <c r="F604" s="92"/>
      <c r="G604" s="92"/>
      <c r="H604" s="92"/>
      <c r="I604" s="92"/>
      <c r="J604" s="92"/>
      <c r="K604" s="5" t="str">
        <f>IF(O468&gt;0,"An σl / σta","n = An σu / σta")</f>
        <v>An σl / σta</v>
      </c>
      <c r="Q604" s="5" t="s">
        <v>89</v>
      </c>
      <c r="R604" s="39">
        <f>AA601</f>
        <v>1729</v>
      </c>
      <c r="S604" s="39"/>
      <c r="T604" s="39"/>
      <c r="U604" s="39"/>
      <c r="V604" s="14" t="s">
        <v>41</v>
      </c>
      <c r="W604" s="108">
        <f>Q602</f>
        <v>152.62237831081</v>
      </c>
      <c r="X604" s="108"/>
      <c r="Y604" s="108"/>
      <c r="Z604" s="108"/>
      <c r="AA604" s="17" t="s">
        <v>88</v>
      </c>
      <c r="AB604" s="89">
        <f>O473</f>
        <v>210</v>
      </c>
      <c r="AC604" s="89"/>
      <c r="AD604" s="89"/>
      <c r="AE604" s="89"/>
      <c r="AF604" s="5" t="s">
        <v>89</v>
      </c>
      <c r="AG604" s="89">
        <f>R604*W604/AB604</f>
        <v>1256.5909147590025</v>
      </c>
      <c r="AH604" s="89"/>
      <c r="AI604" s="89"/>
      <c r="AJ604" s="89"/>
      <c r="AK604" s="5" t="s">
        <v>101</v>
      </c>
    </row>
    <row r="605" spans="4:54" ht="24.75" customHeight="1">
      <c r="D605" s="5" t="s">
        <v>240</v>
      </c>
      <c r="I605" s="165">
        <v>2</v>
      </c>
      <c r="J605" s="165"/>
      <c r="K605" s="165"/>
      <c r="L605" s="126">
        <v>80</v>
      </c>
      <c r="M605" s="126"/>
      <c r="N605" s="126"/>
      <c r="O605" s="92">
        <v>9</v>
      </c>
      <c r="P605" s="92"/>
      <c r="Q605" s="127">
        <v>780</v>
      </c>
      <c r="R605" s="127"/>
      <c r="S605" s="127"/>
      <c r="T605" s="127"/>
      <c r="U605" s="5" t="s">
        <v>31</v>
      </c>
      <c r="W605" s="89">
        <f>+L605*O605*I605</f>
        <v>1440</v>
      </c>
      <c r="X605" s="89"/>
      <c r="Y605" s="89"/>
      <c r="Z605" s="89"/>
      <c r="AA605" s="5" t="s">
        <v>101</v>
      </c>
      <c r="AD605" s="5" t="str">
        <f>IF(W605&gt;=AG604,"O.K.","N.G.")</f>
        <v>O.K.</v>
      </c>
      <c r="AX605" s="23"/>
      <c r="AZ605" s="23"/>
      <c r="BB605" s="23"/>
    </row>
    <row r="606" spans="46:54" ht="24.75" customHeight="1">
      <c r="AT606" s="4"/>
      <c r="BB606" s="8"/>
    </row>
    <row r="607" spans="2:14" ht="24.75" customHeight="1">
      <c r="B607" s="5" t="s">
        <v>17</v>
      </c>
      <c r="K607" s="7"/>
      <c r="M607" s="9"/>
      <c r="N607" s="4"/>
    </row>
    <row r="608" spans="3:9" ht="24.75" customHeight="1">
      <c r="C608" s="4" t="s">
        <v>6</v>
      </c>
      <c r="I608" s="23"/>
    </row>
    <row r="609" spans="3:9" ht="24.75" customHeight="1">
      <c r="C609" s="18" t="s">
        <v>8</v>
      </c>
      <c r="I609" s="23"/>
    </row>
    <row r="611" spans="8:42" ht="24.75" customHeight="1">
      <c r="H611" s="25"/>
      <c r="P611" s="33"/>
      <c r="V611" s="54"/>
      <c r="W611" s="54"/>
      <c r="X611" s="54"/>
      <c r="Y611" s="54"/>
      <c r="Z611" s="54"/>
      <c r="AA611" s="54"/>
      <c r="AB611" s="54"/>
      <c r="AC611" s="54"/>
      <c r="AD611" s="54"/>
      <c r="AE611" s="54"/>
      <c r="AF611" s="5" t="s">
        <v>22</v>
      </c>
      <c r="AM611" s="171">
        <v>2200</v>
      </c>
      <c r="AN611" s="171"/>
      <c r="AO611" s="171"/>
      <c r="AP611" s="171"/>
    </row>
    <row r="612" spans="8:42" ht="24.75" customHeight="1">
      <c r="H612" s="25"/>
      <c r="L612" s="25"/>
      <c r="P612" s="172"/>
      <c r="Q612" s="173"/>
      <c r="V612" s="54"/>
      <c r="W612" s="54"/>
      <c r="X612" s="54"/>
      <c r="Y612" s="54"/>
      <c r="Z612" s="54"/>
      <c r="AA612" s="54"/>
      <c r="AB612" s="54"/>
      <c r="AC612" s="54"/>
      <c r="AD612" s="54"/>
      <c r="AE612" s="54"/>
      <c r="AF612" s="5" t="s">
        <v>23</v>
      </c>
      <c r="AM612" s="171">
        <v>12</v>
      </c>
      <c r="AN612" s="171"/>
      <c r="AO612" s="171"/>
      <c r="AP612" s="171"/>
    </row>
    <row r="613" spans="16:32" ht="24.75" customHeight="1">
      <c r="P613" s="33"/>
      <c r="V613" s="54"/>
      <c r="W613" s="54"/>
      <c r="X613" s="54"/>
      <c r="Y613" s="54"/>
      <c r="Z613" s="54"/>
      <c r="AA613" s="54"/>
      <c r="AB613" s="54"/>
      <c r="AC613" s="54"/>
      <c r="AD613" s="54"/>
      <c r="AE613" s="54"/>
      <c r="AF613" s="54"/>
    </row>
    <row r="614" spans="22:32" ht="24.75" customHeight="1">
      <c r="V614" s="54"/>
      <c r="W614" s="54"/>
      <c r="X614" s="54"/>
      <c r="Y614" s="54"/>
      <c r="Z614" s="54"/>
      <c r="AA614" s="54"/>
      <c r="AB614" s="54"/>
      <c r="AC614" s="54"/>
      <c r="AD614" s="54"/>
      <c r="AE614" s="54"/>
      <c r="AF614" s="54"/>
    </row>
    <row r="615" spans="16:25" ht="24.75" customHeight="1">
      <c r="P615" s="54"/>
      <c r="R615" s="25"/>
      <c r="Y615" s="25"/>
    </row>
    <row r="616" spans="9:46" ht="24.75" customHeight="1">
      <c r="I616" s="44"/>
      <c r="P616" s="54"/>
      <c r="R616" s="54"/>
      <c r="AT616" s="190"/>
    </row>
    <row r="617" spans="9:18" ht="24.75" customHeight="1">
      <c r="I617" s="44"/>
      <c r="P617" s="54"/>
      <c r="R617" s="54"/>
    </row>
    <row r="618" spans="9:32" ht="24.75" customHeight="1">
      <c r="I618" s="44"/>
      <c r="P618" s="54"/>
      <c r="W618" s="23"/>
      <c r="AF618" s="54"/>
    </row>
    <row r="619" spans="9:32" ht="24.75" customHeight="1">
      <c r="I619" s="44"/>
      <c r="W619" s="23"/>
      <c r="X619" s="31"/>
      <c r="Y619" s="31"/>
      <c r="Z619" s="31"/>
      <c r="AA619" s="31"/>
      <c r="AB619" s="31"/>
      <c r="AC619" s="31"/>
      <c r="AF619" s="54"/>
    </row>
    <row r="620" spans="16:29" ht="24.75" customHeight="1">
      <c r="P620" s="33"/>
      <c r="W620" s="23"/>
      <c r="X620" s="31"/>
      <c r="Y620" s="31"/>
      <c r="AC620" s="23"/>
    </row>
    <row r="621" spans="16:29" ht="24.75" customHeight="1">
      <c r="P621" s="172"/>
      <c r="Q621" s="173"/>
      <c r="W621" s="23"/>
      <c r="X621" s="31"/>
      <c r="Y621" s="31"/>
      <c r="AC621" s="23"/>
    </row>
    <row r="622" spans="16:29" ht="24.75" customHeight="1">
      <c r="P622" s="33"/>
      <c r="T622" s="31"/>
      <c r="U622" s="31"/>
      <c r="Y622" s="23"/>
      <c r="Z622" s="31"/>
      <c r="AA622" s="31"/>
      <c r="AB622" s="31"/>
      <c r="AC622" s="31"/>
    </row>
    <row r="623" spans="8:23" ht="24.75" customHeight="1">
      <c r="H623" s="25"/>
      <c r="L623" s="25"/>
      <c r="W623" s="23"/>
    </row>
    <row r="624" spans="4:23" ht="24.75" customHeight="1">
      <c r="D624" s="17" t="s">
        <v>227</v>
      </c>
      <c r="W624" s="23"/>
    </row>
    <row r="625" spans="4:24" ht="24.75" customHeight="1">
      <c r="D625" s="5" t="s">
        <v>24</v>
      </c>
      <c r="I625" s="53"/>
      <c r="J625" s="53"/>
      <c r="K625" s="53"/>
      <c r="L625" s="53"/>
      <c r="S625" s="112">
        <f>(P479/(P479+P535)*AM611)/COS(RADIANS(AG470))</f>
        <v>946.302111356731</v>
      </c>
      <c r="T625" s="112"/>
      <c r="U625" s="112"/>
      <c r="V625" s="5" t="s">
        <v>84</v>
      </c>
      <c r="X625" s="5" t="str">
        <f>IF(AG470=0,"","( 傾斜長さ )")</f>
        <v>( 傾斜長さ )</v>
      </c>
    </row>
    <row r="626" spans="4:20" ht="24.75" customHeight="1">
      <c r="D626" s="111" t="s">
        <v>168</v>
      </c>
      <c r="E626" s="111"/>
      <c r="F626" s="111"/>
      <c r="G626" s="55">
        <f>IF(O468&gt;0,P479,P535)</f>
        <v>118.40000000025</v>
      </c>
      <c r="H626" s="56"/>
      <c r="I626" s="56"/>
      <c r="J626" s="56"/>
      <c r="K626" s="10" t="s">
        <v>218</v>
      </c>
      <c r="L626" s="10"/>
      <c r="P626" s="10"/>
      <c r="Q626" s="55"/>
      <c r="R626" s="56"/>
      <c r="S626" s="56"/>
      <c r="T626" s="56"/>
    </row>
    <row r="627" spans="4:24" ht="24.75" customHeight="1">
      <c r="D627" s="111" t="s">
        <v>117</v>
      </c>
      <c r="E627" s="111"/>
      <c r="F627" s="111"/>
      <c r="G627" s="111" t="s">
        <v>219</v>
      </c>
      <c r="H627" s="111"/>
      <c r="I627" s="111"/>
      <c r="J627" s="111"/>
      <c r="K627" s="111"/>
      <c r="L627" s="175">
        <v>26.27692678</v>
      </c>
      <c r="M627" s="175"/>
      <c r="N627" s="91"/>
      <c r="O627" s="58" t="s">
        <v>35</v>
      </c>
      <c r="P627" s="58"/>
      <c r="Q627" s="10" t="s">
        <v>34</v>
      </c>
      <c r="R627" s="55">
        <f>ROUND(G626*(S625-L627)/S625,3)</f>
        <v>115.112</v>
      </c>
      <c r="S627" s="56"/>
      <c r="T627" s="56"/>
      <c r="U627" s="56"/>
      <c r="V627" s="57"/>
      <c r="W627" s="10" t="s">
        <v>218</v>
      </c>
      <c r="X627" s="10"/>
    </row>
    <row r="628" spans="4:31" ht="24.75" customHeight="1">
      <c r="D628" s="111" t="s">
        <v>118</v>
      </c>
      <c r="E628" s="111"/>
      <c r="F628" s="111"/>
      <c r="G628" s="111" t="s">
        <v>219</v>
      </c>
      <c r="H628" s="111"/>
      <c r="I628" s="111"/>
      <c r="J628" s="111"/>
      <c r="K628" s="111"/>
      <c r="L628" s="175">
        <v>126.27692678</v>
      </c>
      <c r="M628" s="175"/>
      <c r="N628" s="91"/>
      <c r="O628" s="58" t="s">
        <v>35</v>
      </c>
      <c r="P628" s="58"/>
      <c r="Q628" s="10" t="s">
        <v>34</v>
      </c>
      <c r="R628" s="55">
        <f>ROUND(G626*(S625-L628)/S625,3)</f>
        <v>102.6</v>
      </c>
      <c r="S628" s="56"/>
      <c r="T628" s="56"/>
      <c r="U628" s="56"/>
      <c r="V628" s="57"/>
      <c r="W628" s="10" t="s">
        <v>218</v>
      </c>
      <c r="X628" s="10"/>
      <c r="Y628" s="10"/>
      <c r="Z628" s="55"/>
      <c r="AA628" s="56"/>
      <c r="AB628" s="56"/>
      <c r="AC628" s="56"/>
      <c r="AD628" s="57"/>
      <c r="AE628" s="10"/>
    </row>
    <row r="629" spans="4:31" ht="24.75" customHeight="1">
      <c r="D629" s="111" t="s">
        <v>119</v>
      </c>
      <c r="E629" s="111"/>
      <c r="F629" s="111"/>
      <c r="G629" s="111" t="s">
        <v>219</v>
      </c>
      <c r="H629" s="111"/>
      <c r="I629" s="111"/>
      <c r="J629" s="111"/>
      <c r="K629" s="111"/>
      <c r="L629" s="175">
        <v>226.27692678</v>
      </c>
      <c r="M629" s="175"/>
      <c r="N629" s="91"/>
      <c r="O629" s="58" t="s">
        <v>35</v>
      </c>
      <c r="P629" s="58"/>
      <c r="Q629" s="10" t="s">
        <v>34</v>
      </c>
      <c r="R629" s="55">
        <f>ROUND(G626*(S625-L629)/S625,3)</f>
        <v>90.089</v>
      </c>
      <c r="S629" s="56"/>
      <c r="T629" s="56"/>
      <c r="U629" s="56"/>
      <c r="V629" s="57"/>
      <c r="W629" s="10" t="s">
        <v>218</v>
      </c>
      <c r="X629" s="10"/>
      <c r="Y629" s="10"/>
      <c r="Z629" s="55"/>
      <c r="AA629" s="56"/>
      <c r="AB629" s="56"/>
      <c r="AC629" s="56"/>
      <c r="AD629" s="57"/>
      <c r="AE629" s="10"/>
    </row>
    <row r="630" spans="4:31" ht="24.75" customHeight="1">
      <c r="D630" s="111" t="s">
        <v>120</v>
      </c>
      <c r="E630" s="111"/>
      <c r="F630" s="111"/>
      <c r="G630" s="111" t="s">
        <v>219</v>
      </c>
      <c r="H630" s="111"/>
      <c r="I630" s="111"/>
      <c r="J630" s="111"/>
      <c r="K630" s="111"/>
      <c r="L630" s="175">
        <v>326.27692678</v>
      </c>
      <c r="M630" s="175"/>
      <c r="N630" s="91"/>
      <c r="O630" s="58" t="s">
        <v>35</v>
      </c>
      <c r="P630" s="58"/>
      <c r="Q630" s="10" t="s">
        <v>34</v>
      </c>
      <c r="R630" s="55">
        <f>ROUND(G626*(S625-L630)/S625,3)</f>
        <v>77.577</v>
      </c>
      <c r="S630" s="56"/>
      <c r="T630" s="56"/>
      <c r="U630" s="56"/>
      <c r="V630" s="57"/>
      <c r="W630" s="10" t="s">
        <v>218</v>
      </c>
      <c r="X630" s="10"/>
      <c r="Y630" s="10"/>
      <c r="Z630" s="55"/>
      <c r="AA630" s="56"/>
      <c r="AB630" s="56"/>
      <c r="AC630" s="56"/>
      <c r="AD630" s="57"/>
      <c r="AE630" s="10"/>
    </row>
    <row r="631" spans="4:31" ht="24.75" customHeight="1">
      <c r="D631" s="111" t="s">
        <v>121</v>
      </c>
      <c r="E631" s="111"/>
      <c r="F631" s="111"/>
      <c r="G631" s="111" t="s">
        <v>219</v>
      </c>
      <c r="H631" s="111"/>
      <c r="I631" s="111"/>
      <c r="J631" s="111"/>
      <c r="K631" s="111"/>
      <c r="L631" s="175">
        <v>426.27692678</v>
      </c>
      <c r="M631" s="175"/>
      <c r="N631" s="91"/>
      <c r="O631" s="58" t="s">
        <v>35</v>
      </c>
      <c r="P631" s="58"/>
      <c r="Q631" s="10" t="s">
        <v>34</v>
      </c>
      <c r="R631" s="55">
        <f>ROUND(G626*(S625-L631)/S625,3)</f>
        <v>65.065</v>
      </c>
      <c r="S631" s="56"/>
      <c r="T631" s="56"/>
      <c r="U631" s="56"/>
      <c r="V631" s="57"/>
      <c r="W631" s="10" t="s">
        <v>218</v>
      </c>
      <c r="X631" s="10"/>
      <c r="Y631" s="10"/>
      <c r="Z631" s="55"/>
      <c r="AA631" s="56"/>
      <c r="AB631" s="56"/>
      <c r="AC631" s="56"/>
      <c r="AD631" s="57"/>
      <c r="AE631" s="10"/>
    </row>
    <row r="632" spans="4:31" ht="24.75" customHeight="1">
      <c r="D632" s="111" t="s">
        <v>122</v>
      </c>
      <c r="E632" s="111"/>
      <c r="F632" s="111"/>
      <c r="G632" s="111" t="s">
        <v>219</v>
      </c>
      <c r="H632" s="111"/>
      <c r="I632" s="111"/>
      <c r="J632" s="111"/>
      <c r="K632" s="111"/>
      <c r="L632" s="175">
        <v>526.27692678</v>
      </c>
      <c r="M632" s="175"/>
      <c r="N632" s="91"/>
      <c r="O632" s="58" t="s">
        <v>35</v>
      </c>
      <c r="P632" s="58"/>
      <c r="Q632" s="10" t="s">
        <v>34</v>
      </c>
      <c r="R632" s="55">
        <f>ROUND(G626*(S625-L632)/S625,3)</f>
        <v>52.553</v>
      </c>
      <c r="S632" s="56"/>
      <c r="T632" s="56"/>
      <c r="U632" s="56"/>
      <c r="V632" s="57"/>
      <c r="W632" s="10" t="s">
        <v>218</v>
      </c>
      <c r="X632" s="10"/>
      <c r="Y632" s="10"/>
      <c r="Z632" s="55"/>
      <c r="AA632" s="56"/>
      <c r="AB632" s="56"/>
      <c r="AC632" s="56"/>
      <c r="AD632" s="57"/>
      <c r="AE632" s="10"/>
    </row>
    <row r="633" spans="4:25" ht="24.75" customHeight="1">
      <c r="D633" s="47"/>
      <c r="E633" s="47"/>
      <c r="F633" s="47"/>
      <c r="G633" s="47"/>
      <c r="H633" s="47"/>
      <c r="I633" s="47"/>
      <c r="J633" s="47"/>
      <c r="K633" s="47"/>
      <c r="L633" s="56"/>
      <c r="M633" s="56"/>
      <c r="N633" s="47"/>
      <c r="O633" s="47"/>
      <c r="P633" s="47"/>
      <c r="Q633" s="10"/>
      <c r="R633" s="55"/>
      <c r="S633" s="56"/>
      <c r="T633" s="56"/>
      <c r="U633" s="56"/>
      <c r="V633" s="57"/>
      <c r="W633" s="10"/>
      <c r="X633" s="10"/>
      <c r="Y633" s="10"/>
    </row>
    <row r="634" spans="4:36" ht="24.75" customHeight="1">
      <c r="D634" s="110" t="s">
        <v>169</v>
      </c>
      <c r="E634" s="110"/>
      <c r="F634" s="110"/>
      <c r="G634" s="110"/>
      <c r="H634" s="59" t="s">
        <v>87</v>
      </c>
      <c r="I634" s="107">
        <f>G626</f>
        <v>118.40000000025</v>
      </c>
      <c r="J634" s="107"/>
      <c r="K634" s="107"/>
      <c r="L634" s="107"/>
      <c r="M634" s="14" t="s">
        <v>48</v>
      </c>
      <c r="N634" s="107">
        <f aca="true" t="shared" si="6" ref="N634:N639">R627</f>
        <v>115.112</v>
      </c>
      <c r="O634" s="107"/>
      <c r="P634" s="107"/>
      <c r="Q634" s="107"/>
      <c r="R634" s="60" t="s">
        <v>170</v>
      </c>
      <c r="S634" s="56"/>
      <c r="T634" s="56"/>
      <c r="U634" s="56"/>
      <c r="V634" s="108">
        <f>L627</f>
        <v>26.27692678</v>
      </c>
      <c r="W634" s="108"/>
      <c r="X634" s="108"/>
      <c r="Y634" s="14" t="s">
        <v>137</v>
      </c>
      <c r="Z634" s="108">
        <f>AM612</f>
        <v>12</v>
      </c>
      <c r="AA634" s="108"/>
      <c r="AB634" s="108"/>
      <c r="AC634" s="5" t="s">
        <v>89</v>
      </c>
      <c r="AD634" s="109">
        <f>(I634+N634)/2*V634*Z634</f>
        <v>36815.86635754757</v>
      </c>
      <c r="AE634" s="109"/>
      <c r="AF634" s="109"/>
      <c r="AG634" s="109"/>
      <c r="AH634" s="109"/>
      <c r="AI634" s="5" t="s">
        <v>113</v>
      </c>
      <c r="AJ634" s="5" t="s">
        <v>18</v>
      </c>
    </row>
    <row r="635" spans="4:46" ht="24.75" customHeight="1">
      <c r="D635" s="92" t="s">
        <v>228</v>
      </c>
      <c r="E635" s="92"/>
      <c r="F635" s="92"/>
      <c r="G635" s="92"/>
      <c r="H635" s="14" t="s">
        <v>87</v>
      </c>
      <c r="I635" s="107">
        <f>R627</f>
        <v>115.112</v>
      </c>
      <c r="J635" s="107"/>
      <c r="K635" s="107"/>
      <c r="L635" s="107"/>
      <c r="M635" s="14" t="s">
        <v>48</v>
      </c>
      <c r="N635" s="107">
        <f t="shared" si="6"/>
        <v>102.6</v>
      </c>
      <c r="O635" s="107"/>
      <c r="P635" s="107"/>
      <c r="Q635" s="107"/>
      <c r="R635" s="61" t="s">
        <v>171</v>
      </c>
      <c r="S635" s="36"/>
      <c r="T635" s="8">
        <v>2</v>
      </c>
      <c r="U635" s="62" t="s">
        <v>137</v>
      </c>
      <c r="V635" s="63">
        <f>L628-L627</f>
        <v>100</v>
      </c>
      <c r="W635" s="63"/>
      <c r="X635" s="63"/>
      <c r="Y635" s="64" t="s">
        <v>137</v>
      </c>
      <c r="Z635" s="24">
        <f>Z634</f>
        <v>12</v>
      </c>
      <c r="AA635" s="25"/>
      <c r="AB635" s="24"/>
      <c r="AC635" s="65" t="s">
        <v>47</v>
      </c>
      <c r="AD635" s="66">
        <v>2</v>
      </c>
      <c r="AE635" s="66"/>
      <c r="AF635" s="66"/>
      <c r="AG635" s="8" t="s">
        <v>34</v>
      </c>
      <c r="AH635" s="63">
        <f>ROUND(+(I635+N635)/T635*V635*Z635/AD635,1)</f>
        <v>65313.6</v>
      </c>
      <c r="AI635" s="63"/>
      <c r="AJ635" s="63"/>
      <c r="AK635" s="63"/>
      <c r="AL635" s="92" t="str">
        <f>IF(AH635&gt;+V602,"N/本  ＞  ρa   N.G.","N/本  ＜  ρa   O.K.")</f>
        <v>N/本  ＜  ρa   O.K.</v>
      </c>
      <c r="AM635" s="92"/>
      <c r="AN635" s="92"/>
      <c r="AO635" s="92"/>
      <c r="AP635" s="92"/>
      <c r="AQ635" s="92"/>
      <c r="AR635" s="92"/>
      <c r="AS635" s="92"/>
      <c r="AT635" s="92"/>
    </row>
    <row r="636" spans="4:46" ht="24.75" customHeight="1">
      <c r="D636" s="92" t="s">
        <v>250</v>
      </c>
      <c r="E636" s="92"/>
      <c r="F636" s="92"/>
      <c r="G636" s="92"/>
      <c r="H636" s="14" t="s">
        <v>87</v>
      </c>
      <c r="I636" s="107">
        <f>N635</f>
        <v>102.6</v>
      </c>
      <c r="J636" s="107"/>
      <c r="K636" s="107"/>
      <c r="L636" s="107"/>
      <c r="M636" s="14" t="s">
        <v>48</v>
      </c>
      <c r="N636" s="107">
        <f t="shared" si="6"/>
        <v>90.089</v>
      </c>
      <c r="O636" s="107"/>
      <c r="P636" s="107"/>
      <c r="Q636" s="107"/>
      <c r="R636" s="61" t="s">
        <v>171</v>
      </c>
      <c r="S636" s="36"/>
      <c r="T636" s="8">
        <v>2</v>
      </c>
      <c r="U636" s="62" t="s">
        <v>137</v>
      </c>
      <c r="V636" s="63">
        <f>(L629-L628)</f>
        <v>100</v>
      </c>
      <c r="W636" s="67"/>
      <c r="X636" s="24"/>
      <c r="Y636" s="64" t="s">
        <v>137</v>
      </c>
      <c r="Z636" s="24">
        <f>Z634</f>
        <v>12</v>
      </c>
      <c r="AA636" s="24"/>
      <c r="AB636" s="24"/>
      <c r="AC636" s="65" t="s">
        <v>47</v>
      </c>
      <c r="AD636" s="66">
        <v>2</v>
      </c>
      <c r="AE636" s="66"/>
      <c r="AF636" s="66"/>
      <c r="AG636" s="8" t="s">
        <v>34</v>
      </c>
      <c r="AH636" s="63">
        <f>ROUND(+(I636+N636)/T636*V636*Z636/AD636,1)</f>
        <v>57806.7</v>
      </c>
      <c r="AI636" s="63"/>
      <c r="AJ636" s="63"/>
      <c r="AK636" s="63"/>
      <c r="AL636" s="92" t="str">
        <f>IF(AH636&gt;+V602,"N/本  ＞  ρa   N.G.","N/本  ＜  ρa   O.K.")</f>
        <v>N/本  ＜  ρa   O.K.</v>
      </c>
      <c r="AM636" s="92"/>
      <c r="AN636" s="92"/>
      <c r="AO636" s="92"/>
      <c r="AP636" s="92"/>
      <c r="AQ636" s="92"/>
      <c r="AR636" s="92"/>
      <c r="AS636" s="92"/>
      <c r="AT636" s="92"/>
    </row>
    <row r="637" spans="4:46" ht="24.75" customHeight="1">
      <c r="D637" s="92" t="s">
        <v>251</v>
      </c>
      <c r="E637" s="92"/>
      <c r="F637" s="92"/>
      <c r="G637" s="92"/>
      <c r="H637" s="14" t="s">
        <v>87</v>
      </c>
      <c r="I637" s="107">
        <f>N636</f>
        <v>90.089</v>
      </c>
      <c r="J637" s="107"/>
      <c r="K637" s="107"/>
      <c r="L637" s="107"/>
      <c r="M637" s="14" t="s">
        <v>48</v>
      </c>
      <c r="N637" s="107">
        <f t="shared" si="6"/>
        <v>77.577</v>
      </c>
      <c r="O637" s="107"/>
      <c r="P637" s="107"/>
      <c r="Q637" s="107"/>
      <c r="R637" s="61" t="s">
        <v>171</v>
      </c>
      <c r="S637" s="36"/>
      <c r="T637" s="8">
        <v>2</v>
      </c>
      <c r="U637" s="62" t="s">
        <v>137</v>
      </c>
      <c r="V637" s="63">
        <f>(L630-L629)</f>
        <v>100</v>
      </c>
      <c r="W637" s="67"/>
      <c r="X637" s="24"/>
      <c r="Y637" s="64" t="s">
        <v>137</v>
      </c>
      <c r="Z637" s="24">
        <f>Z634</f>
        <v>12</v>
      </c>
      <c r="AA637" s="24"/>
      <c r="AB637" s="24"/>
      <c r="AC637" s="65" t="s">
        <v>47</v>
      </c>
      <c r="AD637" s="66">
        <v>2</v>
      </c>
      <c r="AE637" s="66"/>
      <c r="AF637" s="66"/>
      <c r="AG637" s="8" t="s">
        <v>34</v>
      </c>
      <c r="AH637" s="63">
        <f>ROUND(+(I637+N637)/T637*V637*Z637/AD637,1)</f>
        <v>50299.8</v>
      </c>
      <c r="AI637" s="63"/>
      <c r="AJ637" s="63"/>
      <c r="AK637" s="63"/>
      <c r="AL637" s="92" t="str">
        <f>IF(AH637&gt;+V602,"N/本  ＞  ρa   N.G.","N/本  ＜  ρa   O.K.")</f>
        <v>N/本  ＜  ρa   O.K.</v>
      </c>
      <c r="AM637" s="92"/>
      <c r="AN637" s="92"/>
      <c r="AO637" s="92"/>
      <c r="AP637" s="92"/>
      <c r="AQ637" s="92"/>
      <c r="AR637" s="92"/>
      <c r="AS637" s="92"/>
      <c r="AT637" s="92"/>
    </row>
    <row r="638" spans="4:46" ht="24.75" customHeight="1">
      <c r="D638" s="92" t="s">
        <v>252</v>
      </c>
      <c r="E638" s="92"/>
      <c r="F638" s="92"/>
      <c r="G638" s="92"/>
      <c r="H638" s="14" t="s">
        <v>87</v>
      </c>
      <c r="I638" s="107">
        <f>N637</f>
        <v>77.577</v>
      </c>
      <c r="J638" s="107"/>
      <c r="K638" s="107"/>
      <c r="L638" s="107"/>
      <c r="M638" s="14" t="s">
        <v>48</v>
      </c>
      <c r="N638" s="107">
        <f t="shared" si="6"/>
        <v>65.065</v>
      </c>
      <c r="O638" s="107"/>
      <c r="P638" s="107"/>
      <c r="Q638" s="107"/>
      <c r="R638" s="61" t="s">
        <v>171</v>
      </c>
      <c r="S638" s="36"/>
      <c r="T638" s="8">
        <v>2</v>
      </c>
      <c r="U638" s="62" t="s">
        <v>137</v>
      </c>
      <c r="V638" s="63">
        <f>(L631-L630)</f>
        <v>100</v>
      </c>
      <c r="W638" s="67"/>
      <c r="X638" s="24"/>
      <c r="Y638" s="64" t="s">
        <v>137</v>
      </c>
      <c r="Z638" s="24">
        <f>Z634</f>
        <v>12</v>
      </c>
      <c r="AA638" s="24"/>
      <c r="AB638" s="24"/>
      <c r="AC638" s="65" t="s">
        <v>47</v>
      </c>
      <c r="AD638" s="66">
        <v>2</v>
      </c>
      <c r="AE638" s="66"/>
      <c r="AF638" s="66"/>
      <c r="AG638" s="8" t="s">
        <v>34</v>
      </c>
      <c r="AH638" s="63">
        <f>ROUND(+(I638+N638)/T638*V638*Z638/AD638,1)</f>
        <v>42792.6</v>
      </c>
      <c r="AI638" s="63"/>
      <c r="AJ638" s="63"/>
      <c r="AK638" s="63"/>
      <c r="AL638" s="92" t="str">
        <f>IF(AH638&gt;+V602,"N/本  ＞  ρa   N.G.","N/本  ＜  ρa   O.K.")</f>
        <v>N/本  ＜  ρa   O.K.</v>
      </c>
      <c r="AM638" s="92"/>
      <c r="AN638" s="92"/>
      <c r="AO638" s="92"/>
      <c r="AP638" s="92"/>
      <c r="AQ638" s="92"/>
      <c r="AR638" s="92"/>
      <c r="AS638" s="92"/>
      <c r="AT638" s="92"/>
    </row>
    <row r="639" spans="4:46" ht="24.75" customHeight="1">
      <c r="D639" s="92" t="s">
        <v>253</v>
      </c>
      <c r="E639" s="92"/>
      <c r="F639" s="92"/>
      <c r="G639" s="92"/>
      <c r="H639" s="14" t="s">
        <v>87</v>
      </c>
      <c r="I639" s="107">
        <f>N638</f>
        <v>65.065</v>
      </c>
      <c r="J639" s="107"/>
      <c r="K639" s="107"/>
      <c r="L639" s="107"/>
      <c r="M639" s="14" t="s">
        <v>48</v>
      </c>
      <c r="N639" s="107">
        <f t="shared" si="6"/>
        <v>52.553</v>
      </c>
      <c r="O639" s="107"/>
      <c r="P639" s="107"/>
      <c r="Q639" s="107"/>
      <c r="R639" s="61" t="s">
        <v>171</v>
      </c>
      <c r="S639" s="36"/>
      <c r="T639" s="8">
        <v>2</v>
      </c>
      <c r="U639" s="62" t="s">
        <v>137</v>
      </c>
      <c r="V639" s="63">
        <f>(L632-L631)</f>
        <v>100.00000000000006</v>
      </c>
      <c r="W639" s="67"/>
      <c r="X639" s="24"/>
      <c r="Y639" s="64" t="s">
        <v>137</v>
      </c>
      <c r="Z639" s="24">
        <f>Z634</f>
        <v>12</v>
      </c>
      <c r="AA639" s="24"/>
      <c r="AB639" s="24"/>
      <c r="AC639" s="65" t="s">
        <v>47</v>
      </c>
      <c r="AD639" s="66">
        <v>2</v>
      </c>
      <c r="AE639" s="66"/>
      <c r="AF639" s="66"/>
      <c r="AG639" s="8" t="s">
        <v>34</v>
      </c>
      <c r="AH639" s="63">
        <f>ROUND(+(I639+N639)/T639*V639*Z639/AD639,1)</f>
        <v>35285.4</v>
      </c>
      <c r="AI639" s="63"/>
      <c r="AJ639" s="63"/>
      <c r="AK639" s="63"/>
      <c r="AL639" s="92" t="str">
        <f>IF(AH639&gt;+V602,"N/本  ＞  ρa   N.G.","N/本  ＜  ρa   O.K.")</f>
        <v>N/本  ＜  ρa   O.K.</v>
      </c>
      <c r="AM639" s="92"/>
      <c r="AN639" s="92"/>
      <c r="AO639" s="92"/>
      <c r="AP639" s="92"/>
      <c r="AQ639" s="92"/>
      <c r="AR639" s="92"/>
      <c r="AS639" s="92"/>
      <c r="AT639" s="92"/>
    </row>
    <row r="640" spans="4:25" ht="24.75" customHeight="1">
      <c r="D640" s="47"/>
      <c r="E640" s="47"/>
      <c r="F640" s="47"/>
      <c r="G640" s="47"/>
      <c r="H640" s="47"/>
      <c r="I640" s="47"/>
      <c r="J640" s="47"/>
      <c r="K640" s="47"/>
      <c r="L640" s="56"/>
      <c r="M640" s="56"/>
      <c r="N640" s="47"/>
      <c r="O640" s="47"/>
      <c r="P640" s="47"/>
      <c r="Q640" s="10"/>
      <c r="R640" s="55"/>
      <c r="S640" s="56"/>
      <c r="T640" s="56"/>
      <c r="U640" s="56"/>
      <c r="V640" s="57"/>
      <c r="W640" s="10"/>
      <c r="X640" s="10"/>
      <c r="Y640" s="10"/>
    </row>
    <row r="641" spans="4:23" ht="24.75" customHeight="1">
      <c r="D641" s="17" t="s">
        <v>229</v>
      </c>
      <c r="W641" s="23"/>
    </row>
    <row r="642" spans="4:24" ht="24.75" customHeight="1">
      <c r="D642" s="5" t="s">
        <v>19</v>
      </c>
      <c r="I642" s="53"/>
      <c r="J642" s="53"/>
      <c r="K642" s="53"/>
      <c r="L642" s="53"/>
      <c r="S642" s="112">
        <f>(P535/(P479+P535)*AM611)/COS(RADIANS(AG470))</f>
        <v>1258.8055957632637</v>
      </c>
      <c r="T642" s="112"/>
      <c r="U642" s="112"/>
      <c r="V642" s="5" t="s">
        <v>84</v>
      </c>
      <c r="X642" s="5" t="str">
        <f>IF(AG470=0,"","( 傾斜長さ )")</f>
        <v>( 傾斜長さ )</v>
      </c>
    </row>
    <row r="643" spans="4:22" ht="24.75" customHeight="1">
      <c r="D643" s="111" t="s">
        <v>172</v>
      </c>
      <c r="E643" s="111"/>
      <c r="F643" s="111"/>
      <c r="G643" s="55">
        <f>IF(O468&gt;0,P535,P479)</f>
        <v>157.5</v>
      </c>
      <c r="H643" s="56"/>
      <c r="I643" s="56"/>
      <c r="J643" s="56"/>
      <c r="K643" s="10" t="s">
        <v>218</v>
      </c>
      <c r="L643" s="10"/>
      <c r="P643" s="10"/>
      <c r="Q643" s="55"/>
      <c r="R643" s="56"/>
      <c r="S643" s="56"/>
      <c r="T643" s="56"/>
      <c r="U643" s="57"/>
      <c r="V643" s="10"/>
    </row>
    <row r="644" spans="4:24" ht="24.75" customHeight="1">
      <c r="D644" s="111" t="s">
        <v>117</v>
      </c>
      <c r="E644" s="111"/>
      <c r="F644" s="111"/>
      <c r="G644" s="111" t="s">
        <v>219</v>
      </c>
      <c r="H644" s="111"/>
      <c r="I644" s="111"/>
      <c r="J644" s="111"/>
      <c r="K644" s="111"/>
      <c r="L644" s="91">
        <f aca="true" t="shared" si="7" ref="L644:L649">L627</f>
        <v>26.27692678</v>
      </c>
      <c r="M644" s="91"/>
      <c r="N644" s="91"/>
      <c r="O644" s="58" t="s">
        <v>35</v>
      </c>
      <c r="P644" s="58"/>
      <c r="Q644" s="10" t="s">
        <v>34</v>
      </c>
      <c r="R644" s="55">
        <f>ROUND(G643*(S642-L644)/S642,3)</f>
        <v>154.212</v>
      </c>
      <c r="S644" s="56"/>
      <c r="T644" s="56"/>
      <c r="U644" s="56"/>
      <c r="V644" s="57"/>
      <c r="W644" s="10" t="s">
        <v>218</v>
      </c>
      <c r="X644" s="10"/>
    </row>
    <row r="645" spans="4:31" ht="24.75" customHeight="1">
      <c r="D645" s="111" t="s">
        <v>118</v>
      </c>
      <c r="E645" s="111"/>
      <c r="F645" s="111"/>
      <c r="G645" s="111" t="s">
        <v>219</v>
      </c>
      <c r="H645" s="111"/>
      <c r="I645" s="111"/>
      <c r="J645" s="111"/>
      <c r="K645" s="111"/>
      <c r="L645" s="91">
        <f t="shared" si="7"/>
        <v>126.27692678</v>
      </c>
      <c r="M645" s="91"/>
      <c r="N645" s="91"/>
      <c r="O645" s="58" t="s">
        <v>35</v>
      </c>
      <c r="P645" s="58"/>
      <c r="Q645" s="10" t="s">
        <v>34</v>
      </c>
      <c r="R645" s="55">
        <f>ROUND(G643*(S642-L645)/S642,3)</f>
        <v>141.7</v>
      </c>
      <c r="S645" s="56"/>
      <c r="T645" s="56"/>
      <c r="U645" s="56"/>
      <c r="V645" s="57"/>
      <c r="W645" s="10" t="s">
        <v>218</v>
      </c>
      <c r="X645" s="10"/>
      <c r="Y645" s="10"/>
      <c r="Z645" s="55"/>
      <c r="AA645" s="56"/>
      <c r="AB645" s="56"/>
      <c r="AC645" s="56"/>
      <c r="AD645" s="57"/>
      <c r="AE645" s="10"/>
    </row>
    <row r="646" spans="4:31" ht="24.75" customHeight="1">
      <c r="D646" s="111" t="s">
        <v>119</v>
      </c>
      <c r="E646" s="111"/>
      <c r="F646" s="111"/>
      <c r="G646" s="111" t="s">
        <v>219</v>
      </c>
      <c r="H646" s="111"/>
      <c r="I646" s="111"/>
      <c r="J646" s="111"/>
      <c r="K646" s="111"/>
      <c r="L646" s="91">
        <f t="shared" si="7"/>
        <v>226.27692678</v>
      </c>
      <c r="M646" s="91"/>
      <c r="N646" s="91"/>
      <c r="O646" s="58" t="s">
        <v>35</v>
      </c>
      <c r="P646" s="58"/>
      <c r="Q646" s="10" t="s">
        <v>34</v>
      </c>
      <c r="R646" s="55">
        <f>ROUND(G643*(S642-L646)/S642,3)</f>
        <v>129.189</v>
      </c>
      <c r="S646" s="56"/>
      <c r="T646" s="56"/>
      <c r="U646" s="56"/>
      <c r="V646" s="57"/>
      <c r="W646" s="10" t="s">
        <v>218</v>
      </c>
      <c r="X646" s="10"/>
      <c r="Y646" s="10"/>
      <c r="Z646" s="55"/>
      <c r="AA646" s="56"/>
      <c r="AB646" s="56"/>
      <c r="AC646" s="56"/>
      <c r="AD646" s="57"/>
      <c r="AE646" s="10"/>
    </row>
    <row r="647" spans="4:31" ht="24.75" customHeight="1">
      <c r="D647" s="111" t="s">
        <v>120</v>
      </c>
      <c r="E647" s="111"/>
      <c r="F647" s="111"/>
      <c r="G647" s="111" t="s">
        <v>219</v>
      </c>
      <c r="H647" s="111"/>
      <c r="I647" s="111"/>
      <c r="J647" s="111"/>
      <c r="K647" s="111"/>
      <c r="L647" s="91">
        <f t="shared" si="7"/>
        <v>326.27692678</v>
      </c>
      <c r="M647" s="91"/>
      <c r="N647" s="91"/>
      <c r="O647" s="58" t="s">
        <v>35</v>
      </c>
      <c r="P647" s="58"/>
      <c r="Q647" s="10" t="s">
        <v>34</v>
      </c>
      <c r="R647" s="55">
        <f>ROUND(G643*(S642-L647)/S642,3)</f>
        <v>116.677</v>
      </c>
      <c r="S647" s="56"/>
      <c r="T647" s="56"/>
      <c r="U647" s="56"/>
      <c r="V647" s="57"/>
      <c r="W647" s="10" t="s">
        <v>218</v>
      </c>
      <c r="X647" s="10"/>
      <c r="Y647" s="10"/>
      <c r="Z647" s="55"/>
      <c r="AA647" s="56"/>
      <c r="AB647" s="56"/>
      <c r="AC647" s="56"/>
      <c r="AD647" s="57"/>
      <c r="AE647" s="10"/>
    </row>
    <row r="648" spans="4:31" ht="24.75" customHeight="1">
      <c r="D648" s="111" t="s">
        <v>121</v>
      </c>
      <c r="E648" s="111"/>
      <c r="F648" s="111"/>
      <c r="G648" s="111" t="s">
        <v>219</v>
      </c>
      <c r="H648" s="111"/>
      <c r="I648" s="111"/>
      <c r="J648" s="111"/>
      <c r="K648" s="111"/>
      <c r="L648" s="91">
        <f t="shared" si="7"/>
        <v>426.27692678</v>
      </c>
      <c r="M648" s="91"/>
      <c r="N648" s="91"/>
      <c r="O648" s="58" t="s">
        <v>35</v>
      </c>
      <c r="P648" s="58"/>
      <c r="Q648" s="10" t="s">
        <v>34</v>
      </c>
      <c r="R648" s="55">
        <f>ROUND(G643*(S642-L648)/S642,3)</f>
        <v>104.165</v>
      </c>
      <c r="S648" s="56"/>
      <c r="T648" s="56"/>
      <c r="U648" s="56"/>
      <c r="V648" s="57"/>
      <c r="W648" s="10" t="s">
        <v>218</v>
      </c>
      <c r="X648" s="10"/>
      <c r="Y648" s="10"/>
      <c r="Z648" s="55"/>
      <c r="AA648" s="56"/>
      <c r="AB648" s="56"/>
      <c r="AC648" s="56"/>
      <c r="AD648" s="57"/>
      <c r="AE648" s="10"/>
    </row>
    <row r="649" spans="4:31" ht="24.75" customHeight="1">
      <c r="D649" s="111" t="s">
        <v>122</v>
      </c>
      <c r="E649" s="111"/>
      <c r="F649" s="111"/>
      <c r="G649" s="111" t="s">
        <v>219</v>
      </c>
      <c r="H649" s="111"/>
      <c r="I649" s="111"/>
      <c r="J649" s="111"/>
      <c r="K649" s="111"/>
      <c r="L649" s="91">
        <f t="shared" si="7"/>
        <v>526.27692678</v>
      </c>
      <c r="M649" s="91"/>
      <c r="N649" s="91"/>
      <c r="O649" s="58" t="s">
        <v>35</v>
      </c>
      <c r="P649" s="58"/>
      <c r="Q649" s="10" t="s">
        <v>34</v>
      </c>
      <c r="R649" s="55">
        <f>ROUND(G643*(S642-L649)/S642,3)</f>
        <v>91.653</v>
      </c>
      <c r="S649" s="56"/>
      <c r="T649" s="56"/>
      <c r="U649" s="56"/>
      <c r="V649" s="57"/>
      <c r="W649" s="10" t="s">
        <v>218</v>
      </c>
      <c r="X649" s="10"/>
      <c r="Y649" s="10"/>
      <c r="Z649" s="55"/>
      <c r="AA649" s="56"/>
      <c r="AB649" s="56"/>
      <c r="AC649" s="56"/>
      <c r="AD649" s="57"/>
      <c r="AE649" s="10"/>
    </row>
    <row r="650" spans="4:25" ht="24.75" customHeight="1">
      <c r="D650" s="47"/>
      <c r="E650" s="47"/>
      <c r="F650" s="47"/>
      <c r="G650" s="47"/>
      <c r="H650" s="47"/>
      <c r="I650" s="47"/>
      <c r="J650" s="47"/>
      <c r="K650" s="47"/>
      <c r="L650" s="56"/>
      <c r="M650" s="56"/>
      <c r="N650" s="47"/>
      <c r="O650" s="47"/>
      <c r="P650" s="47"/>
      <c r="Q650" s="10"/>
      <c r="R650" s="55"/>
      <c r="S650" s="56"/>
      <c r="T650" s="56"/>
      <c r="U650" s="56"/>
      <c r="V650" s="57"/>
      <c r="W650" s="10"/>
      <c r="X650" s="10"/>
      <c r="Y650" s="10"/>
    </row>
    <row r="651" spans="4:36" ht="24.75" customHeight="1">
      <c r="D651" s="110" t="s">
        <v>173</v>
      </c>
      <c r="E651" s="110"/>
      <c r="F651" s="110"/>
      <c r="G651" s="110"/>
      <c r="H651" s="59" t="s">
        <v>87</v>
      </c>
      <c r="I651" s="107">
        <f>G643</f>
        <v>157.5</v>
      </c>
      <c r="J651" s="107"/>
      <c r="K651" s="107"/>
      <c r="L651" s="107"/>
      <c r="M651" s="14" t="s">
        <v>48</v>
      </c>
      <c r="N651" s="107">
        <f aca="true" t="shared" si="8" ref="N651:N656">R644</f>
        <v>154.212</v>
      </c>
      <c r="O651" s="107"/>
      <c r="P651" s="107"/>
      <c r="Q651" s="107"/>
      <c r="R651" s="55" t="s">
        <v>136</v>
      </c>
      <c r="S651" s="56"/>
      <c r="T651" s="56"/>
      <c r="U651" s="56"/>
      <c r="V651" s="108">
        <f>L644</f>
        <v>26.27692678</v>
      </c>
      <c r="W651" s="108"/>
      <c r="X651" s="108"/>
      <c r="Y651" s="14" t="s">
        <v>137</v>
      </c>
      <c r="Z651" s="108">
        <f>AM612</f>
        <v>12</v>
      </c>
      <c r="AA651" s="108"/>
      <c r="AB651" s="108"/>
      <c r="AC651" s="5" t="s">
        <v>89</v>
      </c>
      <c r="AD651" s="109">
        <f>(I651+N651)/2*V651*Z651</f>
        <v>49145.00040268416</v>
      </c>
      <c r="AE651" s="109"/>
      <c r="AF651" s="109"/>
      <c r="AG651" s="109"/>
      <c r="AH651" s="109"/>
      <c r="AI651" s="5" t="s">
        <v>113</v>
      </c>
      <c r="AJ651" s="5" t="s">
        <v>20</v>
      </c>
    </row>
    <row r="652" spans="4:46" ht="24.75" customHeight="1">
      <c r="D652" s="92" t="s">
        <v>228</v>
      </c>
      <c r="E652" s="92"/>
      <c r="F652" s="92"/>
      <c r="G652" s="92"/>
      <c r="H652" s="14" t="s">
        <v>87</v>
      </c>
      <c r="I652" s="107">
        <f>R644</f>
        <v>154.212</v>
      </c>
      <c r="J652" s="107"/>
      <c r="K652" s="107"/>
      <c r="L652" s="107"/>
      <c r="M652" s="14" t="s">
        <v>48</v>
      </c>
      <c r="N652" s="107">
        <f t="shared" si="8"/>
        <v>141.7</v>
      </c>
      <c r="O652" s="107"/>
      <c r="P652" s="107"/>
      <c r="Q652" s="107"/>
      <c r="R652" s="68" t="s">
        <v>171</v>
      </c>
      <c r="S652" s="14"/>
      <c r="T652" s="8">
        <v>2</v>
      </c>
      <c r="U652" s="62" t="s">
        <v>137</v>
      </c>
      <c r="V652" s="63">
        <f>L645-L644</f>
        <v>100</v>
      </c>
      <c r="W652" s="63"/>
      <c r="X652" s="63"/>
      <c r="Y652" s="64" t="s">
        <v>137</v>
      </c>
      <c r="Z652" s="24">
        <f>Z651</f>
        <v>12</v>
      </c>
      <c r="AA652" s="25"/>
      <c r="AB652" s="24"/>
      <c r="AC652" s="65" t="s">
        <v>47</v>
      </c>
      <c r="AD652" s="66">
        <v>2</v>
      </c>
      <c r="AE652" s="66"/>
      <c r="AF652" s="66"/>
      <c r="AG652" s="8" t="s">
        <v>34</v>
      </c>
      <c r="AH652" s="63">
        <f>ROUND(+(I652+N652)/T652*V652*Z652/AD652,1)</f>
        <v>88773.6</v>
      </c>
      <c r="AI652" s="63"/>
      <c r="AJ652" s="63"/>
      <c r="AK652" s="63"/>
      <c r="AL652" s="92" t="str">
        <f>IF(AH652&gt;+V602,"N/本  ＞  ρa   N.G.","N/本  ＜  ρa   O.K.")</f>
        <v>N/本  ＜  ρa   O.K.</v>
      </c>
      <c r="AM652" s="92"/>
      <c r="AN652" s="92"/>
      <c r="AO652" s="92"/>
      <c r="AP652" s="92"/>
      <c r="AQ652" s="92"/>
      <c r="AR652" s="92"/>
      <c r="AS652" s="92"/>
      <c r="AT652" s="92"/>
    </row>
    <row r="653" spans="4:46" ht="24.75" customHeight="1">
      <c r="D653" s="92" t="s">
        <v>250</v>
      </c>
      <c r="E653" s="92"/>
      <c r="F653" s="92"/>
      <c r="G653" s="92"/>
      <c r="H653" s="14" t="s">
        <v>87</v>
      </c>
      <c r="I653" s="107">
        <f>N652</f>
        <v>141.7</v>
      </c>
      <c r="J653" s="107"/>
      <c r="K653" s="107"/>
      <c r="L653" s="107"/>
      <c r="M653" s="14" t="s">
        <v>48</v>
      </c>
      <c r="N653" s="107">
        <f t="shared" si="8"/>
        <v>129.189</v>
      </c>
      <c r="O653" s="107"/>
      <c r="P653" s="107"/>
      <c r="Q653" s="107"/>
      <c r="R653" s="68" t="s">
        <v>171</v>
      </c>
      <c r="S653" s="14"/>
      <c r="T653" s="8">
        <v>2</v>
      </c>
      <c r="U653" s="62" t="s">
        <v>137</v>
      </c>
      <c r="V653" s="63">
        <f>(L646-L645)</f>
        <v>100</v>
      </c>
      <c r="W653" s="67"/>
      <c r="X653" s="24"/>
      <c r="Y653" s="64" t="s">
        <v>137</v>
      </c>
      <c r="Z653" s="24">
        <f>Z651</f>
        <v>12</v>
      </c>
      <c r="AA653" s="24"/>
      <c r="AB653" s="24"/>
      <c r="AC653" s="65" t="s">
        <v>47</v>
      </c>
      <c r="AD653" s="66">
        <v>2</v>
      </c>
      <c r="AE653" s="66"/>
      <c r="AF653" s="66"/>
      <c r="AG653" s="8" t="s">
        <v>34</v>
      </c>
      <c r="AH653" s="63">
        <f>ROUND(+(I653+N653)/T653*V653*Z653/AD653,1)</f>
        <v>81266.7</v>
      </c>
      <c r="AI653" s="63"/>
      <c r="AJ653" s="63"/>
      <c r="AK653" s="63"/>
      <c r="AL653" s="92" t="str">
        <f>IF(AH653&gt;+V602,"N/本  ＞  ρa   N.G.","N/本  ＜  ρa   O.K.")</f>
        <v>N/本  ＜  ρa   O.K.</v>
      </c>
      <c r="AM653" s="92"/>
      <c r="AN653" s="92"/>
      <c r="AO653" s="92"/>
      <c r="AP653" s="92"/>
      <c r="AQ653" s="92"/>
      <c r="AR653" s="92"/>
      <c r="AS653" s="92"/>
      <c r="AT653" s="92"/>
    </row>
    <row r="654" spans="4:46" ht="24.75" customHeight="1">
      <c r="D654" s="92" t="s">
        <v>251</v>
      </c>
      <c r="E654" s="92"/>
      <c r="F654" s="92"/>
      <c r="G654" s="92"/>
      <c r="H654" s="14" t="s">
        <v>87</v>
      </c>
      <c r="I654" s="107">
        <f>N653</f>
        <v>129.189</v>
      </c>
      <c r="J654" s="107"/>
      <c r="K654" s="107"/>
      <c r="L654" s="107"/>
      <c r="M654" s="14" t="s">
        <v>48</v>
      </c>
      <c r="N654" s="107">
        <f t="shared" si="8"/>
        <v>116.677</v>
      </c>
      <c r="O654" s="107"/>
      <c r="P654" s="107"/>
      <c r="Q654" s="107"/>
      <c r="R654" s="68" t="s">
        <v>171</v>
      </c>
      <c r="S654" s="14"/>
      <c r="T654" s="8">
        <v>2</v>
      </c>
      <c r="U654" s="62" t="s">
        <v>137</v>
      </c>
      <c r="V654" s="63">
        <f>(L647-L646)</f>
        <v>100</v>
      </c>
      <c r="W654" s="67"/>
      <c r="X654" s="24"/>
      <c r="Y654" s="64" t="s">
        <v>137</v>
      </c>
      <c r="Z654" s="24">
        <f>Z651</f>
        <v>12</v>
      </c>
      <c r="AA654" s="24"/>
      <c r="AB654" s="24"/>
      <c r="AC654" s="65" t="s">
        <v>47</v>
      </c>
      <c r="AD654" s="66">
        <v>2</v>
      </c>
      <c r="AE654" s="66"/>
      <c r="AF654" s="66"/>
      <c r="AG654" s="8" t="s">
        <v>34</v>
      </c>
      <c r="AH654" s="63">
        <f>ROUND(+(I654+N654)/T654*V654*Z654/AD654,1)</f>
        <v>73759.8</v>
      </c>
      <c r="AI654" s="63"/>
      <c r="AJ654" s="63"/>
      <c r="AK654" s="63"/>
      <c r="AL654" s="92" t="str">
        <f>IF(AH654&gt;+V602,"N/本  ＞  ρa   N.G.","N/本  ＜  ρa   O.K.")</f>
        <v>N/本  ＜  ρa   O.K.</v>
      </c>
      <c r="AM654" s="92"/>
      <c r="AN654" s="92"/>
      <c r="AO654" s="92"/>
      <c r="AP654" s="92"/>
      <c r="AQ654" s="92"/>
      <c r="AR654" s="92"/>
      <c r="AS654" s="92"/>
      <c r="AT654" s="92"/>
    </row>
    <row r="655" spans="4:46" ht="24.75" customHeight="1">
      <c r="D655" s="92" t="s">
        <v>252</v>
      </c>
      <c r="E655" s="92"/>
      <c r="F655" s="92"/>
      <c r="G655" s="92"/>
      <c r="H655" s="14" t="s">
        <v>87</v>
      </c>
      <c r="I655" s="107">
        <f>N654</f>
        <v>116.677</v>
      </c>
      <c r="J655" s="107"/>
      <c r="K655" s="107"/>
      <c r="L655" s="107"/>
      <c r="M655" s="14" t="s">
        <v>48</v>
      </c>
      <c r="N655" s="107">
        <f t="shared" si="8"/>
        <v>104.165</v>
      </c>
      <c r="O655" s="107"/>
      <c r="P655" s="107"/>
      <c r="Q655" s="107"/>
      <c r="R655" s="68" t="s">
        <v>171</v>
      </c>
      <c r="S655" s="14"/>
      <c r="T655" s="8">
        <v>2</v>
      </c>
      <c r="U655" s="62" t="s">
        <v>137</v>
      </c>
      <c r="V655" s="63">
        <f>(L648-L647)</f>
        <v>100</v>
      </c>
      <c r="W655" s="67"/>
      <c r="X655" s="24"/>
      <c r="Y655" s="64" t="s">
        <v>137</v>
      </c>
      <c r="Z655" s="24">
        <f>Z651</f>
        <v>12</v>
      </c>
      <c r="AA655" s="24"/>
      <c r="AB655" s="24"/>
      <c r="AC655" s="65" t="s">
        <v>47</v>
      </c>
      <c r="AD655" s="66">
        <v>2</v>
      </c>
      <c r="AE655" s="66"/>
      <c r="AF655" s="66"/>
      <c r="AG655" s="8" t="s">
        <v>34</v>
      </c>
      <c r="AH655" s="63">
        <f>ROUND(+(I655+N655)/T655*V655*Z655/AD655,1)</f>
        <v>66252.6</v>
      </c>
      <c r="AI655" s="63"/>
      <c r="AJ655" s="63"/>
      <c r="AK655" s="63"/>
      <c r="AL655" s="92" t="str">
        <f>IF(AH655&gt;+V602,"N/本  ＞  ρa   N.G.","N/本  ＜  ρa   O.K.")</f>
        <v>N/本  ＜  ρa   O.K.</v>
      </c>
      <c r="AM655" s="92"/>
      <c r="AN655" s="92"/>
      <c r="AO655" s="92"/>
      <c r="AP655" s="92"/>
      <c r="AQ655" s="92"/>
      <c r="AR655" s="92"/>
      <c r="AS655" s="92"/>
      <c r="AT655" s="92"/>
    </row>
    <row r="656" spans="4:46" ht="24.75" customHeight="1">
      <c r="D656" s="92" t="s">
        <v>253</v>
      </c>
      <c r="E656" s="92"/>
      <c r="F656" s="92"/>
      <c r="G656" s="92"/>
      <c r="H656" s="14" t="s">
        <v>87</v>
      </c>
      <c r="I656" s="107">
        <f>N655</f>
        <v>104.165</v>
      </c>
      <c r="J656" s="107"/>
      <c r="K656" s="107"/>
      <c r="L656" s="107"/>
      <c r="M656" s="14" t="s">
        <v>48</v>
      </c>
      <c r="N656" s="107">
        <f t="shared" si="8"/>
        <v>91.653</v>
      </c>
      <c r="O656" s="107"/>
      <c r="P656" s="107"/>
      <c r="Q656" s="107"/>
      <c r="R656" s="68" t="s">
        <v>171</v>
      </c>
      <c r="S656" s="14"/>
      <c r="T656" s="8">
        <v>2</v>
      </c>
      <c r="U656" s="62" t="s">
        <v>137</v>
      </c>
      <c r="V656" s="63">
        <f>(L649-L648)</f>
        <v>100.00000000000006</v>
      </c>
      <c r="W656" s="67"/>
      <c r="X656" s="24"/>
      <c r="Y656" s="64" t="s">
        <v>137</v>
      </c>
      <c r="Z656" s="24">
        <f>Z651</f>
        <v>12</v>
      </c>
      <c r="AA656" s="24"/>
      <c r="AB656" s="24"/>
      <c r="AC656" s="65" t="s">
        <v>47</v>
      </c>
      <c r="AD656" s="66">
        <v>2</v>
      </c>
      <c r="AE656" s="66"/>
      <c r="AF656" s="66"/>
      <c r="AG656" s="8" t="s">
        <v>34</v>
      </c>
      <c r="AH656" s="63">
        <f>ROUND(+(I656+N656)/T656*V656*Z656/AD656,1)</f>
        <v>58745.4</v>
      </c>
      <c r="AI656" s="63"/>
      <c r="AJ656" s="63"/>
      <c r="AK656" s="63"/>
      <c r="AL656" s="92" t="str">
        <f>IF(AH656&gt;+V602,"N/本  ＞  ρa   N.G.","N/本  ＜  ρa   O.K.")</f>
        <v>N/本  ＜  ρa   O.K.</v>
      </c>
      <c r="AM656" s="92"/>
      <c r="AN656" s="92"/>
      <c r="AO656" s="92"/>
      <c r="AP656" s="92"/>
      <c r="AQ656" s="92"/>
      <c r="AR656" s="92"/>
      <c r="AS656" s="92"/>
      <c r="AT656" s="92"/>
    </row>
    <row r="657" spans="4:25" ht="24.75" customHeight="1">
      <c r="D657" s="47"/>
      <c r="E657" s="47"/>
      <c r="F657" s="47"/>
      <c r="G657" s="47"/>
      <c r="H657" s="47"/>
      <c r="I657" s="47"/>
      <c r="J657" s="47"/>
      <c r="K657" s="47"/>
      <c r="L657" s="56"/>
      <c r="M657" s="56"/>
      <c r="N657" s="47"/>
      <c r="O657" s="47"/>
      <c r="P657" s="47"/>
      <c r="Q657" s="10"/>
      <c r="R657" s="55"/>
      <c r="S657" s="56"/>
      <c r="T657" s="56"/>
      <c r="U657" s="56"/>
      <c r="V657" s="57"/>
      <c r="W657" s="10"/>
      <c r="X657" s="10"/>
      <c r="Y657" s="10"/>
    </row>
    <row r="658" spans="3:47" ht="24.75" customHeight="1">
      <c r="C658" s="18" t="s">
        <v>9</v>
      </c>
      <c r="I658" s="23"/>
      <c r="AU658" s="23"/>
    </row>
    <row r="659" spans="4:47" ht="24.75" customHeight="1">
      <c r="D659" s="5" t="s">
        <v>26</v>
      </c>
      <c r="AU659" s="23"/>
    </row>
    <row r="660" spans="4:47" ht="24.75" customHeight="1">
      <c r="D660" s="5" t="s">
        <v>27</v>
      </c>
      <c r="AU660" s="23"/>
    </row>
    <row r="661" spans="5:47" ht="24.75" customHeight="1">
      <c r="E661" s="5" t="s">
        <v>125</v>
      </c>
      <c r="AU661" s="23"/>
    </row>
    <row r="662" ht="24.75" customHeight="1">
      <c r="D662" s="5" t="s">
        <v>7</v>
      </c>
    </row>
    <row r="663" spans="3:42" ht="24.75" customHeight="1">
      <c r="C663" s="106" t="s">
        <v>49</v>
      </c>
      <c r="D663" s="106"/>
      <c r="E663" s="106"/>
      <c r="G663" s="105">
        <f>ABS(O469)</f>
        <v>925.8041216</v>
      </c>
      <c r="H663" s="105"/>
      <c r="I663" s="105"/>
      <c r="J663" s="19" t="s">
        <v>41</v>
      </c>
      <c r="K663" s="132">
        <v>1000</v>
      </c>
      <c r="L663" s="132"/>
      <c r="M663" s="132"/>
      <c r="N663" s="92" t="s">
        <v>48</v>
      </c>
      <c r="O663" s="92"/>
      <c r="P663" s="105">
        <f>ABS(O470)</f>
        <v>520.94349952</v>
      </c>
      <c r="Q663" s="105"/>
      <c r="R663" s="105"/>
      <c r="S663" s="19" t="s">
        <v>41</v>
      </c>
      <c r="T663" s="97">
        <v>100000</v>
      </c>
      <c r="U663" s="97"/>
      <c r="V663" s="97"/>
      <c r="W663" s="97"/>
      <c r="Y663" s="106" t="s">
        <v>47</v>
      </c>
      <c r="Z663" s="106"/>
      <c r="AA663" s="122">
        <v>44</v>
      </c>
      <c r="AB663" s="122"/>
      <c r="AC663" s="122"/>
      <c r="AD663" s="92" t="s">
        <v>34</v>
      </c>
      <c r="AE663" s="92"/>
      <c r="AF663" s="102">
        <f>ROUND((G663*K663/J664+P663*T663/(R664*T664))/AA663,1)</f>
        <v>10783.6</v>
      </c>
      <c r="AG663" s="102"/>
      <c r="AH663" s="102"/>
      <c r="AI663" s="102"/>
      <c r="AJ663" s="103" t="str">
        <f>IF(AF663&gt;+M591,"N/本   ＞ ρa","N/本  ＜  ρa")</f>
        <v>N/本  ＜  ρa</v>
      </c>
      <c r="AK663" s="103"/>
      <c r="AL663" s="103"/>
      <c r="AM663" s="103"/>
      <c r="AN663" s="103"/>
      <c r="AO663" s="103"/>
      <c r="AP663" s="103"/>
    </row>
    <row r="664" spans="3:42" ht="24.75" customHeight="1">
      <c r="C664" s="106"/>
      <c r="D664" s="106"/>
      <c r="E664" s="106"/>
      <c r="J664" s="8">
        <v>2</v>
      </c>
      <c r="N664" s="92"/>
      <c r="O664" s="92"/>
      <c r="R664" s="8">
        <v>2</v>
      </c>
      <c r="S664" s="14" t="s">
        <v>41</v>
      </c>
      <c r="T664" s="24">
        <f>(AG468+AN468)/2*1000</f>
        <v>2250</v>
      </c>
      <c r="U664" s="25"/>
      <c r="V664" s="25"/>
      <c r="Y664" s="106"/>
      <c r="Z664" s="106"/>
      <c r="AA664" s="122"/>
      <c r="AB664" s="122"/>
      <c r="AC664" s="122"/>
      <c r="AD664" s="92"/>
      <c r="AE664" s="92"/>
      <c r="AF664" s="102"/>
      <c r="AG664" s="102"/>
      <c r="AH664" s="102"/>
      <c r="AI664" s="102"/>
      <c r="AJ664" s="103"/>
      <c r="AK664" s="103"/>
      <c r="AL664" s="103"/>
      <c r="AM664" s="103"/>
      <c r="AN664" s="103"/>
      <c r="AO664" s="103"/>
      <c r="AP664" s="103"/>
    </row>
    <row r="666" spans="3:9" ht="24.75" customHeight="1">
      <c r="C666" s="5" t="s">
        <v>10</v>
      </c>
      <c r="I666" s="23"/>
    </row>
    <row r="667" spans="4:31" ht="24.75" customHeight="1">
      <c r="D667" s="5" t="s">
        <v>50</v>
      </c>
      <c r="P667" s="104">
        <f>ROUND(MAX(AH635:AH639,AH652:AH656),1)</f>
        <v>88773.6</v>
      </c>
      <c r="Q667" s="104"/>
      <c r="R667" s="104"/>
      <c r="S667" s="104"/>
      <c r="T667" s="5" t="s">
        <v>48</v>
      </c>
      <c r="U667" s="104">
        <f>+AF663</f>
        <v>10783.6</v>
      </c>
      <c r="V667" s="104"/>
      <c r="W667" s="104"/>
      <c r="X667" s="104"/>
      <c r="Y667" s="5" t="s">
        <v>33</v>
      </c>
      <c r="AA667" s="100">
        <f>ROUND(SQRT(P667^2+U667^2),1)</f>
        <v>89426.2</v>
      </c>
      <c r="AB667" s="100"/>
      <c r="AC667" s="100"/>
      <c r="AD667" s="100"/>
      <c r="AE667" s="5" t="str">
        <f>IF(AA667&gt;$AA$8,"N/本  ＞  ρa ,  N.G","N/本  ＜  ρa ,  O.K")</f>
        <v>N/本  ＜  ρa ,  O.K</v>
      </c>
    </row>
    <row r="668" spans="3:9" ht="24.75" customHeight="1">
      <c r="C668" s="18" t="s">
        <v>245</v>
      </c>
      <c r="I668" s="23"/>
    </row>
    <row r="669" ht="24.75" customHeight="1">
      <c r="D669" s="5" t="s">
        <v>25</v>
      </c>
    </row>
    <row r="670" spans="4:30" ht="24.75" customHeight="1">
      <c r="D670" s="92" t="s">
        <v>214</v>
      </c>
      <c r="E670" s="92"/>
      <c r="F670" s="92"/>
      <c r="G670" s="132">
        <f>+AM612</f>
        <v>12</v>
      </c>
      <c r="H670" s="132"/>
      <c r="I670" s="132"/>
      <c r="J670" s="19" t="s">
        <v>41</v>
      </c>
      <c r="K670" s="176">
        <f>IF(AG470=0,M672&amp;"³",M672)</f>
        <v>2205.1077071199948</v>
      </c>
      <c r="L670" s="176"/>
      <c r="M670" s="176"/>
      <c r="N670" s="103" t="str">
        <f>IF(AG470=0,""," × ( "&amp;ROUND(M672,1)&amp;"²cos²"&amp;ROUND(AG470,2)&amp;" + "&amp;ROUND(I672,1)&amp;"²sin²"&amp;ROUND(AG470,2)&amp;" )")</f>
        <v> × ( 2205.1²cos²3.9 + 12²sin²3.9 )</v>
      </c>
      <c r="O670" s="103"/>
      <c r="P670" s="103"/>
      <c r="Q670" s="103"/>
      <c r="R670" s="103"/>
      <c r="S670" s="103"/>
      <c r="T670" s="103"/>
      <c r="U670" s="103"/>
      <c r="V670" s="103"/>
      <c r="W670" s="103"/>
      <c r="X670" s="103"/>
      <c r="Y670" s="103"/>
      <c r="Z670" s="103"/>
      <c r="AA670" s="103"/>
      <c r="AB670" s="103"/>
      <c r="AC670" s="103"/>
      <c r="AD670" s="103"/>
    </row>
    <row r="671" spans="4:30" ht="24.75" customHeight="1">
      <c r="D671" s="92"/>
      <c r="E671" s="92"/>
      <c r="F671" s="92"/>
      <c r="I671" s="92">
        <v>12</v>
      </c>
      <c r="J671" s="92"/>
      <c r="K671" s="92"/>
      <c r="N671" s="103"/>
      <c r="O671" s="103"/>
      <c r="P671" s="103"/>
      <c r="Q671" s="103"/>
      <c r="R671" s="103"/>
      <c r="S671" s="103"/>
      <c r="T671" s="103"/>
      <c r="U671" s="103"/>
      <c r="V671" s="103"/>
      <c r="W671" s="103"/>
      <c r="X671" s="103"/>
      <c r="Y671" s="103"/>
      <c r="Z671" s="103"/>
      <c r="AA671" s="103"/>
      <c r="AB671" s="103"/>
      <c r="AC671" s="103"/>
      <c r="AD671" s="103"/>
    </row>
    <row r="672" spans="4:42" ht="24.75" customHeight="1">
      <c r="D672" s="8"/>
      <c r="E672" s="8"/>
      <c r="F672" s="8"/>
      <c r="G672" s="92" t="s">
        <v>48</v>
      </c>
      <c r="H672" s="92"/>
      <c r="I672" s="124">
        <f>+G670</f>
        <v>12</v>
      </c>
      <c r="J672" s="124"/>
      <c r="K672" s="92" t="s">
        <v>36</v>
      </c>
      <c r="L672" s="92"/>
      <c r="M672" s="100">
        <f>AM611/COS(RADIANS(AG470))</f>
        <v>2205.1077071199948</v>
      </c>
      <c r="N672" s="100"/>
      <c r="O672" s="100"/>
      <c r="P672" s="100"/>
      <c r="Q672" s="92" t="s">
        <v>37</v>
      </c>
      <c r="R672" s="92"/>
      <c r="S672" s="80">
        <f>AM611/2</f>
        <v>1100</v>
      </c>
      <c r="T672" s="80"/>
      <c r="U672" s="80"/>
      <c r="V672" s="80"/>
      <c r="W672" s="92" t="s">
        <v>46</v>
      </c>
      <c r="X672" s="80">
        <f>ROUND(Q691,2)</f>
        <v>1193.95</v>
      </c>
      <c r="Y672" s="80"/>
      <c r="Z672" s="80"/>
      <c r="AA672" s="80"/>
      <c r="AB672" s="92" t="s">
        <v>38</v>
      </c>
      <c r="AC672" s="92"/>
      <c r="AD672" s="92"/>
      <c r="AE672" s="90">
        <f>I672*M672/12*((M672*COS(RADIANS(AG470)))^2+(I672*SIN(RADIANS(AG470)))^2)+I672*M672*(S672-X672)^2</f>
        <v>10906286082.181974</v>
      </c>
      <c r="AF672" s="90"/>
      <c r="AG672" s="90"/>
      <c r="AH672" s="90"/>
      <c r="AI672" s="90"/>
      <c r="AJ672" s="90"/>
      <c r="AK672" s="92" t="s">
        <v>224</v>
      </c>
      <c r="AL672" s="92"/>
      <c r="AM672" s="28"/>
      <c r="AN672" s="28"/>
      <c r="AO672" s="8"/>
      <c r="AP672" s="8"/>
    </row>
    <row r="673" spans="4:42" ht="24.75" customHeight="1">
      <c r="D673" s="8"/>
      <c r="E673" s="8"/>
      <c r="F673" s="8"/>
      <c r="G673" s="92"/>
      <c r="H673" s="92"/>
      <c r="I673" s="124"/>
      <c r="J673" s="124"/>
      <c r="K673" s="92"/>
      <c r="L673" s="92"/>
      <c r="M673" s="100"/>
      <c r="N673" s="100"/>
      <c r="O673" s="100"/>
      <c r="P673" s="100"/>
      <c r="Q673" s="92"/>
      <c r="R673" s="92"/>
      <c r="S673" s="80"/>
      <c r="T673" s="80"/>
      <c r="U673" s="80"/>
      <c r="V673" s="80"/>
      <c r="W673" s="92"/>
      <c r="X673" s="80"/>
      <c r="Y673" s="80"/>
      <c r="Z673" s="80"/>
      <c r="AA673" s="80"/>
      <c r="AB673" s="92"/>
      <c r="AC673" s="92"/>
      <c r="AD673" s="92"/>
      <c r="AE673" s="90"/>
      <c r="AF673" s="90"/>
      <c r="AG673" s="90"/>
      <c r="AH673" s="90"/>
      <c r="AI673" s="90"/>
      <c r="AJ673" s="90"/>
      <c r="AK673" s="92"/>
      <c r="AL673" s="92"/>
      <c r="AM673" s="28"/>
      <c r="AN673" s="28"/>
      <c r="AO673" s="8"/>
      <c r="AP673" s="8"/>
    </row>
    <row r="674" spans="4:42" ht="24.75" customHeight="1">
      <c r="D674" s="8"/>
      <c r="E674" s="8"/>
      <c r="F674" s="8"/>
      <c r="I674" s="8"/>
      <c r="J674" s="8"/>
      <c r="K674" s="8"/>
      <c r="N674" s="8"/>
      <c r="O674" s="8"/>
      <c r="P674" s="9"/>
      <c r="W674" s="8"/>
      <c r="AK674" s="7"/>
      <c r="AL674" s="7"/>
      <c r="AM674" s="7"/>
      <c r="AN674" s="7"/>
      <c r="AO674" s="8"/>
      <c r="AP674" s="8"/>
    </row>
    <row r="675" spans="4:23" ht="24.75" customHeight="1">
      <c r="D675" s="5" t="s">
        <v>28</v>
      </c>
      <c r="W675" s="8"/>
    </row>
    <row r="676" spans="4:33" ht="24.75" customHeight="1">
      <c r="D676" s="92" t="s">
        <v>215</v>
      </c>
      <c r="E676" s="92"/>
      <c r="F676" s="92"/>
      <c r="G676" s="92"/>
      <c r="H676" s="97" t="s">
        <v>209</v>
      </c>
      <c r="I676" s="97"/>
      <c r="J676" s="97"/>
      <c r="K676" s="92" t="s">
        <v>34</v>
      </c>
      <c r="L676" s="92"/>
      <c r="M676" s="100">
        <f>AA678</f>
        <v>7140.97722472</v>
      </c>
      <c r="N676" s="100"/>
      <c r="O676" s="100"/>
      <c r="P676" s="100"/>
      <c r="Q676" s="92" t="s">
        <v>41</v>
      </c>
      <c r="R676" s="92"/>
      <c r="S676" s="101">
        <f>+AE672</f>
        <v>10906286082.181974</v>
      </c>
      <c r="T676" s="101"/>
      <c r="U676" s="101"/>
      <c r="V676" s="101"/>
      <c r="W676" s="101"/>
      <c r="X676" s="101"/>
      <c r="Y676" s="92" t="s">
        <v>34</v>
      </c>
      <c r="Z676" s="92"/>
      <c r="AA676" s="89">
        <f>+M676*S676/S677</f>
        <v>714.0968111930003</v>
      </c>
      <c r="AB676" s="89"/>
      <c r="AC676" s="89"/>
      <c r="AD676" s="89"/>
      <c r="AE676" s="92" t="s">
        <v>103</v>
      </c>
      <c r="AF676" s="92"/>
      <c r="AG676" s="18"/>
    </row>
    <row r="677" spans="4:33" ht="24.75" customHeight="1">
      <c r="D677" s="92"/>
      <c r="E677" s="92"/>
      <c r="F677" s="92"/>
      <c r="G677" s="92"/>
      <c r="H677" s="92" t="s">
        <v>51</v>
      </c>
      <c r="I677" s="92"/>
      <c r="J677" s="92"/>
      <c r="K677" s="92"/>
      <c r="L677" s="92"/>
      <c r="M677" s="100"/>
      <c r="N677" s="100"/>
      <c r="O677" s="100"/>
      <c r="P677" s="100"/>
      <c r="Q677" s="92"/>
      <c r="R677" s="92"/>
      <c r="S677" s="99">
        <f>+U679</f>
        <v>109063000000</v>
      </c>
      <c r="T677" s="99"/>
      <c r="U677" s="99"/>
      <c r="V677" s="99"/>
      <c r="W677" s="99"/>
      <c r="X677" s="99"/>
      <c r="Y677" s="92"/>
      <c r="Z677" s="92"/>
      <c r="AA677" s="89"/>
      <c r="AB677" s="89"/>
      <c r="AC677" s="89"/>
      <c r="AD677" s="89"/>
      <c r="AE677" s="92"/>
      <c r="AF677" s="92"/>
      <c r="AG677" s="18"/>
    </row>
    <row r="678" spans="4:31" ht="24.75" customHeight="1">
      <c r="D678" s="5" t="s">
        <v>216</v>
      </c>
      <c r="I678" s="23"/>
      <c r="AA678" s="89">
        <f>ABS(O468)</f>
        <v>7140.97722472</v>
      </c>
      <c r="AB678" s="89"/>
      <c r="AC678" s="89"/>
      <c r="AD678" s="89"/>
      <c r="AE678" s="5" t="s">
        <v>111</v>
      </c>
    </row>
    <row r="679" spans="4:31" ht="24.75" customHeight="1">
      <c r="D679" s="5" t="s">
        <v>52</v>
      </c>
      <c r="G679" s="5" t="s">
        <v>29</v>
      </c>
      <c r="I679" s="23"/>
      <c r="S679" s="5" t="s">
        <v>53</v>
      </c>
      <c r="U679" s="99">
        <v>109063000000</v>
      </c>
      <c r="V679" s="99"/>
      <c r="W679" s="99"/>
      <c r="X679" s="99"/>
      <c r="Y679" s="99"/>
      <c r="Z679" s="99"/>
      <c r="AA679" s="5" t="s">
        <v>224</v>
      </c>
      <c r="AB679" s="8"/>
      <c r="AC679" s="8"/>
      <c r="AD679" s="41"/>
      <c r="AE679" s="41"/>
    </row>
    <row r="680" spans="9:35" ht="24.75" customHeight="1">
      <c r="I680" s="23"/>
      <c r="T680" s="22"/>
      <c r="U680" s="22"/>
      <c r="V680" s="22"/>
      <c r="W680" s="22"/>
      <c r="X680" s="22"/>
      <c r="AA680" s="69"/>
      <c r="AB680" s="8"/>
      <c r="AC680" s="8"/>
      <c r="AD680" s="41"/>
      <c r="AE680" s="41"/>
      <c r="AF680" s="41"/>
      <c r="AG680" s="41"/>
      <c r="AH680" s="8"/>
      <c r="AI680" s="8"/>
    </row>
    <row r="681" spans="4:35" ht="24.75" customHeight="1">
      <c r="D681" s="97" t="s">
        <v>246</v>
      </c>
      <c r="E681" s="97"/>
      <c r="F681" s="97"/>
      <c r="G681" s="97"/>
      <c r="H681" s="97"/>
      <c r="I681" s="97"/>
      <c r="J681" s="97"/>
      <c r="K681" s="97"/>
      <c r="L681" s="97"/>
      <c r="M681" s="97"/>
      <c r="N681" s="41"/>
      <c r="O681" s="41"/>
      <c r="P681" s="41"/>
      <c r="Q681" s="8"/>
      <c r="R681" s="8"/>
      <c r="S681" s="22"/>
      <c r="T681" s="22"/>
      <c r="U681" s="22"/>
      <c r="V681" s="22"/>
      <c r="W681" s="22"/>
      <c r="X681" s="8"/>
      <c r="Y681" s="8"/>
      <c r="Z681" s="69"/>
      <c r="AA681" s="69"/>
      <c r="AB681" s="8"/>
      <c r="AC681" s="8"/>
      <c r="AD681" s="41"/>
      <c r="AE681" s="41"/>
      <c r="AF681" s="41"/>
      <c r="AG681" s="41"/>
      <c r="AH681" s="8"/>
      <c r="AI681" s="8"/>
    </row>
    <row r="682" spans="4:42" ht="24.75" customHeight="1" thickBot="1">
      <c r="D682" s="77"/>
      <c r="E682" s="75"/>
      <c r="F682" s="75"/>
      <c r="G682" s="75"/>
      <c r="H682" s="75"/>
      <c r="I682" s="75"/>
      <c r="J682" s="75"/>
      <c r="K682" s="75"/>
      <c r="L682" s="75"/>
      <c r="M682" s="74" t="s">
        <v>230</v>
      </c>
      <c r="N682" s="74"/>
      <c r="O682" s="74"/>
      <c r="P682" s="74"/>
      <c r="Q682" s="74"/>
      <c r="R682" s="74"/>
      <c r="S682" s="73" t="s">
        <v>104</v>
      </c>
      <c r="T682" s="73"/>
      <c r="U682" s="73"/>
      <c r="V682" s="73"/>
      <c r="W682" s="73"/>
      <c r="X682" s="73"/>
      <c r="Y682" s="74" t="s">
        <v>231</v>
      </c>
      <c r="Z682" s="74"/>
      <c r="AA682" s="74"/>
      <c r="AB682" s="74"/>
      <c r="AC682" s="74"/>
      <c r="AD682" s="74"/>
      <c r="AE682" s="74" t="s">
        <v>232</v>
      </c>
      <c r="AF682" s="74"/>
      <c r="AG682" s="74"/>
      <c r="AH682" s="74"/>
      <c r="AI682" s="74"/>
      <c r="AJ682" s="74"/>
      <c r="AK682" s="75" t="s">
        <v>233</v>
      </c>
      <c r="AL682" s="75"/>
      <c r="AM682" s="75"/>
      <c r="AN682" s="75"/>
      <c r="AO682" s="75"/>
      <c r="AP682" s="76"/>
    </row>
    <row r="683" spans="4:42" ht="24.75" customHeight="1" thickBot="1" thickTop="1">
      <c r="D683" s="177">
        <v>2</v>
      </c>
      <c r="E683" s="178"/>
      <c r="F683" s="178"/>
      <c r="G683" s="179">
        <v>2180</v>
      </c>
      <c r="H683" s="179"/>
      <c r="I683" s="179"/>
      <c r="J683" s="179"/>
      <c r="K683" s="180">
        <v>9</v>
      </c>
      <c r="L683" s="181"/>
      <c r="M683" s="73">
        <f>+G683*K683*D683</f>
        <v>39240</v>
      </c>
      <c r="N683" s="73"/>
      <c r="O683" s="73"/>
      <c r="P683" s="73"/>
      <c r="Q683" s="73"/>
      <c r="R683" s="73"/>
      <c r="S683" s="78" t="s">
        <v>55</v>
      </c>
      <c r="T683" s="78"/>
      <c r="U683" s="78"/>
      <c r="V683" s="78"/>
      <c r="W683" s="78"/>
      <c r="X683" s="78"/>
      <c r="Y683" s="79" t="s">
        <v>55</v>
      </c>
      <c r="Z683" s="79"/>
      <c r="AA683" s="79"/>
      <c r="AB683" s="79"/>
      <c r="AC683" s="79"/>
      <c r="AD683" s="79"/>
      <c r="AE683" s="79" t="s">
        <v>55</v>
      </c>
      <c r="AF683" s="79"/>
      <c r="AG683" s="79"/>
      <c r="AH683" s="79"/>
      <c r="AI683" s="79"/>
      <c r="AJ683" s="79"/>
      <c r="AK683" s="182">
        <f>K683*G683/12*((G683*COS(RADIANS(AG470)))^2+(K683*SIN(RADIANS(AG470)))^2)*D683</f>
        <v>15468440160.32391</v>
      </c>
      <c r="AL683" s="182"/>
      <c r="AM683" s="182"/>
      <c r="AN683" s="182"/>
      <c r="AO683" s="182"/>
      <c r="AP683" s="183"/>
    </row>
    <row r="684" spans="4:42" ht="24.75" customHeight="1" thickTop="1">
      <c r="D684" s="86" t="s">
        <v>56</v>
      </c>
      <c r="E684" s="97"/>
      <c r="F684" s="97"/>
      <c r="G684" s="97"/>
      <c r="H684" s="97"/>
      <c r="I684" s="97"/>
      <c r="J684" s="97"/>
      <c r="K684" s="97"/>
      <c r="L684" s="97"/>
      <c r="M684" s="87">
        <f>SUM(M683:R683)</f>
        <v>39240</v>
      </c>
      <c r="N684" s="87"/>
      <c r="O684" s="87"/>
      <c r="P684" s="87"/>
      <c r="Q684" s="87"/>
      <c r="R684" s="87"/>
      <c r="S684" s="88"/>
      <c r="T684" s="88"/>
      <c r="U684" s="88"/>
      <c r="V684" s="88"/>
      <c r="W684" s="88"/>
      <c r="X684" s="88"/>
      <c r="Y684" s="81"/>
      <c r="Z684" s="81"/>
      <c r="AA684" s="81"/>
      <c r="AB684" s="81"/>
      <c r="AC684" s="81"/>
      <c r="AD684" s="81"/>
      <c r="AE684" s="81">
        <f>SUM(AE683:AJ683)</f>
        <v>0</v>
      </c>
      <c r="AF684" s="81"/>
      <c r="AG684" s="81"/>
      <c r="AH684" s="81"/>
      <c r="AI684" s="81"/>
      <c r="AJ684" s="81"/>
      <c r="AK684" s="82">
        <f>SUM(AK683:AP683)</f>
        <v>15468440160.32391</v>
      </c>
      <c r="AL684" s="82"/>
      <c r="AM684" s="82"/>
      <c r="AN684" s="82"/>
      <c r="AO684" s="82"/>
      <c r="AP684" s="83"/>
    </row>
    <row r="685" spans="4:31" ht="24.75" customHeight="1">
      <c r="D685" s="5" t="s">
        <v>39</v>
      </c>
      <c r="K685" s="84">
        <f>+AK684</f>
        <v>15468440160.32391</v>
      </c>
      <c r="L685" s="84"/>
      <c r="M685" s="84"/>
      <c r="N685" s="84"/>
      <c r="O685" s="84"/>
      <c r="P685" s="84"/>
      <c r="Q685" s="5" t="s">
        <v>48</v>
      </c>
      <c r="R685" s="85">
        <f>+AE684</f>
        <v>0</v>
      </c>
      <c r="S685" s="85"/>
      <c r="T685" s="85"/>
      <c r="U685" s="85"/>
      <c r="V685" s="85"/>
      <c r="W685" s="85"/>
      <c r="X685" s="5" t="s">
        <v>89</v>
      </c>
      <c r="Y685" s="84">
        <f>+K685+R685</f>
        <v>15468440160.32391</v>
      </c>
      <c r="Z685" s="84"/>
      <c r="AA685" s="84"/>
      <c r="AB685" s="84"/>
      <c r="AC685" s="84"/>
      <c r="AD685" s="84"/>
      <c r="AE685" s="5" t="s">
        <v>224</v>
      </c>
    </row>
    <row r="686" spans="4:37" ht="24.75" customHeight="1">
      <c r="D686" s="5" t="s">
        <v>57</v>
      </c>
      <c r="G686" s="90">
        <f>+Y685</f>
        <v>15468440160.32391</v>
      </c>
      <c r="H686" s="90"/>
      <c r="I686" s="90"/>
      <c r="J686" s="90"/>
      <c r="K686" s="90"/>
      <c r="L686" s="90"/>
      <c r="M686" s="5" t="s">
        <v>48</v>
      </c>
      <c r="N686" s="80">
        <f>+M684</f>
        <v>39240</v>
      </c>
      <c r="O686" s="80"/>
      <c r="P686" s="80"/>
      <c r="Q686" s="80"/>
      <c r="R686" s="5" t="s">
        <v>37</v>
      </c>
      <c r="T686" s="80">
        <f>AM611/2</f>
        <v>1100</v>
      </c>
      <c r="U686" s="80"/>
      <c r="V686" s="80"/>
      <c r="W686" s="80"/>
      <c r="X686" s="5" t="s">
        <v>46</v>
      </c>
      <c r="Y686" s="80">
        <f>ROUND(Q691,2)</f>
        <v>1193.95</v>
      </c>
      <c r="Z686" s="80"/>
      <c r="AA686" s="80"/>
      <c r="AB686" s="80"/>
      <c r="AC686" s="5" t="s">
        <v>38</v>
      </c>
      <c r="AE686" s="99">
        <f>+G686+N686*(T686-Y686)^2</f>
        <v>15814796042.42391</v>
      </c>
      <c r="AF686" s="99"/>
      <c r="AG686" s="99"/>
      <c r="AH686" s="99"/>
      <c r="AI686" s="99"/>
      <c r="AJ686" s="99"/>
      <c r="AK686" s="5" t="s">
        <v>224</v>
      </c>
    </row>
    <row r="687" spans="4:34" ht="24.75" customHeight="1">
      <c r="D687" s="5" t="s">
        <v>58</v>
      </c>
      <c r="G687" s="5" t="s">
        <v>234</v>
      </c>
      <c r="AD687" s="6"/>
      <c r="AE687" s="6"/>
      <c r="AF687" s="6"/>
      <c r="AG687" s="6"/>
      <c r="AH687" s="6"/>
    </row>
    <row r="688" spans="7:34" ht="24.75" customHeight="1">
      <c r="G688" s="22"/>
      <c r="H688" s="22"/>
      <c r="I688" s="22"/>
      <c r="J688" s="22"/>
      <c r="K688" s="22"/>
      <c r="M688" s="41"/>
      <c r="N688" s="41"/>
      <c r="O688" s="41"/>
      <c r="P688" s="41"/>
      <c r="S688" s="41"/>
      <c r="T688" s="41"/>
      <c r="U688" s="41"/>
      <c r="V688" s="41"/>
      <c r="X688" s="41"/>
      <c r="Y688" s="41"/>
      <c r="Z688" s="41"/>
      <c r="AA688" s="41"/>
      <c r="AD688" s="6"/>
      <c r="AE688" s="6"/>
      <c r="AF688" s="6"/>
      <c r="AG688" s="6"/>
      <c r="AH688" s="6"/>
    </row>
    <row r="689" spans="4:29" ht="24.75" customHeight="1">
      <c r="D689" s="5" t="s">
        <v>235</v>
      </c>
      <c r="I689" s="8"/>
      <c r="J689" s="8"/>
      <c r="K689" s="8"/>
      <c r="L689" s="8"/>
      <c r="M689" s="41"/>
      <c r="N689" s="41"/>
      <c r="O689" s="41"/>
      <c r="P689" s="41"/>
      <c r="Q689" s="8"/>
      <c r="R689" s="8"/>
      <c r="S689" s="22"/>
      <c r="T689" s="22"/>
      <c r="U689" s="22"/>
      <c r="V689" s="22"/>
      <c r="W689" s="22"/>
      <c r="X689" s="8"/>
      <c r="Y689" s="8"/>
      <c r="Z689" s="69"/>
      <c r="AA689" s="69"/>
      <c r="AB689" s="8"/>
      <c r="AC689" s="8"/>
    </row>
    <row r="690" spans="4:9" ht="24.75" customHeight="1">
      <c r="D690" s="5" t="s">
        <v>236</v>
      </c>
      <c r="I690" s="23"/>
    </row>
    <row r="691" spans="5:21" ht="24.75" customHeight="1">
      <c r="E691" s="5" t="s">
        <v>59</v>
      </c>
      <c r="H691" s="150">
        <v>-1030.049237246</v>
      </c>
      <c r="I691" s="150"/>
      <c r="J691" s="150"/>
      <c r="K691" s="150"/>
      <c r="L691" s="70" t="s">
        <v>102</v>
      </c>
      <c r="N691" s="70" t="s">
        <v>60</v>
      </c>
      <c r="Q691" s="89">
        <f>(AM611+AM483+AM538)+H691</f>
        <v>1193.950762754</v>
      </c>
      <c r="R691" s="89"/>
      <c r="S691" s="89"/>
      <c r="T691" s="89"/>
      <c r="U691" s="70" t="s">
        <v>102</v>
      </c>
    </row>
    <row r="692" spans="4:15" ht="24.75" customHeight="1">
      <c r="D692" s="5" t="s">
        <v>237</v>
      </c>
      <c r="G692" s="23"/>
      <c r="O692" s="5" t="s">
        <v>238</v>
      </c>
    </row>
    <row r="693" spans="4:45" ht="24.75" customHeight="1">
      <c r="D693" s="92" t="s">
        <v>123</v>
      </c>
      <c r="E693" s="92"/>
      <c r="F693" s="92"/>
      <c r="G693" s="97" t="s">
        <v>114</v>
      </c>
      <c r="H693" s="97"/>
      <c r="I693" s="97"/>
      <c r="J693" s="92" t="s">
        <v>61</v>
      </c>
      <c r="K693" s="92"/>
      <c r="L693" s="92"/>
      <c r="M693" s="92" t="s">
        <v>34</v>
      </c>
      <c r="N693" s="98">
        <f>+AA676</f>
        <v>714.0968111930003</v>
      </c>
      <c r="O693" s="98"/>
      <c r="P693" s="98"/>
      <c r="Q693" s="98"/>
      <c r="R693" s="98"/>
      <c r="S693" s="19" t="s">
        <v>41</v>
      </c>
      <c r="T693" s="97">
        <f>10^6</f>
        <v>1000000</v>
      </c>
      <c r="U693" s="97"/>
      <c r="V693" s="97"/>
      <c r="W693" s="95" t="s">
        <v>41</v>
      </c>
      <c r="X693" s="95"/>
      <c r="Y693" s="96">
        <f>+H691</f>
        <v>-1030.049237246</v>
      </c>
      <c r="Z693" s="96"/>
      <c r="AA693" s="96"/>
      <c r="AB693" s="96"/>
      <c r="AC693" s="96"/>
      <c r="AD693" s="92" t="s">
        <v>34</v>
      </c>
      <c r="AE693" s="96">
        <f>+N693*T693/O694*Y693</f>
        <v>-46.51055086110447</v>
      </c>
      <c r="AF693" s="96"/>
      <c r="AG693" s="96"/>
      <c r="AH693" s="96"/>
      <c r="AI693" s="96"/>
      <c r="AJ693" s="92" t="str">
        <f>IF(O468&gt;0,IF(ABS(AE693)&gt;Z473,"N/㎟  ＞   σca ,    N.G","N/㎟  ＜   σca ,    O.K"),IF(ABS(AE693)&gt;O473,"N/㎟  ＞   σta ,    N.G","N/㎟  ＜   σta ,    O.K"))</f>
        <v>N/㎟  ＜   σca ,    O.K</v>
      </c>
      <c r="AK693" s="92"/>
      <c r="AL693" s="92"/>
      <c r="AM693" s="92"/>
      <c r="AN693" s="92"/>
      <c r="AO693" s="92"/>
      <c r="AP693" s="92"/>
      <c r="AQ693" s="92"/>
      <c r="AR693" s="92"/>
      <c r="AS693" s="92"/>
    </row>
    <row r="694" spans="4:45" ht="24.75" customHeight="1">
      <c r="D694" s="92"/>
      <c r="E694" s="92"/>
      <c r="F694" s="92"/>
      <c r="G694" s="93" t="s">
        <v>62</v>
      </c>
      <c r="H694" s="93"/>
      <c r="I694" s="93"/>
      <c r="J694" s="92"/>
      <c r="K694" s="92"/>
      <c r="L694" s="92"/>
      <c r="M694" s="92"/>
      <c r="O694" s="94">
        <f>+AE686</f>
        <v>15814796042.42391</v>
      </c>
      <c r="P694" s="94"/>
      <c r="Q694" s="94"/>
      <c r="R694" s="94"/>
      <c r="S694" s="94"/>
      <c r="T694" s="94"/>
      <c r="U694" s="94"/>
      <c r="W694" s="95"/>
      <c r="X694" s="95"/>
      <c r="Y694" s="96"/>
      <c r="Z694" s="96"/>
      <c r="AA694" s="96"/>
      <c r="AB694" s="96"/>
      <c r="AC694" s="96"/>
      <c r="AD694" s="92"/>
      <c r="AE694" s="96"/>
      <c r="AF694" s="96"/>
      <c r="AG694" s="96"/>
      <c r="AH694" s="96"/>
      <c r="AI694" s="96"/>
      <c r="AJ694" s="92"/>
      <c r="AK694" s="92"/>
      <c r="AL694" s="92"/>
      <c r="AM694" s="92"/>
      <c r="AN694" s="92"/>
      <c r="AO694" s="92"/>
      <c r="AP694" s="92"/>
      <c r="AQ694" s="92"/>
      <c r="AR694" s="92"/>
      <c r="AS694" s="92"/>
    </row>
    <row r="695" spans="4:45" ht="24.75" customHeight="1">
      <c r="D695" s="92" t="s">
        <v>124</v>
      </c>
      <c r="E695" s="92"/>
      <c r="F695" s="92"/>
      <c r="G695" s="97" t="s">
        <v>114</v>
      </c>
      <c r="H695" s="97"/>
      <c r="I695" s="97"/>
      <c r="J695" s="92" t="s">
        <v>63</v>
      </c>
      <c r="K695" s="92"/>
      <c r="L695" s="92"/>
      <c r="M695" s="92" t="s">
        <v>34</v>
      </c>
      <c r="N695" s="98">
        <f>+N693</f>
        <v>714.0968111930003</v>
      </c>
      <c r="O695" s="98"/>
      <c r="P695" s="98"/>
      <c r="Q695" s="98"/>
      <c r="R695" s="98"/>
      <c r="S695" s="19" t="s">
        <v>41</v>
      </c>
      <c r="T695" s="97">
        <f>10^6</f>
        <v>1000000</v>
      </c>
      <c r="U695" s="97"/>
      <c r="V695" s="97"/>
      <c r="W695" s="95" t="s">
        <v>41</v>
      </c>
      <c r="X695" s="95"/>
      <c r="Y695" s="96">
        <f>+Q691</f>
        <v>1193.950762754</v>
      </c>
      <c r="Z695" s="96"/>
      <c r="AA695" s="96"/>
      <c r="AB695" s="96"/>
      <c r="AC695" s="96"/>
      <c r="AD695" s="92" t="s">
        <v>34</v>
      </c>
      <c r="AE695" s="96">
        <f>+N695*T695/O696*Y695</f>
        <v>53.91131381757647</v>
      </c>
      <c r="AF695" s="96"/>
      <c r="AG695" s="96"/>
      <c r="AH695" s="96"/>
      <c r="AI695" s="96"/>
      <c r="AJ695" s="92" t="str">
        <f>IF(O468&gt;0,IF(ABS(AE695)&gt;O473,"N/㎟  ＞   σta ,    N.G","N/㎟  ＜   σta ,    O.K"),IF(ABS(AE695)&gt;Z473,"N/㎟  ＞   σca ,    N.G","N/㎟  ＜   σca ,    O.K"))</f>
        <v>N/㎟  ＜   σta ,    O.K</v>
      </c>
      <c r="AK695" s="92"/>
      <c r="AL695" s="92"/>
      <c r="AM695" s="92"/>
      <c r="AN695" s="92"/>
      <c r="AO695" s="92"/>
      <c r="AP695" s="92"/>
      <c r="AQ695" s="92"/>
      <c r="AR695" s="92"/>
      <c r="AS695" s="92"/>
    </row>
    <row r="696" spans="4:45" ht="24.75" customHeight="1">
      <c r="D696" s="92"/>
      <c r="E696" s="92"/>
      <c r="F696" s="92"/>
      <c r="G696" s="93" t="s">
        <v>62</v>
      </c>
      <c r="H696" s="93"/>
      <c r="I696" s="93"/>
      <c r="J696" s="92"/>
      <c r="K696" s="92"/>
      <c r="L696" s="92"/>
      <c r="M696" s="92"/>
      <c r="O696" s="94">
        <f>+O694</f>
        <v>15814796042.42391</v>
      </c>
      <c r="P696" s="94"/>
      <c r="Q696" s="94"/>
      <c r="R696" s="94"/>
      <c r="S696" s="94"/>
      <c r="T696" s="94"/>
      <c r="U696" s="94"/>
      <c r="W696" s="95"/>
      <c r="X696" s="95"/>
      <c r="Y696" s="96"/>
      <c r="Z696" s="96"/>
      <c r="AA696" s="96"/>
      <c r="AB696" s="96"/>
      <c r="AC696" s="96"/>
      <c r="AD696" s="92"/>
      <c r="AE696" s="96"/>
      <c r="AF696" s="96"/>
      <c r="AG696" s="96"/>
      <c r="AH696" s="96"/>
      <c r="AI696" s="96"/>
      <c r="AJ696" s="92"/>
      <c r="AK696" s="92"/>
      <c r="AL696" s="92"/>
      <c r="AM696" s="92"/>
      <c r="AN696" s="92"/>
      <c r="AO696" s="92"/>
      <c r="AP696" s="92"/>
      <c r="AQ696" s="92"/>
      <c r="AR696" s="92"/>
      <c r="AS696" s="92"/>
    </row>
    <row r="697" spans="4:32" ht="24.75" customHeight="1">
      <c r="D697" s="8"/>
      <c r="E697" s="8"/>
      <c r="G697" s="53"/>
      <c r="H697" s="53"/>
      <c r="I697" s="53"/>
      <c r="J697" s="53"/>
      <c r="K697" s="53"/>
      <c r="M697" s="53"/>
      <c r="N697" s="53"/>
      <c r="O697" s="53"/>
      <c r="P697" s="53"/>
      <c r="Q697" s="53"/>
      <c r="S697" s="53"/>
      <c r="T697" s="53"/>
      <c r="U697" s="53"/>
      <c r="V697" s="53"/>
      <c r="W697" s="53"/>
      <c r="X697" s="25"/>
      <c r="Y697" s="25"/>
      <c r="Z697" s="25"/>
      <c r="AA697" s="25"/>
      <c r="AB697" s="25"/>
      <c r="AC697" s="25"/>
      <c r="AD697" s="25"/>
      <c r="AE697" s="25"/>
      <c r="AF697" s="25"/>
    </row>
  </sheetData>
  <mergeCells count="1629">
    <mergeCell ref="L166:N166"/>
    <mergeCell ref="L394:N394"/>
    <mergeCell ref="L395:N395"/>
    <mergeCell ref="L178:N178"/>
    <mergeCell ref="L179:N179"/>
    <mergeCell ref="L180:N180"/>
    <mergeCell ref="L181:N181"/>
    <mergeCell ref="L182:N182"/>
    <mergeCell ref="L183:N183"/>
    <mergeCell ref="L162:N162"/>
    <mergeCell ref="L163:N163"/>
    <mergeCell ref="L164:N164"/>
    <mergeCell ref="L165:N165"/>
    <mergeCell ref="AJ695:AS696"/>
    <mergeCell ref="G696:I696"/>
    <mergeCell ref="O696:U696"/>
    <mergeCell ref="W695:X696"/>
    <mergeCell ref="Y695:AC696"/>
    <mergeCell ref="AD695:AD696"/>
    <mergeCell ref="AE695:AI696"/>
    <mergeCell ref="G694:I694"/>
    <mergeCell ref="O694:U694"/>
    <mergeCell ref="D695:F696"/>
    <mergeCell ref="G695:I695"/>
    <mergeCell ref="J695:L696"/>
    <mergeCell ref="M695:M696"/>
    <mergeCell ref="N695:R695"/>
    <mergeCell ref="T695:V695"/>
    <mergeCell ref="Y693:AC694"/>
    <mergeCell ref="AD693:AD694"/>
    <mergeCell ref="AE693:AI694"/>
    <mergeCell ref="AJ693:AS694"/>
    <mergeCell ref="AE686:AJ686"/>
    <mergeCell ref="H691:K691"/>
    <mergeCell ref="Q691:T691"/>
    <mergeCell ref="D693:F694"/>
    <mergeCell ref="G693:I693"/>
    <mergeCell ref="J693:L694"/>
    <mergeCell ref="M693:M694"/>
    <mergeCell ref="N693:R693"/>
    <mergeCell ref="T693:V693"/>
    <mergeCell ref="W693:X694"/>
    <mergeCell ref="G686:L686"/>
    <mergeCell ref="N686:Q686"/>
    <mergeCell ref="T686:W686"/>
    <mergeCell ref="Y686:AB686"/>
    <mergeCell ref="AE684:AJ684"/>
    <mergeCell ref="AK684:AP684"/>
    <mergeCell ref="K685:P685"/>
    <mergeCell ref="R685:W685"/>
    <mergeCell ref="Y685:AD685"/>
    <mergeCell ref="D684:L684"/>
    <mergeCell ref="M684:R684"/>
    <mergeCell ref="S684:X684"/>
    <mergeCell ref="Y684:AD684"/>
    <mergeCell ref="AE682:AJ682"/>
    <mergeCell ref="AK682:AP682"/>
    <mergeCell ref="D683:F683"/>
    <mergeCell ref="G683:J683"/>
    <mergeCell ref="K683:L683"/>
    <mergeCell ref="M683:R683"/>
    <mergeCell ref="S683:X683"/>
    <mergeCell ref="Y683:AD683"/>
    <mergeCell ref="AE683:AJ683"/>
    <mergeCell ref="AK683:AP683"/>
    <mergeCell ref="U679:Z679"/>
    <mergeCell ref="D681:M681"/>
    <mergeCell ref="D682:L682"/>
    <mergeCell ref="M682:R682"/>
    <mergeCell ref="S682:X682"/>
    <mergeCell ref="Y682:AD682"/>
    <mergeCell ref="AE676:AF677"/>
    <mergeCell ref="H677:J677"/>
    <mergeCell ref="S677:X677"/>
    <mergeCell ref="AA678:AD678"/>
    <mergeCell ref="Q676:R677"/>
    <mergeCell ref="S676:X676"/>
    <mergeCell ref="Y676:Z677"/>
    <mergeCell ref="AA676:AD677"/>
    <mergeCell ref="D676:G677"/>
    <mergeCell ref="H676:J676"/>
    <mergeCell ref="K676:L677"/>
    <mergeCell ref="M676:P677"/>
    <mergeCell ref="Q672:R673"/>
    <mergeCell ref="S672:V673"/>
    <mergeCell ref="W672:W673"/>
    <mergeCell ref="X672:AA673"/>
    <mergeCell ref="G672:H673"/>
    <mergeCell ref="I672:J673"/>
    <mergeCell ref="K672:L673"/>
    <mergeCell ref="M672:P673"/>
    <mergeCell ref="D670:F671"/>
    <mergeCell ref="G670:I670"/>
    <mergeCell ref="K670:M670"/>
    <mergeCell ref="N670:AD671"/>
    <mergeCell ref="I671:K671"/>
    <mergeCell ref="P667:S667"/>
    <mergeCell ref="U667:X667"/>
    <mergeCell ref="AA667:AD667"/>
    <mergeCell ref="P663:R663"/>
    <mergeCell ref="T663:W663"/>
    <mergeCell ref="Y663:Z664"/>
    <mergeCell ref="AA663:AC664"/>
    <mergeCell ref="C663:E664"/>
    <mergeCell ref="G663:I663"/>
    <mergeCell ref="K663:M663"/>
    <mergeCell ref="N663:O664"/>
    <mergeCell ref="D655:G655"/>
    <mergeCell ref="I655:L655"/>
    <mergeCell ref="N655:Q655"/>
    <mergeCell ref="D656:G656"/>
    <mergeCell ref="I656:L656"/>
    <mergeCell ref="N656:Q656"/>
    <mergeCell ref="D653:G653"/>
    <mergeCell ref="I653:L653"/>
    <mergeCell ref="N653:Q653"/>
    <mergeCell ref="D654:G654"/>
    <mergeCell ref="I654:L654"/>
    <mergeCell ref="N654:Q654"/>
    <mergeCell ref="D652:G652"/>
    <mergeCell ref="I652:L652"/>
    <mergeCell ref="N652:Q652"/>
    <mergeCell ref="N651:Q651"/>
    <mergeCell ref="D651:G651"/>
    <mergeCell ref="I651:L651"/>
    <mergeCell ref="L649:N649"/>
    <mergeCell ref="V651:X651"/>
    <mergeCell ref="D648:F648"/>
    <mergeCell ref="G648:K648"/>
    <mergeCell ref="D649:F649"/>
    <mergeCell ref="G649:K649"/>
    <mergeCell ref="L647:N647"/>
    <mergeCell ref="L648:N648"/>
    <mergeCell ref="D645:F645"/>
    <mergeCell ref="G645:K645"/>
    <mergeCell ref="D646:F646"/>
    <mergeCell ref="G646:K646"/>
    <mergeCell ref="L645:N645"/>
    <mergeCell ref="L646:N646"/>
    <mergeCell ref="D647:F647"/>
    <mergeCell ref="G647:K647"/>
    <mergeCell ref="S642:U642"/>
    <mergeCell ref="D643:F643"/>
    <mergeCell ref="D644:F644"/>
    <mergeCell ref="G644:K644"/>
    <mergeCell ref="L644:N644"/>
    <mergeCell ref="D638:G638"/>
    <mergeCell ref="I638:L638"/>
    <mergeCell ref="N638:Q638"/>
    <mergeCell ref="D639:G639"/>
    <mergeCell ref="I639:L639"/>
    <mergeCell ref="N639:Q639"/>
    <mergeCell ref="D636:G636"/>
    <mergeCell ref="I636:L636"/>
    <mergeCell ref="N636:Q636"/>
    <mergeCell ref="D637:G637"/>
    <mergeCell ref="I637:L637"/>
    <mergeCell ref="N637:Q637"/>
    <mergeCell ref="Z634:AB634"/>
    <mergeCell ref="AD634:AH634"/>
    <mergeCell ref="D635:G635"/>
    <mergeCell ref="I635:L635"/>
    <mergeCell ref="N635:Q635"/>
    <mergeCell ref="N634:Q634"/>
    <mergeCell ref="D634:G634"/>
    <mergeCell ref="I634:L634"/>
    <mergeCell ref="L632:N632"/>
    <mergeCell ref="V634:X634"/>
    <mergeCell ref="D631:F631"/>
    <mergeCell ref="G631:K631"/>
    <mergeCell ref="D632:F632"/>
    <mergeCell ref="G632:K632"/>
    <mergeCell ref="L630:N630"/>
    <mergeCell ref="L631:N631"/>
    <mergeCell ref="D628:F628"/>
    <mergeCell ref="G628:K628"/>
    <mergeCell ref="D629:F629"/>
    <mergeCell ref="G629:K629"/>
    <mergeCell ref="L628:N628"/>
    <mergeCell ref="L629:N629"/>
    <mergeCell ref="D630:F630"/>
    <mergeCell ref="G630:K630"/>
    <mergeCell ref="D626:F626"/>
    <mergeCell ref="D627:F627"/>
    <mergeCell ref="G627:K627"/>
    <mergeCell ref="L627:N627"/>
    <mergeCell ref="W605:Z605"/>
    <mergeCell ref="AM611:AP611"/>
    <mergeCell ref="AM612:AP612"/>
    <mergeCell ref="S625:U625"/>
    <mergeCell ref="I605:K605"/>
    <mergeCell ref="L605:N605"/>
    <mergeCell ref="O605:P605"/>
    <mergeCell ref="Q605:T605"/>
    <mergeCell ref="AI602:AK602"/>
    <mergeCell ref="D604:J604"/>
    <mergeCell ref="W604:Z604"/>
    <mergeCell ref="AB604:AE604"/>
    <mergeCell ref="AG604:AJ604"/>
    <mergeCell ref="Q602:T602"/>
    <mergeCell ref="V602:Y602"/>
    <mergeCell ref="AB602:AE602"/>
    <mergeCell ref="AF602:AH602"/>
    <mergeCell ref="AB597:AD597"/>
    <mergeCell ref="O601:P601"/>
    <mergeCell ref="R601:T601"/>
    <mergeCell ref="V601:Y601"/>
    <mergeCell ref="L592:Q592"/>
    <mergeCell ref="S592:V592"/>
    <mergeCell ref="AB592:AE592"/>
    <mergeCell ref="AB596:AD596"/>
    <mergeCell ref="AH588:AK588"/>
    <mergeCell ref="AH589:AK589"/>
    <mergeCell ref="S590:X590"/>
    <mergeCell ref="Z590:AC590"/>
    <mergeCell ref="AE590:AH590"/>
    <mergeCell ref="AE586:AF586"/>
    <mergeCell ref="AH586:AK586"/>
    <mergeCell ref="P587:R587"/>
    <mergeCell ref="T587:U587"/>
    <mergeCell ref="AH587:AK587"/>
    <mergeCell ref="P586:R586"/>
    <mergeCell ref="T586:U586"/>
    <mergeCell ref="W586:Y586"/>
    <mergeCell ref="AB586:AC586"/>
    <mergeCell ref="AA577:AJ578"/>
    <mergeCell ref="AE584:AF584"/>
    <mergeCell ref="AH584:AK584"/>
    <mergeCell ref="P585:R585"/>
    <mergeCell ref="T585:V585"/>
    <mergeCell ref="X585:Y585"/>
    <mergeCell ref="AB585:AC585"/>
    <mergeCell ref="AE585:AF585"/>
    <mergeCell ref="AH585:AK585"/>
    <mergeCell ref="P584:R584"/>
    <mergeCell ref="X584:Y584"/>
    <mergeCell ref="AB584:AC584"/>
    <mergeCell ref="P581:S581"/>
    <mergeCell ref="U581:X581"/>
    <mergeCell ref="AA581:AD581"/>
    <mergeCell ref="T584:V584"/>
    <mergeCell ref="J571:O571"/>
    <mergeCell ref="Q571:T571"/>
    <mergeCell ref="W571:Z571"/>
    <mergeCell ref="C577:E578"/>
    <mergeCell ref="G577:I577"/>
    <mergeCell ref="K577:N577"/>
    <mergeCell ref="P577:Q578"/>
    <mergeCell ref="R577:T578"/>
    <mergeCell ref="U577:V578"/>
    <mergeCell ref="W577:Z578"/>
    <mergeCell ref="AG564:AI564"/>
    <mergeCell ref="H565:K565"/>
    <mergeCell ref="L567:Q567"/>
    <mergeCell ref="S567:V567"/>
    <mergeCell ref="X567:Z567"/>
    <mergeCell ref="AB567:AE567"/>
    <mergeCell ref="AC563:AF563"/>
    <mergeCell ref="I564:K564"/>
    <mergeCell ref="M564:O564"/>
    <mergeCell ref="Q564:S564"/>
    <mergeCell ref="U564:W564"/>
    <mergeCell ref="Y564:AA564"/>
    <mergeCell ref="AC564:AE564"/>
    <mergeCell ref="H562:K562"/>
    <mergeCell ref="T562:W562"/>
    <mergeCell ref="Q563:V563"/>
    <mergeCell ref="X563:AA563"/>
    <mergeCell ref="AC561:AE561"/>
    <mergeCell ref="AG561:AI561"/>
    <mergeCell ref="BA561:BB561"/>
    <mergeCell ref="BJ561:BK561"/>
    <mergeCell ref="W558:Z558"/>
    <mergeCell ref="W559:Z559"/>
    <mergeCell ref="I561:K561"/>
    <mergeCell ref="M561:O561"/>
    <mergeCell ref="Q561:S561"/>
    <mergeCell ref="U561:W561"/>
    <mergeCell ref="Y561:AA561"/>
    <mergeCell ref="I558:K558"/>
    <mergeCell ref="L558:N558"/>
    <mergeCell ref="O558:P558"/>
    <mergeCell ref="Q558:T558"/>
    <mergeCell ref="W556:Z556"/>
    <mergeCell ref="I557:K557"/>
    <mergeCell ref="L557:N557"/>
    <mergeCell ref="O557:P557"/>
    <mergeCell ref="Q557:T557"/>
    <mergeCell ref="W557:Z557"/>
    <mergeCell ref="I556:K556"/>
    <mergeCell ref="L556:N556"/>
    <mergeCell ref="O556:P556"/>
    <mergeCell ref="Q556:T556"/>
    <mergeCell ref="AE553:AH553"/>
    <mergeCell ref="AI553:AM553"/>
    <mergeCell ref="Q555:V555"/>
    <mergeCell ref="X555:AA555"/>
    <mergeCell ref="AC555:AF555"/>
    <mergeCell ref="AG555:AH555"/>
    <mergeCell ref="K553:P553"/>
    <mergeCell ref="R553:U553"/>
    <mergeCell ref="W553:Z553"/>
    <mergeCell ref="AA553:AB553"/>
    <mergeCell ref="R550:V550"/>
    <mergeCell ref="BA550:BC550"/>
    <mergeCell ref="BG550:BI550"/>
    <mergeCell ref="AC551:AE551"/>
    <mergeCell ref="AG551:AJ551"/>
    <mergeCell ref="AN551:AS551"/>
    <mergeCell ref="P535:S535"/>
    <mergeCell ref="AM538:AO538"/>
    <mergeCell ref="AM539:AO539"/>
    <mergeCell ref="AO540:AP540"/>
    <mergeCell ref="W530:Z530"/>
    <mergeCell ref="I532:N532"/>
    <mergeCell ref="E533:I533"/>
    <mergeCell ref="E534:H534"/>
    <mergeCell ref="J534:L534"/>
    <mergeCell ref="N534:Q534"/>
    <mergeCell ref="I530:K530"/>
    <mergeCell ref="L530:N530"/>
    <mergeCell ref="O530:P530"/>
    <mergeCell ref="Q530:T530"/>
    <mergeCell ref="V528:V529"/>
    <mergeCell ref="W528:Z529"/>
    <mergeCell ref="AA528:AB529"/>
    <mergeCell ref="N529:Q529"/>
    <mergeCell ref="D528:J529"/>
    <mergeCell ref="K528:L528"/>
    <mergeCell ref="N528:P528"/>
    <mergeCell ref="R528:U528"/>
    <mergeCell ref="Z525:AB526"/>
    <mergeCell ref="AC525:AF526"/>
    <mergeCell ref="AG525:AJ526"/>
    <mergeCell ref="F526:H526"/>
    <mergeCell ref="M526:P526"/>
    <mergeCell ref="AA515:AD515"/>
    <mergeCell ref="AB520:AD520"/>
    <mergeCell ref="AB521:AD521"/>
    <mergeCell ref="D525:E526"/>
    <mergeCell ref="I525:I526"/>
    <mergeCell ref="J525:K525"/>
    <mergeCell ref="M525:O525"/>
    <mergeCell ref="Q525:T525"/>
    <mergeCell ref="U525:U526"/>
    <mergeCell ref="V525:Y526"/>
    <mergeCell ref="R511:T512"/>
    <mergeCell ref="U511:V512"/>
    <mergeCell ref="W511:Z512"/>
    <mergeCell ref="P515:S515"/>
    <mergeCell ref="U515:X515"/>
    <mergeCell ref="C511:E512"/>
    <mergeCell ref="G511:I511"/>
    <mergeCell ref="K511:N511"/>
    <mergeCell ref="P511:Q512"/>
    <mergeCell ref="P501:T501"/>
    <mergeCell ref="V501:Y501"/>
    <mergeCell ref="AA501:AE501"/>
    <mergeCell ref="J505:N505"/>
    <mergeCell ref="P505:S505"/>
    <mergeCell ref="V505:Z505"/>
    <mergeCell ref="W499:Z499"/>
    <mergeCell ref="W500:Z500"/>
    <mergeCell ref="AA500:AH500"/>
    <mergeCell ref="AI500:AL500"/>
    <mergeCell ref="I499:K499"/>
    <mergeCell ref="L499:N499"/>
    <mergeCell ref="O499:P499"/>
    <mergeCell ref="Q499:T499"/>
    <mergeCell ref="W497:Z497"/>
    <mergeCell ref="I498:K498"/>
    <mergeCell ref="L498:N498"/>
    <mergeCell ref="O498:P498"/>
    <mergeCell ref="Q498:T498"/>
    <mergeCell ref="W498:Z498"/>
    <mergeCell ref="I497:K497"/>
    <mergeCell ref="L497:N497"/>
    <mergeCell ref="O497:P497"/>
    <mergeCell ref="Q497:T497"/>
    <mergeCell ref="AE494:AH494"/>
    <mergeCell ref="AI494:AM494"/>
    <mergeCell ref="Q496:U496"/>
    <mergeCell ref="W496:Z496"/>
    <mergeCell ref="AB496:AE496"/>
    <mergeCell ref="AF496:AG496"/>
    <mergeCell ref="K494:O494"/>
    <mergeCell ref="Q494:T494"/>
    <mergeCell ref="V494:Y494"/>
    <mergeCell ref="AA494:AB494"/>
    <mergeCell ref="AM484:AO484"/>
    <mergeCell ref="AO485:AP485"/>
    <mergeCell ref="Q492:R492"/>
    <mergeCell ref="T492:V492"/>
    <mergeCell ref="X492:Z492"/>
    <mergeCell ref="AB492:AE492"/>
    <mergeCell ref="AI492:AM492"/>
    <mergeCell ref="CB482:CD482"/>
    <mergeCell ref="CE482:CG482"/>
    <mergeCell ref="CH482:CJ482"/>
    <mergeCell ref="AM483:AN483"/>
    <mergeCell ref="BP482:BR482"/>
    <mergeCell ref="BS482:BU482"/>
    <mergeCell ref="BV482:BX482"/>
    <mergeCell ref="BY482:CA482"/>
    <mergeCell ref="CB481:CD481"/>
    <mergeCell ref="CE481:CG481"/>
    <mergeCell ref="CH481:CJ481"/>
    <mergeCell ref="AU482:AW482"/>
    <mergeCell ref="AX482:AZ482"/>
    <mergeCell ref="BA482:BC482"/>
    <mergeCell ref="BD482:BF482"/>
    <mergeCell ref="BG482:BI482"/>
    <mergeCell ref="BJ482:BL482"/>
    <mergeCell ref="BM482:BO482"/>
    <mergeCell ref="BP481:BR481"/>
    <mergeCell ref="BS481:BU481"/>
    <mergeCell ref="BV481:BX481"/>
    <mergeCell ref="BY481:CA481"/>
    <mergeCell ref="CB480:CD480"/>
    <mergeCell ref="CE480:CG480"/>
    <mergeCell ref="CH480:CJ480"/>
    <mergeCell ref="AU481:AW481"/>
    <mergeCell ref="AX481:AZ481"/>
    <mergeCell ref="BA481:BC481"/>
    <mergeCell ref="BD481:BF481"/>
    <mergeCell ref="BG481:BI481"/>
    <mergeCell ref="BJ481:BL481"/>
    <mergeCell ref="BM481:BO481"/>
    <mergeCell ref="BP480:BR480"/>
    <mergeCell ref="BS480:BU480"/>
    <mergeCell ref="BV480:BX480"/>
    <mergeCell ref="BY480:CA480"/>
    <mergeCell ref="CB479:CD479"/>
    <mergeCell ref="CE479:CG479"/>
    <mergeCell ref="CH479:CJ479"/>
    <mergeCell ref="AU480:AW480"/>
    <mergeCell ref="AX480:AZ480"/>
    <mergeCell ref="BA480:BC480"/>
    <mergeCell ref="BD480:BF480"/>
    <mergeCell ref="BG480:BI480"/>
    <mergeCell ref="BJ480:BL480"/>
    <mergeCell ref="BM480:BO480"/>
    <mergeCell ref="BP479:BR479"/>
    <mergeCell ref="BS479:BU479"/>
    <mergeCell ref="BV479:BX479"/>
    <mergeCell ref="BY479:CA479"/>
    <mergeCell ref="BD479:BF479"/>
    <mergeCell ref="BG479:BI479"/>
    <mergeCell ref="BJ479:BL479"/>
    <mergeCell ref="BM479:BO479"/>
    <mergeCell ref="P479:S479"/>
    <mergeCell ref="AU479:AW479"/>
    <mergeCell ref="AX479:AZ479"/>
    <mergeCell ref="BA479:BC479"/>
    <mergeCell ref="E478:H478"/>
    <mergeCell ref="J478:L478"/>
    <mergeCell ref="N478:Q478"/>
    <mergeCell ref="AU478:BB478"/>
    <mergeCell ref="BY477:CA477"/>
    <mergeCell ref="CB477:CD477"/>
    <mergeCell ref="CE477:CG477"/>
    <mergeCell ref="CH477:CJ477"/>
    <mergeCell ref="BM477:BO477"/>
    <mergeCell ref="BP477:BR477"/>
    <mergeCell ref="BS477:BU477"/>
    <mergeCell ref="BV477:BX477"/>
    <mergeCell ref="CB476:CD476"/>
    <mergeCell ref="CE476:CG476"/>
    <mergeCell ref="CH476:CJ476"/>
    <mergeCell ref="E477:J477"/>
    <mergeCell ref="AU477:AW477"/>
    <mergeCell ref="AX477:AZ477"/>
    <mergeCell ref="BA477:BC477"/>
    <mergeCell ref="BD477:BF477"/>
    <mergeCell ref="BG477:BI477"/>
    <mergeCell ref="BJ477:BL477"/>
    <mergeCell ref="BP476:BR476"/>
    <mergeCell ref="BS476:BU476"/>
    <mergeCell ref="BV476:BX476"/>
    <mergeCell ref="BY476:CA476"/>
    <mergeCell ref="CE475:CG475"/>
    <mergeCell ref="CH475:CJ475"/>
    <mergeCell ref="I476:N476"/>
    <mergeCell ref="AU476:AW476"/>
    <mergeCell ref="AX476:AZ476"/>
    <mergeCell ref="BA476:BC476"/>
    <mergeCell ref="BD476:BF476"/>
    <mergeCell ref="BG476:BI476"/>
    <mergeCell ref="BJ476:BL476"/>
    <mergeCell ref="BM476:BO476"/>
    <mergeCell ref="BS475:BU475"/>
    <mergeCell ref="BV475:BX475"/>
    <mergeCell ref="BY475:CA475"/>
    <mergeCell ref="CB475:CD475"/>
    <mergeCell ref="CE474:CG474"/>
    <mergeCell ref="CH474:CJ474"/>
    <mergeCell ref="AU475:AW475"/>
    <mergeCell ref="AX475:AZ475"/>
    <mergeCell ref="BA475:BC475"/>
    <mergeCell ref="BD475:BF475"/>
    <mergeCell ref="BG475:BI475"/>
    <mergeCell ref="BJ475:BL475"/>
    <mergeCell ref="BM475:BO475"/>
    <mergeCell ref="BP475:BR475"/>
    <mergeCell ref="BS474:BU474"/>
    <mergeCell ref="BV474:BX474"/>
    <mergeCell ref="BY474:CA474"/>
    <mergeCell ref="CB474:CD474"/>
    <mergeCell ref="BG474:BI474"/>
    <mergeCell ref="BJ474:BL474"/>
    <mergeCell ref="BM474:BO474"/>
    <mergeCell ref="BP474:BR474"/>
    <mergeCell ref="AU473:BE473"/>
    <mergeCell ref="H474:J474"/>
    <mergeCell ref="L474:N474"/>
    <mergeCell ref="R474:T474"/>
    <mergeCell ref="V474:Y474"/>
    <mergeCell ref="AA474:AC474"/>
    <mergeCell ref="AU474:AW474"/>
    <mergeCell ref="AX474:AZ474"/>
    <mergeCell ref="BA474:BC474"/>
    <mergeCell ref="BD474:BF474"/>
    <mergeCell ref="F473:I473"/>
    <mergeCell ref="O473:R473"/>
    <mergeCell ref="Z473:AC473"/>
    <mergeCell ref="AK473:AN473"/>
    <mergeCell ref="O470:S470"/>
    <mergeCell ref="AG470:AI470"/>
    <mergeCell ref="O471:S471"/>
    <mergeCell ref="O472:S472"/>
    <mergeCell ref="O468:S468"/>
    <mergeCell ref="AG468:AI468"/>
    <mergeCell ref="AN468:AP468"/>
    <mergeCell ref="O469:S469"/>
    <mergeCell ref="AG469:AI469"/>
    <mergeCell ref="AJ462:AS463"/>
    <mergeCell ref="G463:I463"/>
    <mergeCell ref="O463:U463"/>
    <mergeCell ref="W462:X463"/>
    <mergeCell ref="Y462:AC463"/>
    <mergeCell ref="AD462:AD463"/>
    <mergeCell ref="AE462:AI463"/>
    <mergeCell ref="G461:I461"/>
    <mergeCell ref="O461:U461"/>
    <mergeCell ref="D462:F463"/>
    <mergeCell ref="G462:I462"/>
    <mergeCell ref="J462:L463"/>
    <mergeCell ref="M462:M463"/>
    <mergeCell ref="N462:R462"/>
    <mergeCell ref="T462:V462"/>
    <mergeCell ref="Y460:AC461"/>
    <mergeCell ref="AD460:AD461"/>
    <mergeCell ref="AE460:AI461"/>
    <mergeCell ref="AJ460:AS461"/>
    <mergeCell ref="AE453:AJ453"/>
    <mergeCell ref="H458:K458"/>
    <mergeCell ref="Q458:T458"/>
    <mergeCell ref="D460:F461"/>
    <mergeCell ref="G460:I460"/>
    <mergeCell ref="J460:L461"/>
    <mergeCell ref="M460:M461"/>
    <mergeCell ref="N460:R460"/>
    <mergeCell ref="T460:V460"/>
    <mergeCell ref="W460:X461"/>
    <mergeCell ref="G453:L453"/>
    <mergeCell ref="N453:Q453"/>
    <mergeCell ref="T453:W453"/>
    <mergeCell ref="Y453:AB453"/>
    <mergeCell ref="AE451:AJ451"/>
    <mergeCell ref="AK451:AP451"/>
    <mergeCell ref="K452:P452"/>
    <mergeCell ref="R452:W452"/>
    <mergeCell ref="Y452:AD452"/>
    <mergeCell ref="D451:L451"/>
    <mergeCell ref="M451:R451"/>
    <mergeCell ref="S451:X451"/>
    <mergeCell ref="Y451:AD451"/>
    <mergeCell ref="AK449:AP449"/>
    <mergeCell ref="D450:F450"/>
    <mergeCell ref="G450:J450"/>
    <mergeCell ref="K450:L450"/>
    <mergeCell ref="M450:R450"/>
    <mergeCell ref="S450:X450"/>
    <mergeCell ref="Y450:AD450"/>
    <mergeCell ref="AE450:AJ450"/>
    <mergeCell ref="AK450:AP450"/>
    <mergeCell ref="U446:Z446"/>
    <mergeCell ref="D448:M448"/>
    <mergeCell ref="D449:L449"/>
    <mergeCell ref="M449:R449"/>
    <mergeCell ref="S449:X449"/>
    <mergeCell ref="Y449:AD449"/>
    <mergeCell ref="S444:X444"/>
    <mergeCell ref="AA445:AD445"/>
    <mergeCell ref="Q443:R444"/>
    <mergeCell ref="S443:X443"/>
    <mergeCell ref="Y443:Z444"/>
    <mergeCell ref="AA443:AD444"/>
    <mergeCell ref="D443:G444"/>
    <mergeCell ref="H443:J443"/>
    <mergeCell ref="K443:L444"/>
    <mergeCell ref="M443:P444"/>
    <mergeCell ref="H444:J444"/>
    <mergeCell ref="Q439:R440"/>
    <mergeCell ref="S439:V440"/>
    <mergeCell ref="W439:W440"/>
    <mergeCell ref="X439:AA440"/>
    <mergeCell ref="G439:H440"/>
    <mergeCell ref="I439:J440"/>
    <mergeCell ref="K439:L440"/>
    <mergeCell ref="M439:P440"/>
    <mergeCell ref="D437:F438"/>
    <mergeCell ref="G437:I437"/>
    <mergeCell ref="K437:M437"/>
    <mergeCell ref="N437:AD438"/>
    <mergeCell ref="I438:K438"/>
    <mergeCell ref="P434:S434"/>
    <mergeCell ref="U434:X434"/>
    <mergeCell ref="AA434:AD434"/>
    <mergeCell ref="P430:R430"/>
    <mergeCell ref="T430:W430"/>
    <mergeCell ref="Y430:Z431"/>
    <mergeCell ref="AA430:AC431"/>
    <mergeCell ref="C430:E431"/>
    <mergeCell ref="G430:I430"/>
    <mergeCell ref="K430:M430"/>
    <mergeCell ref="N430:O431"/>
    <mergeCell ref="D422:G422"/>
    <mergeCell ref="I422:L422"/>
    <mergeCell ref="N422:Q422"/>
    <mergeCell ref="D423:G423"/>
    <mergeCell ref="I423:L423"/>
    <mergeCell ref="N423:Q423"/>
    <mergeCell ref="D420:G420"/>
    <mergeCell ref="I420:L420"/>
    <mergeCell ref="N420:Q420"/>
    <mergeCell ref="D421:G421"/>
    <mergeCell ref="I421:L421"/>
    <mergeCell ref="N421:Q421"/>
    <mergeCell ref="Z418:AB418"/>
    <mergeCell ref="AD418:AH418"/>
    <mergeCell ref="D419:G419"/>
    <mergeCell ref="I419:L419"/>
    <mergeCell ref="N419:Q419"/>
    <mergeCell ref="N418:Q418"/>
    <mergeCell ref="D418:G418"/>
    <mergeCell ref="I418:L418"/>
    <mergeCell ref="L416:N416"/>
    <mergeCell ref="V418:X418"/>
    <mergeCell ref="D415:F415"/>
    <mergeCell ref="G415:K415"/>
    <mergeCell ref="D416:F416"/>
    <mergeCell ref="G416:K416"/>
    <mergeCell ref="L414:N414"/>
    <mergeCell ref="L415:N415"/>
    <mergeCell ref="D412:F412"/>
    <mergeCell ref="G412:K412"/>
    <mergeCell ref="D413:F413"/>
    <mergeCell ref="G413:K413"/>
    <mergeCell ref="L412:N412"/>
    <mergeCell ref="L413:N413"/>
    <mergeCell ref="D414:F414"/>
    <mergeCell ref="G414:K414"/>
    <mergeCell ref="S409:U409"/>
    <mergeCell ref="D410:F410"/>
    <mergeCell ref="D411:F411"/>
    <mergeCell ref="G411:K411"/>
    <mergeCell ref="L411:N411"/>
    <mergeCell ref="D405:G405"/>
    <mergeCell ref="I405:L405"/>
    <mergeCell ref="N405:Q405"/>
    <mergeCell ref="D406:G406"/>
    <mergeCell ref="I406:L406"/>
    <mergeCell ref="N406:Q406"/>
    <mergeCell ref="D403:G403"/>
    <mergeCell ref="I403:L403"/>
    <mergeCell ref="N403:Q403"/>
    <mergeCell ref="D404:G404"/>
    <mergeCell ref="I404:L404"/>
    <mergeCell ref="N404:Q404"/>
    <mergeCell ref="V401:X401"/>
    <mergeCell ref="Z401:AB401"/>
    <mergeCell ref="AD401:AH401"/>
    <mergeCell ref="D402:G402"/>
    <mergeCell ref="I402:L402"/>
    <mergeCell ref="N402:Q402"/>
    <mergeCell ref="N401:Q401"/>
    <mergeCell ref="G398:K398"/>
    <mergeCell ref="D399:F399"/>
    <mergeCell ref="G399:K399"/>
    <mergeCell ref="D401:G401"/>
    <mergeCell ref="I401:L401"/>
    <mergeCell ref="L399:N399"/>
    <mergeCell ref="L397:N397"/>
    <mergeCell ref="L398:N398"/>
    <mergeCell ref="D395:F395"/>
    <mergeCell ref="G395:K395"/>
    <mergeCell ref="D396:F396"/>
    <mergeCell ref="G396:K396"/>
    <mergeCell ref="L396:N396"/>
    <mergeCell ref="D397:F397"/>
    <mergeCell ref="G397:K397"/>
    <mergeCell ref="D398:F398"/>
    <mergeCell ref="D393:F393"/>
    <mergeCell ref="D394:F394"/>
    <mergeCell ref="G394:K394"/>
    <mergeCell ref="W372:Z372"/>
    <mergeCell ref="AM378:AP378"/>
    <mergeCell ref="AM379:AP379"/>
    <mergeCell ref="S392:U392"/>
    <mergeCell ref="I372:K372"/>
    <mergeCell ref="L372:N372"/>
    <mergeCell ref="O372:P372"/>
    <mergeCell ref="Q372:T372"/>
    <mergeCell ref="AI369:AK369"/>
    <mergeCell ref="D371:J371"/>
    <mergeCell ref="W371:Z371"/>
    <mergeCell ref="AB371:AE371"/>
    <mergeCell ref="AG371:AJ371"/>
    <mergeCell ref="Q369:T369"/>
    <mergeCell ref="V369:Y369"/>
    <mergeCell ref="AB369:AE369"/>
    <mergeCell ref="AF369:AH369"/>
    <mergeCell ref="AB364:AD364"/>
    <mergeCell ref="O368:P368"/>
    <mergeCell ref="R368:T368"/>
    <mergeCell ref="V368:Y368"/>
    <mergeCell ref="L359:Q359"/>
    <mergeCell ref="S359:V359"/>
    <mergeCell ref="AB359:AE359"/>
    <mergeCell ref="AB363:AD363"/>
    <mergeCell ref="AH355:AK355"/>
    <mergeCell ref="AH356:AK356"/>
    <mergeCell ref="S357:X357"/>
    <mergeCell ref="Z357:AC357"/>
    <mergeCell ref="AE357:AH357"/>
    <mergeCell ref="AE353:AF353"/>
    <mergeCell ref="AH353:AK353"/>
    <mergeCell ref="P354:R354"/>
    <mergeCell ref="T354:U354"/>
    <mergeCell ref="AH354:AK354"/>
    <mergeCell ref="P353:R353"/>
    <mergeCell ref="T353:U353"/>
    <mergeCell ref="W353:Y353"/>
    <mergeCell ref="AB353:AC353"/>
    <mergeCell ref="AE351:AF351"/>
    <mergeCell ref="AH351:AK351"/>
    <mergeCell ref="P352:R352"/>
    <mergeCell ref="T352:V352"/>
    <mergeCell ref="X352:Y352"/>
    <mergeCell ref="AB352:AC352"/>
    <mergeCell ref="AE352:AF352"/>
    <mergeCell ref="AH352:AK352"/>
    <mergeCell ref="P351:R351"/>
    <mergeCell ref="T351:V351"/>
    <mergeCell ref="X351:Y351"/>
    <mergeCell ref="AB351:AC351"/>
    <mergeCell ref="P348:S348"/>
    <mergeCell ref="U348:X348"/>
    <mergeCell ref="AA348:AD348"/>
    <mergeCell ref="J338:O338"/>
    <mergeCell ref="Q338:T338"/>
    <mergeCell ref="W338:Z338"/>
    <mergeCell ref="C344:E345"/>
    <mergeCell ref="G344:I344"/>
    <mergeCell ref="K344:N344"/>
    <mergeCell ref="P344:Q345"/>
    <mergeCell ref="R344:T345"/>
    <mergeCell ref="U344:V345"/>
    <mergeCell ref="W344:Z345"/>
    <mergeCell ref="AG331:AI331"/>
    <mergeCell ref="H332:K332"/>
    <mergeCell ref="L334:Q334"/>
    <mergeCell ref="S334:V334"/>
    <mergeCell ref="X334:Z334"/>
    <mergeCell ref="AB334:AE334"/>
    <mergeCell ref="AC330:AF330"/>
    <mergeCell ref="I331:K331"/>
    <mergeCell ref="M331:O331"/>
    <mergeCell ref="Q331:S331"/>
    <mergeCell ref="U331:W331"/>
    <mergeCell ref="Y331:AA331"/>
    <mergeCell ref="AC331:AE331"/>
    <mergeCell ref="H329:K329"/>
    <mergeCell ref="T329:W329"/>
    <mergeCell ref="Q330:V330"/>
    <mergeCell ref="X330:AA330"/>
    <mergeCell ref="AC328:AE328"/>
    <mergeCell ref="AG328:AI328"/>
    <mergeCell ref="BA328:BB328"/>
    <mergeCell ref="BJ328:BK328"/>
    <mergeCell ref="W325:Z325"/>
    <mergeCell ref="W326:Z326"/>
    <mergeCell ref="I328:K328"/>
    <mergeCell ref="M328:O328"/>
    <mergeCell ref="Q328:S328"/>
    <mergeCell ref="U328:W328"/>
    <mergeCell ref="Y328:AA328"/>
    <mergeCell ref="I325:K325"/>
    <mergeCell ref="L325:N325"/>
    <mergeCell ref="O325:P325"/>
    <mergeCell ref="Q325:T325"/>
    <mergeCell ref="W323:Z323"/>
    <mergeCell ref="I324:K324"/>
    <mergeCell ref="L324:N324"/>
    <mergeCell ref="O324:P324"/>
    <mergeCell ref="Q324:T324"/>
    <mergeCell ref="W324:Z324"/>
    <mergeCell ref="I323:K323"/>
    <mergeCell ref="L323:N323"/>
    <mergeCell ref="O323:P323"/>
    <mergeCell ref="Q323:T323"/>
    <mergeCell ref="AE320:AH320"/>
    <mergeCell ref="AI320:AM320"/>
    <mergeCell ref="Q322:V322"/>
    <mergeCell ref="X322:AA322"/>
    <mergeCell ref="AC322:AF322"/>
    <mergeCell ref="AG322:AH322"/>
    <mergeCell ref="K320:P320"/>
    <mergeCell ref="R320:U320"/>
    <mergeCell ref="W320:Z320"/>
    <mergeCell ref="AA320:AB320"/>
    <mergeCell ref="R317:V317"/>
    <mergeCell ref="BA317:BC317"/>
    <mergeCell ref="BG317:BI317"/>
    <mergeCell ref="AC318:AE318"/>
    <mergeCell ref="AG318:AJ318"/>
    <mergeCell ref="AN318:AS318"/>
    <mergeCell ref="P302:S302"/>
    <mergeCell ref="AM305:AO305"/>
    <mergeCell ref="AM306:AO306"/>
    <mergeCell ref="AO307:AP307"/>
    <mergeCell ref="W297:Z297"/>
    <mergeCell ref="I299:N299"/>
    <mergeCell ref="E300:I300"/>
    <mergeCell ref="E301:H301"/>
    <mergeCell ref="J301:L301"/>
    <mergeCell ref="N301:Q301"/>
    <mergeCell ref="I297:K297"/>
    <mergeCell ref="L297:N297"/>
    <mergeCell ref="O297:P297"/>
    <mergeCell ref="Q297:T297"/>
    <mergeCell ref="V295:V296"/>
    <mergeCell ref="W295:Z296"/>
    <mergeCell ref="AA295:AB296"/>
    <mergeCell ref="N296:Q296"/>
    <mergeCell ref="D295:J296"/>
    <mergeCell ref="K295:L295"/>
    <mergeCell ref="N295:P295"/>
    <mergeCell ref="R295:U295"/>
    <mergeCell ref="Z292:AB293"/>
    <mergeCell ref="AC292:AF293"/>
    <mergeCell ref="AG292:AJ293"/>
    <mergeCell ref="F293:H293"/>
    <mergeCell ref="M293:P293"/>
    <mergeCell ref="AA282:AD282"/>
    <mergeCell ref="AB287:AD287"/>
    <mergeCell ref="AB288:AD288"/>
    <mergeCell ref="D292:E293"/>
    <mergeCell ref="I292:I293"/>
    <mergeCell ref="J292:K292"/>
    <mergeCell ref="M292:O292"/>
    <mergeCell ref="Q292:T292"/>
    <mergeCell ref="U292:U293"/>
    <mergeCell ref="V292:Y293"/>
    <mergeCell ref="R278:T279"/>
    <mergeCell ref="U278:V279"/>
    <mergeCell ref="W278:Z279"/>
    <mergeCell ref="P282:S282"/>
    <mergeCell ref="U282:X282"/>
    <mergeCell ref="C278:E279"/>
    <mergeCell ref="G278:I278"/>
    <mergeCell ref="K278:N278"/>
    <mergeCell ref="P278:Q279"/>
    <mergeCell ref="P268:T268"/>
    <mergeCell ref="V268:Y268"/>
    <mergeCell ref="AA268:AE268"/>
    <mergeCell ref="J272:N272"/>
    <mergeCell ref="P272:S272"/>
    <mergeCell ref="V272:Z272"/>
    <mergeCell ref="W266:Z266"/>
    <mergeCell ref="W267:Z267"/>
    <mergeCell ref="AA267:AH267"/>
    <mergeCell ref="AI267:AL267"/>
    <mergeCell ref="I266:K266"/>
    <mergeCell ref="L266:N266"/>
    <mergeCell ref="O266:P266"/>
    <mergeCell ref="Q266:T266"/>
    <mergeCell ref="W264:Z264"/>
    <mergeCell ref="I265:K265"/>
    <mergeCell ref="L265:N265"/>
    <mergeCell ref="O265:P265"/>
    <mergeCell ref="Q265:T265"/>
    <mergeCell ref="W265:Z265"/>
    <mergeCell ref="I264:K264"/>
    <mergeCell ref="L264:N264"/>
    <mergeCell ref="O264:P264"/>
    <mergeCell ref="Q264:T264"/>
    <mergeCell ref="AE261:AH261"/>
    <mergeCell ref="AI261:AM261"/>
    <mergeCell ref="Q263:U263"/>
    <mergeCell ref="W263:Z263"/>
    <mergeCell ref="AB263:AE263"/>
    <mergeCell ref="AF263:AG263"/>
    <mergeCell ref="K261:O261"/>
    <mergeCell ref="Q261:T261"/>
    <mergeCell ref="V261:Y261"/>
    <mergeCell ref="AA261:AB261"/>
    <mergeCell ref="AM251:AO251"/>
    <mergeCell ref="AO252:AP252"/>
    <mergeCell ref="Q259:R259"/>
    <mergeCell ref="T259:V259"/>
    <mergeCell ref="X259:Z259"/>
    <mergeCell ref="AB259:AE259"/>
    <mergeCell ref="AI259:AM259"/>
    <mergeCell ref="CB249:CD249"/>
    <mergeCell ref="CE249:CG249"/>
    <mergeCell ref="CH249:CJ249"/>
    <mergeCell ref="AM250:AN250"/>
    <mergeCell ref="BP249:BR249"/>
    <mergeCell ref="BS249:BU249"/>
    <mergeCell ref="BV249:BX249"/>
    <mergeCell ref="BY249:CA249"/>
    <mergeCell ref="CB248:CD248"/>
    <mergeCell ref="CE248:CG248"/>
    <mergeCell ref="CH248:CJ248"/>
    <mergeCell ref="AU249:AW249"/>
    <mergeCell ref="AX249:AZ249"/>
    <mergeCell ref="BA249:BC249"/>
    <mergeCell ref="BD249:BF249"/>
    <mergeCell ref="BG249:BI249"/>
    <mergeCell ref="BJ249:BL249"/>
    <mergeCell ref="BM249:BO249"/>
    <mergeCell ref="BP248:BR248"/>
    <mergeCell ref="BS248:BU248"/>
    <mergeCell ref="BV248:BX248"/>
    <mergeCell ref="BY248:CA248"/>
    <mergeCell ref="CB247:CD247"/>
    <mergeCell ref="CE247:CG247"/>
    <mergeCell ref="CH247:CJ247"/>
    <mergeCell ref="AU248:AW248"/>
    <mergeCell ref="AX248:AZ248"/>
    <mergeCell ref="BA248:BC248"/>
    <mergeCell ref="BD248:BF248"/>
    <mergeCell ref="BG248:BI248"/>
    <mergeCell ref="BJ248:BL248"/>
    <mergeCell ref="BM248:BO248"/>
    <mergeCell ref="BP247:BR247"/>
    <mergeCell ref="BS247:BU247"/>
    <mergeCell ref="BV247:BX247"/>
    <mergeCell ref="BY247:CA247"/>
    <mergeCell ref="CB246:CD246"/>
    <mergeCell ref="CE246:CG246"/>
    <mergeCell ref="CH246:CJ246"/>
    <mergeCell ref="AU247:AW247"/>
    <mergeCell ref="AX247:AZ247"/>
    <mergeCell ref="BA247:BC247"/>
    <mergeCell ref="BD247:BF247"/>
    <mergeCell ref="BG247:BI247"/>
    <mergeCell ref="BJ247:BL247"/>
    <mergeCell ref="BM247:BO247"/>
    <mergeCell ref="BP246:BR246"/>
    <mergeCell ref="BS246:BU246"/>
    <mergeCell ref="BV246:BX246"/>
    <mergeCell ref="BY246:CA246"/>
    <mergeCell ref="BD246:BF246"/>
    <mergeCell ref="BG246:BI246"/>
    <mergeCell ref="BJ246:BL246"/>
    <mergeCell ref="BM246:BO246"/>
    <mergeCell ref="P246:S246"/>
    <mergeCell ref="AU246:AW246"/>
    <mergeCell ref="AX246:AZ246"/>
    <mergeCell ref="BA246:BC246"/>
    <mergeCell ref="E245:H245"/>
    <mergeCell ref="J245:L245"/>
    <mergeCell ref="N245:Q245"/>
    <mergeCell ref="AU245:BB245"/>
    <mergeCell ref="BY244:CA244"/>
    <mergeCell ref="CB244:CD244"/>
    <mergeCell ref="CE244:CG244"/>
    <mergeCell ref="CH244:CJ244"/>
    <mergeCell ref="BM244:BO244"/>
    <mergeCell ref="BP244:BR244"/>
    <mergeCell ref="BS244:BU244"/>
    <mergeCell ref="BV244:BX244"/>
    <mergeCell ref="CB243:CD243"/>
    <mergeCell ref="CE243:CG243"/>
    <mergeCell ref="CH243:CJ243"/>
    <mergeCell ref="E244:J244"/>
    <mergeCell ref="AU244:AW244"/>
    <mergeCell ref="AX244:AZ244"/>
    <mergeCell ref="BA244:BC244"/>
    <mergeCell ref="BD244:BF244"/>
    <mergeCell ref="BG244:BI244"/>
    <mergeCell ref="BJ244:BL244"/>
    <mergeCell ref="BP243:BR243"/>
    <mergeCell ref="BS243:BU243"/>
    <mergeCell ref="BV243:BX243"/>
    <mergeCell ref="BY243:CA243"/>
    <mergeCell ref="CE242:CG242"/>
    <mergeCell ref="CH242:CJ242"/>
    <mergeCell ref="I243:N243"/>
    <mergeCell ref="AU243:AW243"/>
    <mergeCell ref="AX243:AZ243"/>
    <mergeCell ref="BA243:BC243"/>
    <mergeCell ref="BD243:BF243"/>
    <mergeCell ref="BG243:BI243"/>
    <mergeCell ref="BJ243:BL243"/>
    <mergeCell ref="BM243:BO243"/>
    <mergeCell ref="BS242:BU242"/>
    <mergeCell ref="BV242:BX242"/>
    <mergeCell ref="BY242:CA242"/>
    <mergeCell ref="CB242:CD242"/>
    <mergeCell ref="BG242:BI242"/>
    <mergeCell ref="BJ242:BL242"/>
    <mergeCell ref="BM242:BO242"/>
    <mergeCell ref="BP242:BR242"/>
    <mergeCell ref="AU242:AW242"/>
    <mergeCell ref="AX242:AZ242"/>
    <mergeCell ref="BA242:BC242"/>
    <mergeCell ref="BD242:BF242"/>
    <mergeCell ref="BY241:CA241"/>
    <mergeCell ref="CB241:CD241"/>
    <mergeCell ref="CE241:CG241"/>
    <mergeCell ref="CH241:CJ241"/>
    <mergeCell ref="BM241:BO241"/>
    <mergeCell ref="BP241:BR241"/>
    <mergeCell ref="BS241:BU241"/>
    <mergeCell ref="BV241:BX241"/>
    <mergeCell ref="BA241:BC241"/>
    <mergeCell ref="BD241:BF241"/>
    <mergeCell ref="BG241:BI241"/>
    <mergeCell ref="BJ241:BL241"/>
    <mergeCell ref="Z240:AC240"/>
    <mergeCell ref="AK240:AN240"/>
    <mergeCell ref="AU240:BE240"/>
    <mergeCell ref="H241:J241"/>
    <mergeCell ref="L241:N241"/>
    <mergeCell ref="R241:T241"/>
    <mergeCell ref="V241:Y241"/>
    <mergeCell ref="AA241:AC241"/>
    <mergeCell ref="AU241:AW241"/>
    <mergeCell ref="AX241:AZ241"/>
    <mergeCell ref="O238:S238"/>
    <mergeCell ref="O239:S239"/>
    <mergeCell ref="F240:I240"/>
    <mergeCell ref="O240:R240"/>
    <mergeCell ref="O236:S236"/>
    <mergeCell ref="AG236:AI236"/>
    <mergeCell ref="O237:S237"/>
    <mergeCell ref="AG237:AI237"/>
    <mergeCell ref="W87:Z87"/>
    <mergeCell ref="Q64:T64"/>
    <mergeCell ref="Q89:V89"/>
    <mergeCell ref="O235:S235"/>
    <mergeCell ref="P118:R118"/>
    <mergeCell ref="P119:R119"/>
    <mergeCell ref="W111:Z112"/>
    <mergeCell ref="T96:W96"/>
    <mergeCell ref="P111:Q112"/>
    <mergeCell ref="R111:T112"/>
    <mergeCell ref="H225:K225"/>
    <mergeCell ref="V185:X185"/>
    <mergeCell ref="Z185:AB185"/>
    <mergeCell ref="N63:Q63"/>
    <mergeCell ref="I185:L185"/>
    <mergeCell ref="N185:Q185"/>
    <mergeCell ref="G183:K183"/>
    <mergeCell ref="D185:G185"/>
    <mergeCell ref="D180:F180"/>
    <mergeCell ref="D190:G190"/>
    <mergeCell ref="I190:L190"/>
    <mergeCell ref="N190:Q190"/>
    <mergeCell ref="C45:E46"/>
    <mergeCell ref="G45:I45"/>
    <mergeCell ref="K45:N45"/>
    <mergeCell ref="C111:E112"/>
    <mergeCell ref="G111:I111"/>
    <mergeCell ref="K111:N111"/>
    <mergeCell ref="F60:H60"/>
    <mergeCell ref="D188:G188"/>
    <mergeCell ref="I188:L188"/>
    <mergeCell ref="N188:Q188"/>
    <mergeCell ref="D189:G189"/>
    <mergeCell ref="I189:L189"/>
    <mergeCell ref="N189:Q189"/>
    <mergeCell ref="G182:K182"/>
    <mergeCell ref="D186:G186"/>
    <mergeCell ref="I186:L186"/>
    <mergeCell ref="N186:Q186"/>
    <mergeCell ref="D183:F183"/>
    <mergeCell ref="D181:F181"/>
    <mergeCell ref="G181:K181"/>
    <mergeCell ref="D178:F178"/>
    <mergeCell ref="G178:K178"/>
    <mergeCell ref="D179:F179"/>
    <mergeCell ref="G179:K179"/>
    <mergeCell ref="D173:G173"/>
    <mergeCell ref="I173:L173"/>
    <mergeCell ref="N173:Q173"/>
    <mergeCell ref="D177:F177"/>
    <mergeCell ref="D170:G170"/>
    <mergeCell ref="I170:L170"/>
    <mergeCell ref="D171:G171"/>
    <mergeCell ref="I171:L171"/>
    <mergeCell ref="D172:G172"/>
    <mergeCell ref="I172:L172"/>
    <mergeCell ref="N172:Q172"/>
    <mergeCell ref="N171:Q171"/>
    <mergeCell ref="W229:X230"/>
    <mergeCell ref="O230:U230"/>
    <mergeCell ref="D229:F230"/>
    <mergeCell ref="G229:I229"/>
    <mergeCell ref="J229:L230"/>
    <mergeCell ref="G230:I230"/>
    <mergeCell ref="M229:M230"/>
    <mergeCell ref="N229:R229"/>
    <mergeCell ref="T229:V229"/>
    <mergeCell ref="G228:I228"/>
    <mergeCell ref="D227:F228"/>
    <mergeCell ref="G227:I227"/>
    <mergeCell ref="W227:X228"/>
    <mergeCell ref="T227:V227"/>
    <mergeCell ref="BD8:BF8"/>
    <mergeCell ref="D218:L218"/>
    <mergeCell ref="M218:R218"/>
    <mergeCell ref="S218:X218"/>
    <mergeCell ref="Y218:AD218"/>
    <mergeCell ref="G166:K166"/>
    <mergeCell ref="D169:G169"/>
    <mergeCell ref="I169:L169"/>
    <mergeCell ref="N169:Q169"/>
    <mergeCell ref="V168:X168"/>
    <mergeCell ref="AU16:AW16"/>
    <mergeCell ref="AX16:AZ16"/>
    <mergeCell ref="AU15:AW15"/>
    <mergeCell ref="AG2:AI2"/>
    <mergeCell ref="AN2:AP2"/>
    <mergeCell ref="AG3:AI3"/>
    <mergeCell ref="AG4:AI4"/>
    <mergeCell ref="AU7:BE7"/>
    <mergeCell ref="AX8:AZ8"/>
    <mergeCell ref="BA8:BC8"/>
    <mergeCell ref="AM146:AP146"/>
    <mergeCell ref="AI87:AM87"/>
    <mergeCell ref="AG95:AI95"/>
    <mergeCell ref="AM72:AO72"/>
    <mergeCell ref="AO74:AP74"/>
    <mergeCell ref="AI136:AK136"/>
    <mergeCell ref="AG98:AI98"/>
    <mergeCell ref="AH123:AK123"/>
    <mergeCell ref="X89:AA89"/>
    <mergeCell ref="AB130:AD130"/>
    <mergeCell ref="AA111:AJ112"/>
    <mergeCell ref="AH119:AK119"/>
    <mergeCell ref="AH120:AK120"/>
    <mergeCell ref="AH122:AK122"/>
    <mergeCell ref="AB119:AC119"/>
    <mergeCell ref="U115:X115"/>
    <mergeCell ref="Q97:V97"/>
    <mergeCell ref="X97:AA97"/>
    <mergeCell ref="I92:K92"/>
    <mergeCell ref="L92:N92"/>
    <mergeCell ref="S176:U176"/>
    <mergeCell ref="N197:O198"/>
    <mergeCell ref="P197:R197"/>
    <mergeCell ref="G180:K180"/>
    <mergeCell ref="D187:G187"/>
    <mergeCell ref="I187:L187"/>
    <mergeCell ref="N187:Q187"/>
    <mergeCell ref="D182:F182"/>
    <mergeCell ref="I64:K64"/>
    <mergeCell ref="L64:N64"/>
    <mergeCell ref="I90:K90"/>
    <mergeCell ref="O64:P64"/>
    <mergeCell ref="L90:N90"/>
    <mergeCell ref="K87:P87"/>
    <mergeCell ref="O90:P90"/>
    <mergeCell ref="I66:N66"/>
    <mergeCell ref="E67:I67"/>
    <mergeCell ref="E68:H68"/>
    <mergeCell ref="AB131:AD131"/>
    <mergeCell ref="AB138:AE138"/>
    <mergeCell ref="Z168:AB168"/>
    <mergeCell ref="S159:U159"/>
    <mergeCell ref="Q136:T136"/>
    <mergeCell ref="V136:Y136"/>
    <mergeCell ref="W139:Z139"/>
    <mergeCell ref="AB136:AE136"/>
    <mergeCell ref="N168:Q168"/>
    <mergeCell ref="L161:N161"/>
    <mergeCell ref="D216:L216"/>
    <mergeCell ref="M216:R216"/>
    <mergeCell ref="O135:P135"/>
    <mergeCell ref="I139:K139"/>
    <mergeCell ref="L139:N139"/>
    <mergeCell ref="O139:P139"/>
    <mergeCell ref="M210:P211"/>
    <mergeCell ref="N170:Q170"/>
    <mergeCell ref="D168:G168"/>
    <mergeCell ref="I168:L168"/>
    <mergeCell ref="K206:L207"/>
    <mergeCell ref="K210:L211"/>
    <mergeCell ref="G206:H207"/>
    <mergeCell ref="D215:M215"/>
    <mergeCell ref="G217:J217"/>
    <mergeCell ref="Q210:R211"/>
    <mergeCell ref="H211:J211"/>
    <mergeCell ref="D204:F205"/>
    <mergeCell ref="G204:I204"/>
    <mergeCell ref="K204:M204"/>
    <mergeCell ref="I205:K205"/>
    <mergeCell ref="D210:G211"/>
    <mergeCell ref="H210:J210"/>
    <mergeCell ref="I206:J207"/>
    <mergeCell ref="AK216:AP216"/>
    <mergeCell ref="D217:F217"/>
    <mergeCell ref="O228:U228"/>
    <mergeCell ref="M227:M228"/>
    <mergeCell ref="N227:R227"/>
    <mergeCell ref="K217:L217"/>
    <mergeCell ref="M217:R217"/>
    <mergeCell ref="Q225:T225"/>
    <mergeCell ref="N220:Q220"/>
    <mergeCell ref="J227:L228"/>
    <mergeCell ref="T220:W220"/>
    <mergeCell ref="Y220:AB220"/>
    <mergeCell ref="R84:V84"/>
    <mergeCell ref="AA87:AB87"/>
    <mergeCell ref="T118:V118"/>
    <mergeCell ref="T119:V119"/>
    <mergeCell ref="S126:V126"/>
    <mergeCell ref="T120:U120"/>
    <mergeCell ref="Q92:T92"/>
    <mergeCell ref="S217:X217"/>
    <mergeCell ref="W64:Z64"/>
    <mergeCell ref="W62:Z63"/>
    <mergeCell ref="V59:Y60"/>
    <mergeCell ref="Z59:AB60"/>
    <mergeCell ref="AB54:AD54"/>
    <mergeCell ref="AI34:AL34"/>
    <mergeCell ref="AM73:AO73"/>
    <mergeCell ref="AA49:AD49"/>
    <mergeCell ref="AB55:AD55"/>
    <mergeCell ref="AA45:AJ46"/>
    <mergeCell ref="AM59:AO60"/>
    <mergeCell ref="Y216:AD216"/>
    <mergeCell ref="AE216:AJ216"/>
    <mergeCell ref="X119:Y119"/>
    <mergeCell ref="AA62:AB63"/>
    <mergeCell ref="W90:Z90"/>
    <mergeCell ref="X101:Z101"/>
    <mergeCell ref="X118:Y118"/>
    <mergeCell ref="U213:Z213"/>
    <mergeCell ref="S216:X216"/>
    <mergeCell ref="AD185:AH185"/>
    <mergeCell ref="V62:V63"/>
    <mergeCell ref="AA212:AD212"/>
    <mergeCell ref="S101:V101"/>
    <mergeCell ref="AA197:AC198"/>
    <mergeCell ref="AA115:AD115"/>
    <mergeCell ref="Y98:AA98"/>
    <mergeCell ref="W105:Z105"/>
    <mergeCell ref="W120:Y120"/>
    <mergeCell ref="Q91:T91"/>
    <mergeCell ref="W91:Z91"/>
    <mergeCell ref="AK206:AL207"/>
    <mergeCell ref="AF197:AI198"/>
    <mergeCell ref="AJ197:AP198"/>
    <mergeCell ref="AM145:AP145"/>
    <mergeCell ref="AL172:AT172"/>
    <mergeCell ref="AL173:AT173"/>
    <mergeCell ref="AL186:AT186"/>
    <mergeCell ref="AL170:AT170"/>
    <mergeCell ref="AL171:AT171"/>
    <mergeCell ref="AL169:AT169"/>
    <mergeCell ref="U59:U60"/>
    <mergeCell ref="R45:T46"/>
    <mergeCell ref="U49:X49"/>
    <mergeCell ref="V39:Z39"/>
    <mergeCell ref="U45:V46"/>
    <mergeCell ref="W45:Z46"/>
    <mergeCell ref="Z7:AC7"/>
    <mergeCell ref="T26:V26"/>
    <mergeCell ref="Q30:U30"/>
    <mergeCell ref="W30:Z30"/>
    <mergeCell ref="AB30:AE30"/>
    <mergeCell ref="X26:Z26"/>
    <mergeCell ref="AB26:AE26"/>
    <mergeCell ref="Q26:R26"/>
    <mergeCell ref="D59:E60"/>
    <mergeCell ref="I59:I60"/>
    <mergeCell ref="P49:S49"/>
    <mergeCell ref="P45:Q46"/>
    <mergeCell ref="M60:P60"/>
    <mergeCell ref="M59:O59"/>
    <mergeCell ref="J59:K59"/>
    <mergeCell ref="Q59:T59"/>
    <mergeCell ref="I31:K31"/>
    <mergeCell ref="O31:P31"/>
    <mergeCell ref="L32:N32"/>
    <mergeCell ref="L31:N31"/>
    <mergeCell ref="I33:K33"/>
    <mergeCell ref="L33:N33"/>
    <mergeCell ref="O33:P33"/>
    <mergeCell ref="O32:P32"/>
    <mergeCell ref="O2:S2"/>
    <mergeCell ref="O3:S3"/>
    <mergeCell ref="O4:S4"/>
    <mergeCell ref="N12:Q12"/>
    <mergeCell ref="R8:T8"/>
    <mergeCell ref="L8:N8"/>
    <mergeCell ref="O5:S5"/>
    <mergeCell ref="O6:S6"/>
    <mergeCell ref="I10:N10"/>
    <mergeCell ref="O7:R7"/>
    <mergeCell ref="AA34:AH34"/>
    <mergeCell ref="W32:Z32"/>
    <mergeCell ref="W31:Z31"/>
    <mergeCell ref="W33:Z33"/>
    <mergeCell ref="W34:Z34"/>
    <mergeCell ref="AA8:AC8"/>
    <mergeCell ref="P13:S13"/>
    <mergeCell ref="V8:Y8"/>
    <mergeCell ref="Q28:T28"/>
    <mergeCell ref="V28:Y28"/>
    <mergeCell ref="AA28:AB28"/>
    <mergeCell ref="AK7:AN7"/>
    <mergeCell ref="AE28:AH28"/>
    <mergeCell ref="AF30:AG30"/>
    <mergeCell ref="AM18:AO18"/>
    <mergeCell ref="AI28:AM28"/>
    <mergeCell ref="AI26:AM26"/>
    <mergeCell ref="AO19:AP19"/>
    <mergeCell ref="AM17:AN17"/>
    <mergeCell ref="V35:Y35"/>
    <mergeCell ref="AE119:AF119"/>
    <mergeCell ref="AB120:AC120"/>
    <mergeCell ref="I91:K91"/>
    <mergeCell ref="L91:N91"/>
    <mergeCell ref="O91:P91"/>
    <mergeCell ref="H96:K96"/>
    <mergeCell ref="AA35:AE35"/>
    <mergeCell ref="R62:U62"/>
    <mergeCell ref="J39:N39"/>
    <mergeCell ref="O92:P92"/>
    <mergeCell ref="M95:O95"/>
    <mergeCell ref="C197:E198"/>
    <mergeCell ref="G197:I197"/>
    <mergeCell ref="K197:M197"/>
    <mergeCell ref="D162:F162"/>
    <mergeCell ref="D163:F163"/>
    <mergeCell ref="G162:K162"/>
    <mergeCell ref="G163:K163"/>
    <mergeCell ref="D165:F165"/>
    <mergeCell ref="J68:L68"/>
    <mergeCell ref="N68:Q68"/>
    <mergeCell ref="P69:S69"/>
    <mergeCell ref="R87:U87"/>
    <mergeCell ref="K28:O28"/>
    <mergeCell ref="D62:J63"/>
    <mergeCell ref="N62:P62"/>
    <mergeCell ref="K62:L62"/>
    <mergeCell ref="P39:S39"/>
    <mergeCell ref="P35:T35"/>
    <mergeCell ref="I32:K32"/>
    <mergeCell ref="Q33:T33"/>
    <mergeCell ref="Q32:T32"/>
    <mergeCell ref="Q31:T31"/>
    <mergeCell ref="D164:F164"/>
    <mergeCell ref="G165:K165"/>
    <mergeCell ref="G164:K164"/>
    <mergeCell ref="I95:K95"/>
    <mergeCell ref="D160:F160"/>
    <mergeCell ref="D161:F161"/>
    <mergeCell ref="G161:K161"/>
    <mergeCell ref="H99:K99"/>
    <mergeCell ref="I98:K98"/>
    <mergeCell ref="J105:O105"/>
    <mergeCell ref="AX15:AZ15"/>
    <mergeCell ref="BA15:BC15"/>
    <mergeCell ref="H8:J8"/>
    <mergeCell ref="E12:H12"/>
    <mergeCell ref="J12:L12"/>
    <mergeCell ref="E11:J11"/>
    <mergeCell ref="AU8:AW8"/>
    <mergeCell ref="AU10:AW10"/>
    <mergeCell ref="AX10:AZ10"/>
    <mergeCell ref="BA10:BC10"/>
    <mergeCell ref="AU11:AW11"/>
    <mergeCell ref="AX11:AZ11"/>
    <mergeCell ref="BA11:BC11"/>
    <mergeCell ref="BJ8:BL8"/>
    <mergeCell ref="BJ10:BL10"/>
    <mergeCell ref="BJ11:BL11"/>
    <mergeCell ref="BG9:BI9"/>
    <mergeCell ref="BG10:BI10"/>
    <mergeCell ref="BD11:BF11"/>
    <mergeCell ref="BD10:BF10"/>
    <mergeCell ref="BM8:BO8"/>
    <mergeCell ref="BP8:BR8"/>
    <mergeCell ref="BG8:BI8"/>
    <mergeCell ref="BS8:BU8"/>
    <mergeCell ref="BV8:BX8"/>
    <mergeCell ref="BY8:CA8"/>
    <mergeCell ref="CB8:CD8"/>
    <mergeCell ref="CE8:CG8"/>
    <mergeCell ref="CH8:CJ8"/>
    <mergeCell ref="AU9:AW9"/>
    <mergeCell ref="AX9:AZ9"/>
    <mergeCell ref="BA9:BC9"/>
    <mergeCell ref="BD9:BF9"/>
    <mergeCell ref="BJ9:BL9"/>
    <mergeCell ref="BM9:BO9"/>
    <mergeCell ref="BP9:BR9"/>
    <mergeCell ref="BS9:BU9"/>
    <mergeCell ref="BV9:BX9"/>
    <mergeCell ref="BY9:CA9"/>
    <mergeCell ref="CB9:CD9"/>
    <mergeCell ref="CE9:CG9"/>
    <mergeCell ref="CH9:CJ9"/>
    <mergeCell ref="BM10:BO10"/>
    <mergeCell ref="BP10:BR10"/>
    <mergeCell ref="BS10:BU10"/>
    <mergeCell ref="BV10:BX10"/>
    <mergeCell ref="BY10:CA10"/>
    <mergeCell ref="CB10:CD10"/>
    <mergeCell ref="CE10:CG10"/>
    <mergeCell ref="CH10:CJ10"/>
    <mergeCell ref="BM11:BO11"/>
    <mergeCell ref="BP11:BR11"/>
    <mergeCell ref="BG11:BI11"/>
    <mergeCell ref="CH11:CJ11"/>
    <mergeCell ref="BS11:BU11"/>
    <mergeCell ref="AU12:BB12"/>
    <mergeCell ref="AU13:AW13"/>
    <mergeCell ref="AX13:AZ13"/>
    <mergeCell ref="BA13:BC13"/>
    <mergeCell ref="BD13:BF13"/>
    <mergeCell ref="BJ13:BL13"/>
    <mergeCell ref="BM13:BO13"/>
    <mergeCell ref="BP13:BR13"/>
    <mergeCell ref="BG13:BI13"/>
    <mergeCell ref="BV14:BX14"/>
    <mergeCell ref="BY14:CA14"/>
    <mergeCell ref="CE11:CG11"/>
    <mergeCell ref="BV11:BX11"/>
    <mergeCell ref="BY11:CA11"/>
    <mergeCell ref="CB11:CD11"/>
    <mergeCell ref="CE13:CG13"/>
    <mergeCell ref="BS13:BU13"/>
    <mergeCell ref="BV13:BX13"/>
    <mergeCell ref="CB13:CD13"/>
    <mergeCell ref="BY13:CA13"/>
    <mergeCell ref="CH13:CJ13"/>
    <mergeCell ref="AU14:AW14"/>
    <mergeCell ref="AX14:AZ14"/>
    <mergeCell ref="BA14:BC14"/>
    <mergeCell ref="BD14:BF14"/>
    <mergeCell ref="BJ14:BL14"/>
    <mergeCell ref="BM14:BO14"/>
    <mergeCell ref="BP14:BR14"/>
    <mergeCell ref="BS14:BU14"/>
    <mergeCell ref="BG14:BI14"/>
    <mergeCell ref="CH14:CJ14"/>
    <mergeCell ref="CE14:CG14"/>
    <mergeCell ref="CB14:CD14"/>
    <mergeCell ref="BD15:BF15"/>
    <mergeCell ref="CE15:CG15"/>
    <mergeCell ref="CH15:CJ15"/>
    <mergeCell ref="BJ15:BL15"/>
    <mergeCell ref="BM15:BO15"/>
    <mergeCell ref="BP15:BR15"/>
    <mergeCell ref="BS15:BU15"/>
    <mergeCell ref="BV15:BX15"/>
    <mergeCell ref="CB15:CD15"/>
    <mergeCell ref="BA16:BC16"/>
    <mergeCell ref="BD16:BF16"/>
    <mergeCell ref="BY15:CA15"/>
    <mergeCell ref="BG16:BI16"/>
    <mergeCell ref="BG15:BI15"/>
    <mergeCell ref="CH16:CJ16"/>
    <mergeCell ref="F7:I7"/>
    <mergeCell ref="BV16:BX16"/>
    <mergeCell ref="BY16:CA16"/>
    <mergeCell ref="CB16:CD16"/>
    <mergeCell ref="CE16:CG16"/>
    <mergeCell ref="BJ16:BL16"/>
    <mergeCell ref="BM16:BO16"/>
    <mergeCell ref="BP16:BR16"/>
    <mergeCell ref="BS16:BU16"/>
    <mergeCell ref="BA84:BC84"/>
    <mergeCell ref="BG84:BI84"/>
    <mergeCell ref="AC85:AE85"/>
    <mergeCell ref="AG85:AJ85"/>
    <mergeCell ref="AN85:AS85"/>
    <mergeCell ref="AC98:AE98"/>
    <mergeCell ref="Q90:T90"/>
    <mergeCell ref="BJ95:BK95"/>
    <mergeCell ref="W92:Z92"/>
    <mergeCell ref="W93:Z93"/>
    <mergeCell ref="Y95:AA95"/>
    <mergeCell ref="AC95:AE95"/>
    <mergeCell ref="BA95:BB95"/>
    <mergeCell ref="Q95:S95"/>
    <mergeCell ref="U95:W95"/>
    <mergeCell ref="S124:X124"/>
    <mergeCell ref="M98:O98"/>
    <mergeCell ref="Q98:S98"/>
    <mergeCell ref="U98:W98"/>
    <mergeCell ref="U111:V112"/>
    <mergeCell ref="P115:S115"/>
    <mergeCell ref="L101:Q101"/>
    <mergeCell ref="Q105:T105"/>
    <mergeCell ref="Q139:T139"/>
    <mergeCell ref="G220:L220"/>
    <mergeCell ref="AE220:AJ220"/>
    <mergeCell ref="P121:R121"/>
    <mergeCell ref="T121:U121"/>
    <mergeCell ref="AH121:AK121"/>
    <mergeCell ref="U201:X201"/>
    <mergeCell ref="T197:W197"/>
    <mergeCell ref="M206:P207"/>
    <mergeCell ref="X206:AA207"/>
    <mergeCell ref="AE118:AF118"/>
    <mergeCell ref="AB101:AE101"/>
    <mergeCell ref="P120:R120"/>
    <mergeCell ref="K219:P219"/>
    <mergeCell ref="R219:W219"/>
    <mergeCell ref="Y219:AD219"/>
    <mergeCell ref="Z124:AC124"/>
    <mergeCell ref="AB126:AE126"/>
    <mergeCell ref="AD168:AH168"/>
    <mergeCell ref="AA201:AD201"/>
    <mergeCell ref="D138:J138"/>
    <mergeCell ref="W138:Z138"/>
    <mergeCell ref="AG59:AJ60"/>
    <mergeCell ref="AE87:AH87"/>
    <mergeCell ref="AB118:AC118"/>
    <mergeCell ref="AC89:AF89"/>
    <mergeCell ref="AG89:AH89"/>
    <mergeCell ref="AC97:AF97"/>
    <mergeCell ref="AC59:AF60"/>
    <mergeCell ref="AH118:AK118"/>
    <mergeCell ref="W206:W207"/>
    <mergeCell ref="D166:F166"/>
    <mergeCell ref="AB206:AD207"/>
    <mergeCell ref="AA210:AD211"/>
    <mergeCell ref="Y210:Z211"/>
    <mergeCell ref="S210:X210"/>
    <mergeCell ref="S211:X211"/>
    <mergeCell ref="S206:V207"/>
    <mergeCell ref="Y197:Z198"/>
    <mergeCell ref="Q206:R207"/>
    <mergeCell ref="AE120:AF120"/>
    <mergeCell ref="N204:AD205"/>
    <mergeCell ref="AD197:AE198"/>
    <mergeCell ref="P201:S201"/>
    <mergeCell ref="AE124:AH124"/>
    <mergeCell ref="AF136:AH136"/>
    <mergeCell ref="AG138:AJ138"/>
    <mergeCell ref="L126:Q126"/>
    <mergeCell ref="V135:Y135"/>
    <mergeCell ref="R135:T135"/>
    <mergeCell ref="AL187:AT187"/>
    <mergeCell ref="AL188:AT188"/>
    <mergeCell ref="AL189:AT189"/>
    <mergeCell ref="AL190:AT190"/>
    <mergeCell ref="AM292:AO293"/>
    <mergeCell ref="AA278:AJ279"/>
    <mergeCell ref="AJ229:AS230"/>
    <mergeCell ref="AK217:AP217"/>
    <mergeCell ref="AE217:AJ217"/>
    <mergeCell ref="AK218:AP218"/>
    <mergeCell ref="AE218:AJ218"/>
    <mergeCell ref="Y217:AD217"/>
    <mergeCell ref="AG235:AI235"/>
    <mergeCell ref="AN235:AP235"/>
    <mergeCell ref="AA344:AJ345"/>
    <mergeCell ref="AE206:AJ207"/>
    <mergeCell ref="AD227:AD228"/>
    <mergeCell ref="AE227:AI228"/>
    <mergeCell ref="AJ227:AS228"/>
    <mergeCell ref="AD229:AD230"/>
    <mergeCell ref="AE229:AI230"/>
    <mergeCell ref="Y227:AC228"/>
    <mergeCell ref="Y229:AC230"/>
    <mergeCell ref="AE210:AF211"/>
    <mergeCell ref="AL402:AT402"/>
    <mergeCell ref="AL403:AT403"/>
    <mergeCell ref="AL404:AT404"/>
    <mergeCell ref="AL405:AT405"/>
    <mergeCell ref="AL406:AT406"/>
    <mergeCell ref="AL419:AT419"/>
    <mergeCell ref="AL420:AT420"/>
    <mergeCell ref="AL421:AT421"/>
    <mergeCell ref="AA511:AJ512"/>
    <mergeCell ref="AM525:AO526"/>
    <mergeCell ref="AD430:AE431"/>
    <mergeCell ref="AF430:AI431"/>
    <mergeCell ref="AJ430:AP431"/>
    <mergeCell ref="AB439:AD440"/>
    <mergeCell ref="AE439:AJ440"/>
    <mergeCell ref="AK439:AL440"/>
    <mergeCell ref="AE443:AF444"/>
    <mergeCell ref="AE449:AJ449"/>
    <mergeCell ref="AB672:AD673"/>
    <mergeCell ref="AE672:AJ673"/>
    <mergeCell ref="AK672:AL673"/>
    <mergeCell ref="AL639:AT639"/>
    <mergeCell ref="AL652:AT652"/>
    <mergeCell ref="AL653:AT653"/>
    <mergeCell ref="AL654:AT654"/>
    <mergeCell ref="Z651:AB651"/>
    <mergeCell ref="AD651:AH651"/>
    <mergeCell ref="AL656:AT656"/>
    <mergeCell ref="AD663:AE664"/>
    <mergeCell ref="AF663:AI664"/>
    <mergeCell ref="AJ663:AP664"/>
    <mergeCell ref="AB83:AD83"/>
    <mergeCell ref="AB316:AD316"/>
    <mergeCell ref="AB549:AD549"/>
    <mergeCell ref="AL655:AT655"/>
    <mergeCell ref="AL635:AT635"/>
    <mergeCell ref="AL636:AT636"/>
    <mergeCell ref="AL637:AT637"/>
    <mergeCell ref="AL638:AT638"/>
    <mergeCell ref="AL422:AT422"/>
    <mergeCell ref="AL423:AT423"/>
  </mergeCells>
  <printOptions/>
  <pageMargins left="0.5905511811023623" right="0"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G57"/>
  <sheetViews>
    <sheetView tabSelected="1" workbookViewId="0" topLeftCell="A46">
      <selection activeCell="AX52" sqref="AX52"/>
    </sheetView>
  </sheetViews>
  <sheetFormatPr defaultColWidth="8.88671875" defaultRowHeight="24.75" customHeight="1"/>
  <cols>
    <col min="1" max="16384" width="1.99609375" style="191" customWidth="1"/>
  </cols>
  <sheetData>
    <row r="1" ht="24.75" customHeight="1">
      <c r="A1" s="72" t="s">
        <v>275</v>
      </c>
    </row>
    <row r="2" ht="24.75" customHeight="1">
      <c r="B2" s="191" t="s">
        <v>276</v>
      </c>
    </row>
    <row r="3" spans="2:27" ht="24.75" customHeight="1">
      <c r="B3" s="191" t="s">
        <v>277</v>
      </c>
      <c r="AA3" s="191" t="s">
        <v>278</v>
      </c>
    </row>
    <row r="4" ht="24.75" customHeight="1">
      <c r="L4" s="191" t="s">
        <v>279</v>
      </c>
    </row>
    <row r="5" spans="2:12" ht="24.75" customHeight="1">
      <c r="B5" s="191" t="s">
        <v>225</v>
      </c>
      <c r="L5" s="191" t="s">
        <v>280</v>
      </c>
    </row>
    <row r="6" ht="24.75" customHeight="1">
      <c r="L6" s="191" t="s">
        <v>281</v>
      </c>
    </row>
    <row r="7" ht="24.75" customHeight="1">
      <c r="A7" s="191" t="s">
        <v>282</v>
      </c>
    </row>
    <row r="8" ht="24.75" customHeight="1">
      <c r="B8" s="191" t="s">
        <v>283</v>
      </c>
    </row>
    <row r="9" spans="4:33" ht="24.75" customHeight="1">
      <c r="D9" s="191" t="s">
        <v>284</v>
      </c>
      <c r="M9" s="191" t="s">
        <v>285</v>
      </c>
      <c r="V9" s="191" t="s">
        <v>286</v>
      </c>
      <c r="AG9" s="191" t="s">
        <v>287</v>
      </c>
    </row>
    <row r="10" spans="2:36" ht="15" customHeight="1">
      <c r="B10" s="192" t="s">
        <v>288</v>
      </c>
      <c r="C10" s="192"/>
      <c r="D10" s="192"/>
      <c r="E10" s="192"/>
      <c r="F10" s="192" t="s">
        <v>289</v>
      </c>
      <c r="G10" s="192"/>
      <c r="H10" s="192"/>
      <c r="I10" s="192"/>
      <c r="J10" s="192"/>
      <c r="K10" s="192"/>
      <c r="L10" s="192"/>
      <c r="M10" s="192"/>
      <c r="N10" s="192"/>
      <c r="O10" s="192" t="s">
        <v>290</v>
      </c>
      <c r="P10" s="192"/>
      <c r="Q10" s="192"/>
      <c r="R10" s="192"/>
      <c r="S10" s="192"/>
      <c r="T10" s="192"/>
      <c r="U10" s="192"/>
      <c r="V10" s="192"/>
      <c r="W10" s="192"/>
      <c r="X10" s="192"/>
      <c r="Y10" s="192"/>
      <c r="Z10" s="192" t="s">
        <v>291</v>
      </c>
      <c r="AA10" s="192"/>
      <c r="AB10" s="192"/>
      <c r="AC10" s="192"/>
      <c r="AD10" s="192"/>
      <c r="AE10" s="192"/>
      <c r="AF10" s="192"/>
      <c r="AG10" s="192"/>
      <c r="AH10" s="192"/>
      <c r="AI10" s="192"/>
      <c r="AJ10" s="192"/>
    </row>
    <row r="11" spans="2:36" ht="15" customHeight="1">
      <c r="B11" s="192"/>
      <c r="C11" s="192"/>
      <c r="D11" s="192"/>
      <c r="E11" s="192"/>
      <c r="F11" s="192" t="s">
        <v>64</v>
      </c>
      <c r="G11" s="192"/>
      <c r="H11" s="192"/>
      <c r="I11" s="192" t="s">
        <v>65</v>
      </c>
      <c r="J11" s="192"/>
      <c r="K11" s="192"/>
      <c r="L11" s="192" t="s">
        <v>66</v>
      </c>
      <c r="M11" s="192"/>
      <c r="N11" s="192"/>
      <c r="O11" s="192" t="s">
        <v>67</v>
      </c>
      <c r="P11" s="192"/>
      <c r="Q11" s="192"/>
      <c r="R11" s="192" t="s">
        <v>68</v>
      </c>
      <c r="S11" s="192"/>
      <c r="T11" s="192"/>
      <c r="U11" s="192" t="s">
        <v>69</v>
      </c>
      <c r="V11" s="192"/>
      <c r="W11" s="192"/>
      <c r="X11" s="192" t="s">
        <v>292</v>
      </c>
      <c r="Y11" s="192"/>
      <c r="Z11" s="192" t="s">
        <v>67</v>
      </c>
      <c r="AA11" s="192"/>
      <c r="AB11" s="192"/>
      <c r="AC11" s="192" t="s">
        <v>68</v>
      </c>
      <c r="AD11" s="192"/>
      <c r="AE11" s="192"/>
      <c r="AF11" s="192" t="s">
        <v>69</v>
      </c>
      <c r="AG11" s="192"/>
      <c r="AH11" s="192"/>
      <c r="AI11" s="192" t="s">
        <v>292</v>
      </c>
      <c r="AJ11" s="192"/>
    </row>
    <row r="12" spans="2:36" ht="24.75" customHeight="1">
      <c r="B12" s="192" t="s">
        <v>293</v>
      </c>
      <c r="C12" s="192"/>
      <c r="D12" s="192"/>
      <c r="E12" s="192"/>
      <c r="F12" s="193">
        <v>12</v>
      </c>
      <c r="G12" s="193"/>
      <c r="H12" s="193"/>
      <c r="I12" s="193">
        <v>12</v>
      </c>
      <c r="J12" s="193"/>
      <c r="K12" s="193"/>
      <c r="L12" s="193">
        <v>12</v>
      </c>
      <c r="M12" s="193"/>
      <c r="N12" s="193"/>
      <c r="O12" s="194">
        <f>MAX(6,SQRT(2*MAX(F12,L12)))</f>
        <v>6</v>
      </c>
      <c r="P12" s="194"/>
      <c r="Q12" s="194"/>
      <c r="R12" s="193">
        <f>MIN(F12,L12)</f>
        <v>12</v>
      </c>
      <c r="S12" s="193"/>
      <c r="T12" s="193"/>
      <c r="U12" s="193">
        <v>6</v>
      </c>
      <c r="V12" s="193"/>
      <c r="W12" s="193"/>
      <c r="X12" s="192" t="str">
        <f>IF(AND(O12&lt;=U12,R12&gt;=U12),"OK","NG")</f>
        <v>OK</v>
      </c>
      <c r="Y12" s="192"/>
      <c r="Z12" s="194">
        <f>MAX(6,SQRT(2*MAX(I12,L12)))</f>
        <v>6</v>
      </c>
      <c r="AA12" s="194"/>
      <c r="AB12" s="194"/>
      <c r="AC12" s="193">
        <f>MIN(I12,L12)</f>
        <v>12</v>
      </c>
      <c r="AD12" s="193"/>
      <c r="AE12" s="193"/>
      <c r="AF12" s="193">
        <v>6</v>
      </c>
      <c r="AG12" s="193"/>
      <c r="AH12" s="193"/>
      <c r="AI12" s="192" t="str">
        <f>IF(AND(Z12&lt;=AF12,AC12&gt;=AF12),"OK","NG")</f>
        <v>OK</v>
      </c>
      <c r="AJ12" s="192"/>
    </row>
    <row r="13" spans="2:36" ht="24.75" customHeight="1">
      <c r="B13" s="192" t="s">
        <v>258</v>
      </c>
      <c r="C13" s="192"/>
      <c r="D13" s="192"/>
      <c r="E13" s="192"/>
      <c r="F13" s="193">
        <v>15</v>
      </c>
      <c r="G13" s="193"/>
      <c r="H13" s="193"/>
      <c r="I13" s="193">
        <v>15</v>
      </c>
      <c r="J13" s="193"/>
      <c r="K13" s="193"/>
      <c r="L13" s="193">
        <v>12</v>
      </c>
      <c r="M13" s="193"/>
      <c r="N13" s="193"/>
      <c r="O13" s="194">
        <f>MAX(6,SQRT(2*MAX(F13,L13)))</f>
        <v>6</v>
      </c>
      <c r="P13" s="194"/>
      <c r="Q13" s="194"/>
      <c r="R13" s="193">
        <f>MIN(F13,L13)</f>
        <v>12</v>
      </c>
      <c r="S13" s="193"/>
      <c r="T13" s="193"/>
      <c r="U13" s="193">
        <v>6</v>
      </c>
      <c r="V13" s="193"/>
      <c r="W13" s="193"/>
      <c r="X13" s="192" t="str">
        <f>IF(AND(O13&lt;=U13,R13&gt;=U13),"OK","NG")</f>
        <v>OK</v>
      </c>
      <c r="Y13" s="192"/>
      <c r="Z13" s="194">
        <f>MAX(6,SQRT(2*MAX(I13,L13)))</f>
        <v>6</v>
      </c>
      <c r="AA13" s="194"/>
      <c r="AB13" s="194"/>
      <c r="AC13" s="193">
        <f>MIN(I13,L13)</f>
        <v>12</v>
      </c>
      <c r="AD13" s="193"/>
      <c r="AE13" s="193"/>
      <c r="AF13" s="193">
        <v>6</v>
      </c>
      <c r="AG13" s="193"/>
      <c r="AH13" s="193"/>
      <c r="AI13" s="192" t="str">
        <f>IF(AND(Z13&lt;=AF13,AC13&gt;=AF13),"OK","NG")</f>
        <v>OK</v>
      </c>
      <c r="AJ13" s="192"/>
    </row>
    <row r="14" spans="2:36" ht="24.75" customHeight="1">
      <c r="B14" s="192" t="s">
        <v>259</v>
      </c>
      <c r="C14" s="192"/>
      <c r="D14" s="192"/>
      <c r="E14" s="192"/>
      <c r="F14" s="193">
        <v>21</v>
      </c>
      <c r="G14" s="193"/>
      <c r="H14" s="193"/>
      <c r="I14" s="193">
        <v>21</v>
      </c>
      <c r="J14" s="193"/>
      <c r="K14" s="193"/>
      <c r="L14" s="193">
        <v>12</v>
      </c>
      <c r="M14" s="193"/>
      <c r="N14" s="193"/>
      <c r="O14" s="194">
        <f>MAX(6,SQRT(2*MAX(F14,L14)))</f>
        <v>6.48074069840786</v>
      </c>
      <c r="P14" s="194"/>
      <c r="Q14" s="194"/>
      <c r="R14" s="193">
        <f>MIN(F14,L14)</f>
        <v>12</v>
      </c>
      <c r="S14" s="193"/>
      <c r="T14" s="193"/>
      <c r="U14" s="193">
        <v>7</v>
      </c>
      <c r="V14" s="193"/>
      <c r="W14" s="193"/>
      <c r="X14" s="192" t="str">
        <f>IF(AND(O14&lt;=U14,R14&gt;=U14),"OK","NG")</f>
        <v>OK</v>
      </c>
      <c r="Y14" s="192"/>
      <c r="Z14" s="194">
        <f>MAX(6,SQRT(2*MAX(I14,L14)))</f>
        <v>6.48074069840786</v>
      </c>
      <c r="AA14" s="194"/>
      <c r="AB14" s="194"/>
      <c r="AC14" s="193">
        <f>MIN(I14,L14)</f>
        <v>12</v>
      </c>
      <c r="AD14" s="193"/>
      <c r="AE14" s="193"/>
      <c r="AF14" s="193">
        <v>7</v>
      </c>
      <c r="AG14" s="193"/>
      <c r="AH14" s="193"/>
      <c r="AI14" s="192" t="str">
        <f>IF(AND(Z14&lt;=AF14,AC14&gt;=AF14),"OK","NG")</f>
        <v>OK</v>
      </c>
      <c r="AJ14" s="192"/>
    </row>
    <row r="15" spans="2:36" ht="24.75" customHeight="1">
      <c r="B15" s="192" t="s">
        <v>260</v>
      </c>
      <c r="C15" s="192"/>
      <c r="D15" s="192"/>
      <c r="E15" s="192"/>
      <c r="F15" s="193">
        <v>28</v>
      </c>
      <c r="G15" s="193"/>
      <c r="H15" s="193"/>
      <c r="I15" s="193">
        <v>28</v>
      </c>
      <c r="J15" s="193"/>
      <c r="K15" s="193"/>
      <c r="L15" s="193">
        <v>12</v>
      </c>
      <c r="M15" s="193"/>
      <c r="N15" s="193"/>
      <c r="O15" s="194">
        <f>MAX(6,SQRT(2*MAX(F15,L15)))</f>
        <v>7.483314773547883</v>
      </c>
      <c r="P15" s="194"/>
      <c r="Q15" s="194"/>
      <c r="R15" s="193">
        <f>MIN(F15,L15)</f>
        <v>12</v>
      </c>
      <c r="S15" s="193"/>
      <c r="T15" s="193"/>
      <c r="U15" s="193">
        <v>8</v>
      </c>
      <c r="V15" s="193"/>
      <c r="W15" s="193"/>
      <c r="X15" s="192" t="str">
        <f>IF(AND(O15&lt;=U15,R15&gt;=U15),"OK","NG")</f>
        <v>OK</v>
      </c>
      <c r="Y15" s="192"/>
      <c r="Z15" s="194">
        <f>MAX(6,SQRT(2*MAX(I15,L15)))</f>
        <v>7.483314773547883</v>
      </c>
      <c r="AA15" s="194"/>
      <c r="AB15" s="194"/>
      <c r="AC15" s="193">
        <f>MIN(I15,L15)</f>
        <v>12</v>
      </c>
      <c r="AD15" s="193"/>
      <c r="AE15" s="193"/>
      <c r="AF15" s="193">
        <v>8</v>
      </c>
      <c r="AG15" s="193"/>
      <c r="AH15" s="193"/>
      <c r="AI15" s="192" t="str">
        <f>IF(AND(Z15&lt;=AF15,AC15&gt;=AF15),"OK","NG")</f>
        <v>OK</v>
      </c>
      <c r="AJ15" s="192"/>
    </row>
    <row r="16" spans="2:36" ht="24.75" customHeight="1">
      <c r="B16" s="192" t="s">
        <v>261</v>
      </c>
      <c r="C16" s="192"/>
      <c r="D16" s="192"/>
      <c r="E16" s="192"/>
      <c r="F16" s="193">
        <v>21</v>
      </c>
      <c r="G16" s="193"/>
      <c r="H16" s="193"/>
      <c r="I16" s="193">
        <v>21</v>
      </c>
      <c r="J16" s="193"/>
      <c r="K16" s="193"/>
      <c r="L16" s="193">
        <v>12</v>
      </c>
      <c r="M16" s="193"/>
      <c r="N16" s="193"/>
      <c r="O16" s="194">
        <f>MAX(6,SQRT(2*MAX(F16,L16)))</f>
        <v>6.48074069840786</v>
      </c>
      <c r="P16" s="194"/>
      <c r="Q16" s="194"/>
      <c r="R16" s="193">
        <f>MIN(F16,L16)</f>
        <v>12</v>
      </c>
      <c r="S16" s="193"/>
      <c r="T16" s="193"/>
      <c r="U16" s="193">
        <v>7</v>
      </c>
      <c r="V16" s="193"/>
      <c r="W16" s="193"/>
      <c r="X16" s="192" t="str">
        <f>IF(AND(O16&lt;=U16,R16&gt;=U16),"OK","NG")</f>
        <v>OK</v>
      </c>
      <c r="Y16" s="192"/>
      <c r="Z16" s="194">
        <f>MAX(6,SQRT(2*MAX(I16,L16)))</f>
        <v>6.48074069840786</v>
      </c>
      <c r="AA16" s="194"/>
      <c r="AB16" s="194"/>
      <c r="AC16" s="193">
        <f>MIN(I16,L16)</f>
        <v>12</v>
      </c>
      <c r="AD16" s="193"/>
      <c r="AE16" s="193"/>
      <c r="AF16" s="193">
        <v>7</v>
      </c>
      <c r="AG16" s="193"/>
      <c r="AH16" s="193"/>
      <c r="AI16" s="192" t="str">
        <f>IF(AND(Z16&lt;=AF16,AC16&gt;=AF16),"OK","NG")</f>
        <v>OK</v>
      </c>
      <c r="AJ16" s="192"/>
    </row>
    <row r="18" ht="24.75" customHeight="1">
      <c r="B18" s="191" t="s">
        <v>294</v>
      </c>
    </row>
    <row r="19" spans="2:59" ht="24.75" customHeight="1">
      <c r="B19" s="195"/>
      <c r="E19" s="196" t="s">
        <v>64</v>
      </c>
      <c r="O19" s="196"/>
      <c r="R19" s="191" t="s">
        <v>295</v>
      </c>
      <c r="AN19" s="195"/>
      <c r="AQ19" s="196"/>
      <c r="BA19" s="196"/>
      <c r="BG19" s="196"/>
    </row>
    <row r="20" spans="2:53" ht="24.75" customHeight="1">
      <c r="B20" s="195"/>
      <c r="I20" s="197" t="s">
        <v>70</v>
      </c>
      <c r="O20" s="198" t="s">
        <v>296</v>
      </c>
      <c r="S20" s="199" t="s">
        <v>126</v>
      </c>
      <c r="T20" s="199"/>
      <c r="U20" s="200" t="s">
        <v>71</v>
      </c>
      <c r="V20" s="200"/>
      <c r="W20" s="200"/>
      <c r="X20" s="199" t="s">
        <v>72</v>
      </c>
      <c r="Y20" s="199"/>
      <c r="Z20" s="199" t="s">
        <v>127</v>
      </c>
      <c r="AA20" s="199"/>
      <c r="AN20" s="195"/>
      <c r="AU20" s="197"/>
      <c r="BA20" s="195"/>
    </row>
    <row r="21" spans="1:53" ht="24.75" customHeight="1">
      <c r="A21" s="201" t="s">
        <v>73</v>
      </c>
      <c r="B21" s="195"/>
      <c r="N21" s="202" t="s">
        <v>73</v>
      </c>
      <c r="O21" s="198"/>
      <c r="S21" s="199"/>
      <c r="T21" s="199"/>
      <c r="U21" s="203" t="s">
        <v>74</v>
      </c>
      <c r="V21" s="203"/>
      <c r="W21" s="203"/>
      <c r="X21" s="199"/>
      <c r="Y21" s="199"/>
      <c r="Z21" s="199"/>
      <c r="AA21" s="199"/>
      <c r="AM21" s="195"/>
      <c r="AN21" s="195"/>
      <c r="AZ21" s="195"/>
      <c r="BA21" s="195"/>
    </row>
    <row r="22" spans="1:53" ht="24.75" customHeight="1">
      <c r="A22" s="201"/>
      <c r="B22" s="195"/>
      <c r="N22" s="202"/>
      <c r="O22" s="198" t="s">
        <v>297</v>
      </c>
      <c r="S22" s="204" t="s">
        <v>298</v>
      </c>
      <c r="U22" s="204" t="s">
        <v>299</v>
      </c>
      <c r="W22" s="195"/>
      <c r="X22" s="195"/>
      <c r="Y22" s="195"/>
      <c r="Z22" s="195"/>
      <c r="AA22" s="195"/>
      <c r="AM22" s="195"/>
      <c r="AN22" s="195"/>
      <c r="AZ22" s="195"/>
      <c r="BA22" s="195"/>
    </row>
    <row r="23" spans="2:59" ht="24.75" customHeight="1">
      <c r="B23" s="195"/>
      <c r="E23" s="197" t="s">
        <v>70</v>
      </c>
      <c r="J23" s="205" t="s">
        <v>65</v>
      </c>
      <c r="O23" s="198"/>
      <c r="S23" s="204" t="s">
        <v>128</v>
      </c>
      <c r="U23" s="204" t="s">
        <v>300</v>
      </c>
      <c r="W23" s="195"/>
      <c r="X23" s="195"/>
      <c r="Y23" s="195"/>
      <c r="Z23" s="195"/>
      <c r="AA23" s="195"/>
      <c r="AN23" s="195"/>
      <c r="AQ23" s="197"/>
      <c r="AV23" s="205"/>
      <c r="BA23" s="195"/>
      <c r="BG23" s="205"/>
    </row>
    <row r="24" spans="2:59" ht="24.75" customHeight="1">
      <c r="B24" s="195"/>
      <c r="G24" s="206" t="s">
        <v>85</v>
      </c>
      <c r="H24" s="206"/>
      <c r="I24" s="206"/>
      <c r="J24" s="205"/>
      <c r="O24" s="205" t="s">
        <v>65</v>
      </c>
      <c r="S24" s="204" t="s">
        <v>301</v>
      </c>
      <c r="U24" s="204" t="s">
        <v>302</v>
      </c>
      <c r="W24" s="195"/>
      <c r="X24" s="195"/>
      <c r="Y24" s="195"/>
      <c r="Z24" s="195"/>
      <c r="AA24" s="195"/>
      <c r="AN24" s="195"/>
      <c r="AV24" s="205"/>
      <c r="BA24" s="205"/>
      <c r="BG24" s="205"/>
    </row>
    <row r="25" spans="2:43" ht="24.75" customHeight="1">
      <c r="B25" s="195"/>
      <c r="E25" s="207"/>
      <c r="S25" s="204" t="s">
        <v>303</v>
      </c>
      <c r="U25" s="204" t="s">
        <v>304</v>
      </c>
      <c r="W25" s="195"/>
      <c r="X25" s="195"/>
      <c r="Y25" s="195"/>
      <c r="Z25" s="195"/>
      <c r="AA25" s="195"/>
      <c r="AN25" s="195"/>
      <c r="AQ25" s="207"/>
    </row>
    <row r="26" spans="8:32" ht="24.75" customHeight="1">
      <c r="H26" s="208" t="s">
        <v>70</v>
      </c>
      <c r="S26" s="195"/>
      <c r="U26" s="195" t="s">
        <v>305</v>
      </c>
      <c r="W26" s="195"/>
      <c r="X26" s="195"/>
      <c r="Y26" s="195"/>
      <c r="Z26" s="195"/>
      <c r="AA26" s="195"/>
      <c r="AD26" s="209" t="s">
        <v>306</v>
      </c>
      <c r="AF26" s="195"/>
    </row>
    <row r="27" ht="24.75" customHeight="1">
      <c r="U27" s="191" t="s">
        <v>75</v>
      </c>
    </row>
    <row r="28" spans="3:27" ht="24.75" customHeight="1">
      <c r="C28" s="210" t="s">
        <v>70</v>
      </c>
      <c r="K28" s="211" t="s">
        <v>76</v>
      </c>
      <c r="S28" s="204" t="s">
        <v>307</v>
      </c>
      <c r="U28" s="204" t="s">
        <v>308</v>
      </c>
      <c r="W28" s="195"/>
      <c r="X28" s="195"/>
      <c r="Y28" s="195"/>
      <c r="Z28" s="195"/>
      <c r="AA28" s="195"/>
    </row>
    <row r="29" spans="19:31" ht="24.75" customHeight="1">
      <c r="S29" s="204" t="s">
        <v>77</v>
      </c>
      <c r="U29" s="195" t="s">
        <v>309</v>
      </c>
      <c r="W29" s="195"/>
      <c r="X29" s="195"/>
      <c r="Y29" s="195"/>
      <c r="Z29" s="195"/>
      <c r="AA29" s="195"/>
      <c r="AE29" s="212" t="s">
        <v>310</v>
      </c>
    </row>
    <row r="30" spans="19:21" ht="24.75" customHeight="1">
      <c r="S30" s="191" t="s">
        <v>78</v>
      </c>
      <c r="U30" s="191" t="s">
        <v>311</v>
      </c>
    </row>
    <row r="31" ht="24.75" customHeight="1">
      <c r="B31" s="195" t="s">
        <v>312</v>
      </c>
    </row>
    <row r="32" spans="2:28" ht="24.75" customHeight="1">
      <c r="B32" s="191" t="s">
        <v>313</v>
      </c>
      <c r="AB32" s="213"/>
    </row>
    <row r="33" spans="1:37" ht="15" customHeight="1">
      <c r="A33" s="214" t="s">
        <v>314</v>
      </c>
      <c r="B33" s="215"/>
      <c r="C33" s="216"/>
      <c r="D33" s="214" t="s">
        <v>68</v>
      </c>
      <c r="E33" s="215"/>
      <c r="F33" s="215"/>
      <c r="G33" s="214" t="s">
        <v>64</v>
      </c>
      <c r="H33" s="216"/>
      <c r="I33" s="214" t="s">
        <v>85</v>
      </c>
      <c r="J33" s="215"/>
      <c r="K33" s="216"/>
      <c r="L33" s="215" t="s">
        <v>54</v>
      </c>
      <c r="M33" s="215"/>
      <c r="N33" s="215"/>
      <c r="O33" s="214" t="s">
        <v>296</v>
      </c>
      <c r="P33" s="215"/>
      <c r="Q33" s="216"/>
      <c r="R33" s="214" t="s">
        <v>86</v>
      </c>
      <c r="S33" s="215"/>
      <c r="T33" s="215"/>
      <c r="U33" s="216"/>
      <c r="V33" s="214" t="s">
        <v>315</v>
      </c>
      <c r="W33" s="215"/>
      <c r="X33" s="215"/>
      <c r="Y33" s="216"/>
      <c r="Z33" s="215" t="s">
        <v>70</v>
      </c>
      <c r="AA33" s="215"/>
      <c r="AB33" s="214" t="s">
        <v>79</v>
      </c>
      <c r="AC33" s="216"/>
      <c r="AD33" s="203" t="s">
        <v>129</v>
      </c>
      <c r="AE33" s="203"/>
      <c r="AF33" s="203"/>
      <c r="AG33" s="217" t="s">
        <v>130</v>
      </c>
      <c r="AH33" s="203"/>
      <c r="AI33" s="218"/>
      <c r="AJ33" s="215" t="s">
        <v>15</v>
      </c>
      <c r="AK33" s="216"/>
    </row>
    <row r="34" spans="1:37" ht="15" customHeight="1">
      <c r="A34" s="219"/>
      <c r="B34" s="220"/>
      <c r="C34" s="221"/>
      <c r="D34" s="219" t="s">
        <v>316</v>
      </c>
      <c r="E34" s="220"/>
      <c r="F34" s="220"/>
      <c r="G34" s="219" t="s">
        <v>80</v>
      </c>
      <c r="H34" s="221"/>
      <c r="I34" s="219" t="s">
        <v>317</v>
      </c>
      <c r="J34" s="220"/>
      <c r="K34" s="221"/>
      <c r="L34" s="220" t="s">
        <v>318</v>
      </c>
      <c r="M34" s="220"/>
      <c r="N34" s="220"/>
      <c r="O34" s="219" t="s">
        <v>317</v>
      </c>
      <c r="P34" s="220"/>
      <c r="Q34" s="221"/>
      <c r="R34" s="219" t="s">
        <v>319</v>
      </c>
      <c r="S34" s="220"/>
      <c r="T34" s="220"/>
      <c r="U34" s="221"/>
      <c r="V34" s="219" t="s">
        <v>320</v>
      </c>
      <c r="W34" s="220"/>
      <c r="X34" s="220"/>
      <c r="Y34" s="221"/>
      <c r="Z34" s="220" t="s">
        <v>80</v>
      </c>
      <c r="AA34" s="220"/>
      <c r="AB34" s="219" t="s">
        <v>317</v>
      </c>
      <c r="AC34" s="221"/>
      <c r="AD34" s="222" t="s">
        <v>226</v>
      </c>
      <c r="AE34" s="223"/>
      <c r="AF34" s="224"/>
      <c r="AG34" s="222" t="s">
        <v>226</v>
      </c>
      <c r="AH34" s="223"/>
      <c r="AI34" s="224"/>
      <c r="AJ34" s="220"/>
      <c r="AK34" s="221"/>
    </row>
    <row r="35" spans="1:37" ht="24.75" customHeight="1">
      <c r="A35" s="225" t="s">
        <v>262</v>
      </c>
      <c r="B35" s="226"/>
      <c r="C35" s="227"/>
      <c r="D35" s="228">
        <v>0</v>
      </c>
      <c r="E35" s="228"/>
      <c r="F35" s="228"/>
      <c r="G35" s="229">
        <v>12</v>
      </c>
      <c r="H35" s="229"/>
      <c r="I35" s="230">
        <v>2640</v>
      </c>
      <c r="J35" s="231"/>
      <c r="K35" s="232"/>
      <c r="L35" s="232">
        <f>I35*G35</f>
        <v>31680</v>
      </c>
      <c r="M35" s="229"/>
      <c r="N35" s="229"/>
      <c r="O35" s="229">
        <v>1030</v>
      </c>
      <c r="P35" s="229"/>
      <c r="Q35" s="229"/>
      <c r="R35" s="233">
        <f>L35*(O35-G35/2)</f>
        <v>32440320</v>
      </c>
      <c r="S35" s="234"/>
      <c r="T35" s="234"/>
      <c r="U35" s="235"/>
      <c r="V35" s="236">
        <v>109063003816</v>
      </c>
      <c r="W35" s="236"/>
      <c r="X35" s="236"/>
      <c r="Y35" s="236"/>
      <c r="Z35" s="237">
        <v>6</v>
      </c>
      <c r="AA35" s="237"/>
      <c r="AB35" s="238">
        <f>4*Z35/SQRT(2)</f>
        <v>16.97056274847714</v>
      </c>
      <c r="AC35" s="239"/>
      <c r="AD35" s="240">
        <f>D35*10^3*R35/(V35*AB35)</f>
        <v>0</v>
      </c>
      <c r="AE35" s="240"/>
      <c r="AF35" s="240"/>
      <c r="AG35" s="237">
        <v>120</v>
      </c>
      <c r="AH35" s="237"/>
      <c r="AI35" s="237"/>
      <c r="AJ35" s="192" t="str">
        <f>IF(AD35&gt;AG35,"NG","OK")</f>
        <v>OK</v>
      </c>
      <c r="AK35" s="192"/>
    </row>
    <row r="36" spans="1:37" ht="24.75" customHeight="1">
      <c r="A36" s="225" t="s">
        <v>263</v>
      </c>
      <c r="B36" s="226"/>
      <c r="C36" s="227"/>
      <c r="D36" s="228">
        <v>928.663</v>
      </c>
      <c r="E36" s="228"/>
      <c r="F36" s="228"/>
      <c r="G36" s="229">
        <v>15</v>
      </c>
      <c r="H36" s="229"/>
      <c r="I36" s="230">
        <v>2640</v>
      </c>
      <c r="J36" s="231"/>
      <c r="K36" s="232"/>
      <c r="L36" s="232">
        <f>I36*G36</f>
        <v>39600</v>
      </c>
      <c r="M36" s="229"/>
      <c r="N36" s="229"/>
      <c r="O36" s="229">
        <v>1034.6</v>
      </c>
      <c r="P36" s="229"/>
      <c r="Q36" s="229"/>
      <c r="R36" s="233">
        <f>L36*(O36-G36/2)</f>
        <v>40673160</v>
      </c>
      <c r="S36" s="234"/>
      <c r="T36" s="234"/>
      <c r="U36" s="235"/>
      <c r="V36" s="236">
        <v>127522590989</v>
      </c>
      <c r="W36" s="236"/>
      <c r="X36" s="236"/>
      <c r="Y36" s="236"/>
      <c r="Z36" s="237">
        <v>6</v>
      </c>
      <c r="AA36" s="237"/>
      <c r="AB36" s="238">
        <f>4*Z36/SQRT(2)</f>
        <v>16.97056274847714</v>
      </c>
      <c r="AC36" s="239"/>
      <c r="AD36" s="240">
        <f>D36*10^3*R36/(V36*AB36)</f>
        <v>17.453506248354564</v>
      </c>
      <c r="AE36" s="240"/>
      <c r="AF36" s="240"/>
      <c r="AG36" s="237">
        <v>120</v>
      </c>
      <c r="AH36" s="237"/>
      <c r="AI36" s="237"/>
      <c r="AJ36" s="192" t="str">
        <f>IF(AD36&gt;AG36,"NG","OK")</f>
        <v>OK</v>
      </c>
      <c r="AK36" s="192"/>
    </row>
    <row r="37" spans="1:37" ht="24.75" customHeight="1">
      <c r="A37" s="225" t="s">
        <v>264</v>
      </c>
      <c r="B37" s="226"/>
      <c r="C37" s="227"/>
      <c r="D37" s="228">
        <v>1571.531</v>
      </c>
      <c r="E37" s="228"/>
      <c r="F37" s="228"/>
      <c r="G37" s="229">
        <v>21</v>
      </c>
      <c r="H37" s="229"/>
      <c r="I37" s="230">
        <v>2640</v>
      </c>
      <c r="J37" s="231"/>
      <c r="K37" s="232"/>
      <c r="L37" s="232">
        <f>I37*G37</f>
        <v>55440</v>
      </c>
      <c r="M37" s="229"/>
      <c r="N37" s="229"/>
      <c r="O37" s="229">
        <v>1117.9</v>
      </c>
      <c r="P37" s="229"/>
      <c r="Q37" s="229"/>
      <c r="R37" s="233">
        <f>L37*(O37-G37/2)</f>
        <v>61394256.00000001</v>
      </c>
      <c r="S37" s="234"/>
      <c r="T37" s="234"/>
      <c r="U37" s="235"/>
      <c r="V37" s="236">
        <v>172146712848</v>
      </c>
      <c r="W37" s="236"/>
      <c r="X37" s="236"/>
      <c r="Y37" s="236"/>
      <c r="Z37" s="237">
        <v>7</v>
      </c>
      <c r="AA37" s="237"/>
      <c r="AB37" s="238">
        <f>4*Z37/SQRT(2)</f>
        <v>19.79898987322333</v>
      </c>
      <c r="AC37" s="239"/>
      <c r="AD37" s="240">
        <f>D37*10^3*R37/(V37*AB37)</f>
        <v>28.307982949898598</v>
      </c>
      <c r="AE37" s="240"/>
      <c r="AF37" s="240"/>
      <c r="AG37" s="237">
        <v>120</v>
      </c>
      <c r="AH37" s="237"/>
      <c r="AI37" s="237"/>
      <c r="AJ37" s="192" t="str">
        <f>IF(AD37&gt;AG37,"NG","OK")</f>
        <v>OK</v>
      </c>
      <c r="AK37" s="192"/>
    </row>
    <row r="38" spans="1:37" ht="24.75" customHeight="1">
      <c r="A38" s="225" t="s">
        <v>321</v>
      </c>
      <c r="B38" s="226"/>
      <c r="C38" s="227"/>
      <c r="D38" s="228">
        <v>2430.693</v>
      </c>
      <c r="E38" s="228"/>
      <c r="F38" s="228"/>
      <c r="G38" s="229">
        <v>28</v>
      </c>
      <c r="H38" s="229"/>
      <c r="I38" s="230">
        <v>2640</v>
      </c>
      <c r="J38" s="231"/>
      <c r="K38" s="232"/>
      <c r="L38" s="232">
        <f>I38*G38</f>
        <v>73920</v>
      </c>
      <c r="M38" s="229"/>
      <c r="N38" s="229"/>
      <c r="O38" s="229">
        <v>1131.3</v>
      </c>
      <c r="P38" s="229"/>
      <c r="Q38" s="229"/>
      <c r="R38" s="233">
        <f>L38*(O38-G38/2)</f>
        <v>82590816</v>
      </c>
      <c r="S38" s="234"/>
      <c r="T38" s="234"/>
      <c r="U38" s="235"/>
      <c r="V38" s="236">
        <v>182741150720</v>
      </c>
      <c r="W38" s="236"/>
      <c r="X38" s="236"/>
      <c r="Y38" s="236"/>
      <c r="Z38" s="237">
        <v>8</v>
      </c>
      <c r="AA38" s="237"/>
      <c r="AB38" s="238">
        <f>4*Z38/SQRT(2)</f>
        <v>22.62741699796952</v>
      </c>
      <c r="AC38" s="239"/>
      <c r="AD38" s="240">
        <f>D38*10^3*R38/(V38*AB38)</f>
        <v>48.55014501542652</v>
      </c>
      <c r="AE38" s="240"/>
      <c r="AF38" s="240"/>
      <c r="AG38" s="237">
        <v>120</v>
      </c>
      <c r="AH38" s="237"/>
      <c r="AI38" s="237"/>
      <c r="AJ38" s="192" t="str">
        <f>IF(AD38&gt;AG38,"NG","OK")</f>
        <v>OK</v>
      </c>
      <c r="AK38" s="192"/>
    </row>
    <row r="39" spans="1:37" ht="24.75" customHeight="1">
      <c r="A39" s="225" t="s">
        <v>322</v>
      </c>
      <c r="B39" s="226"/>
      <c r="C39" s="227"/>
      <c r="D39" s="228">
        <v>1135.779</v>
      </c>
      <c r="E39" s="228"/>
      <c r="F39" s="228"/>
      <c r="G39" s="229">
        <v>21</v>
      </c>
      <c r="H39" s="229"/>
      <c r="I39" s="230">
        <v>2640</v>
      </c>
      <c r="J39" s="231"/>
      <c r="K39" s="232"/>
      <c r="L39" s="232">
        <f>I39*G39</f>
        <v>55440</v>
      </c>
      <c r="M39" s="229"/>
      <c r="N39" s="229"/>
      <c r="O39" s="229">
        <v>1034.6</v>
      </c>
      <c r="P39" s="229"/>
      <c r="Q39" s="229"/>
      <c r="R39" s="233">
        <f>L39*(O39-G39/2)</f>
        <v>56776103.99999999</v>
      </c>
      <c r="S39" s="234"/>
      <c r="T39" s="234"/>
      <c r="U39" s="235"/>
      <c r="V39" s="236">
        <v>164739075158</v>
      </c>
      <c r="W39" s="236"/>
      <c r="X39" s="236"/>
      <c r="Y39" s="236"/>
      <c r="Z39" s="237">
        <v>7</v>
      </c>
      <c r="AA39" s="237"/>
      <c r="AB39" s="238">
        <f>4*Z39/SQRT(2)</f>
        <v>19.79898987322333</v>
      </c>
      <c r="AC39" s="239"/>
      <c r="AD39" s="240">
        <f>D39*10^3*R39/(V39*AB39)</f>
        <v>19.770596162599993</v>
      </c>
      <c r="AE39" s="240"/>
      <c r="AF39" s="240"/>
      <c r="AG39" s="237">
        <v>120</v>
      </c>
      <c r="AH39" s="237"/>
      <c r="AI39" s="237"/>
      <c r="AJ39" s="192" t="str">
        <f>IF(AD39&gt;AG39,"NG","OK")</f>
        <v>OK</v>
      </c>
      <c r="AK39" s="192"/>
    </row>
    <row r="41" ht="24.75" customHeight="1">
      <c r="B41" s="191" t="s">
        <v>323</v>
      </c>
    </row>
    <row r="42" spans="1:37" ht="15" customHeight="1">
      <c r="A42" s="214" t="s">
        <v>314</v>
      </c>
      <c r="B42" s="215"/>
      <c r="C42" s="216"/>
      <c r="D42" s="214" t="s">
        <v>68</v>
      </c>
      <c r="E42" s="215"/>
      <c r="F42" s="215"/>
      <c r="G42" s="214" t="s">
        <v>65</v>
      </c>
      <c r="H42" s="216"/>
      <c r="I42" s="214" t="s">
        <v>85</v>
      </c>
      <c r="J42" s="215"/>
      <c r="K42" s="216"/>
      <c r="L42" s="215" t="s">
        <v>54</v>
      </c>
      <c r="M42" s="215"/>
      <c r="N42" s="215"/>
      <c r="O42" s="214" t="s">
        <v>297</v>
      </c>
      <c r="P42" s="215"/>
      <c r="Q42" s="216"/>
      <c r="R42" s="214" t="s">
        <v>86</v>
      </c>
      <c r="S42" s="215"/>
      <c r="T42" s="215"/>
      <c r="U42" s="216"/>
      <c r="V42" s="214" t="s">
        <v>315</v>
      </c>
      <c r="W42" s="215"/>
      <c r="X42" s="215"/>
      <c r="Y42" s="216"/>
      <c r="Z42" s="215" t="s">
        <v>70</v>
      </c>
      <c r="AA42" s="215"/>
      <c r="AB42" s="214" t="s">
        <v>79</v>
      </c>
      <c r="AC42" s="216"/>
      <c r="AD42" s="203" t="s">
        <v>129</v>
      </c>
      <c r="AE42" s="203"/>
      <c r="AF42" s="203"/>
      <c r="AG42" s="217" t="s">
        <v>130</v>
      </c>
      <c r="AH42" s="203"/>
      <c r="AI42" s="218"/>
      <c r="AJ42" s="215" t="s">
        <v>15</v>
      </c>
      <c r="AK42" s="216"/>
    </row>
    <row r="43" spans="1:37" ht="15" customHeight="1">
      <c r="A43" s="219"/>
      <c r="B43" s="220"/>
      <c r="C43" s="221"/>
      <c r="D43" s="219" t="s">
        <v>316</v>
      </c>
      <c r="E43" s="220"/>
      <c r="F43" s="220"/>
      <c r="G43" s="219" t="s">
        <v>80</v>
      </c>
      <c r="H43" s="221"/>
      <c r="I43" s="219" t="s">
        <v>317</v>
      </c>
      <c r="J43" s="220"/>
      <c r="K43" s="221"/>
      <c r="L43" s="220" t="s">
        <v>318</v>
      </c>
      <c r="M43" s="220"/>
      <c r="N43" s="220"/>
      <c r="O43" s="219" t="s">
        <v>317</v>
      </c>
      <c r="P43" s="220"/>
      <c r="Q43" s="221"/>
      <c r="R43" s="219" t="s">
        <v>319</v>
      </c>
      <c r="S43" s="220"/>
      <c r="T43" s="220"/>
      <c r="U43" s="221"/>
      <c r="V43" s="219" t="s">
        <v>320</v>
      </c>
      <c r="W43" s="220"/>
      <c r="X43" s="220"/>
      <c r="Y43" s="221"/>
      <c r="Z43" s="220" t="s">
        <v>80</v>
      </c>
      <c r="AA43" s="220"/>
      <c r="AB43" s="219" t="s">
        <v>317</v>
      </c>
      <c r="AC43" s="221"/>
      <c r="AD43" s="222" t="s">
        <v>226</v>
      </c>
      <c r="AE43" s="223"/>
      <c r="AF43" s="224"/>
      <c r="AG43" s="222" t="s">
        <v>226</v>
      </c>
      <c r="AH43" s="223"/>
      <c r="AI43" s="224"/>
      <c r="AJ43" s="220"/>
      <c r="AK43" s="221"/>
    </row>
    <row r="44" spans="1:37" ht="24.75" customHeight="1">
      <c r="A44" s="225" t="s">
        <v>262</v>
      </c>
      <c r="B44" s="226"/>
      <c r="C44" s="227"/>
      <c r="D44" s="228">
        <v>0</v>
      </c>
      <c r="E44" s="228"/>
      <c r="F44" s="228"/>
      <c r="G44" s="229">
        <v>12</v>
      </c>
      <c r="H44" s="229"/>
      <c r="I44" s="230">
        <v>2340</v>
      </c>
      <c r="J44" s="231"/>
      <c r="K44" s="232"/>
      <c r="L44" s="232">
        <f>I44*G44</f>
        <v>28080</v>
      </c>
      <c r="M44" s="229"/>
      <c r="N44" s="229"/>
      <c r="O44" s="229">
        <v>1194</v>
      </c>
      <c r="P44" s="229"/>
      <c r="Q44" s="229"/>
      <c r="R44" s="233">
        <f>L44*(O44-G44/2)</f>
        <v>33359040</v>
      </c>
      <c r="S44" s="234"/>
      <c r="T44" s="234"/>
      <c r="U44" s="235"/>
      <c r="V44" s="236">
        <v>109063003816</v>
      </c>
      <c r="W44" s="236"/>
      <c r="X44" s="236"/>
      <c r="Y44" s="236"/>
      <c r="Z44" s="237">
        <v>6</v>
      </c>
      <c r="AA44" s="237"/>
      <c r="AB44" s="238">
        <f>4*Z44/SQRT(2)</f>
        <v>16.97056274847714</v>
      </c>
      <c r="AC44" s="239"/>
      <c r="AD44" s="240">
        <f>D44*10^3*R44/(V44*AB44)</f>
        <v>0</v>
      </c>
      <c r="AE44" s="240"/>
      <c r="AF44" s="240"/>
      <c r="AG44" s="237">
        <v>120</v>
      </c>
      <c r="AH44" s="237"/>
      <c r="AI44" s="237"/>
      <c r="AJ44" s="192" t="str">
        <f>IF(AD44&gt;AG44,"NG","OK")</f>
        <v>OK</v>
      </c>
      <c r="AK44" s="192"/>
    </row>
    <row r="45" spans="1:37" ht="24.75" customHeight="1">
      <c r="A45" s="225" t="s">
        <v>263</v>
      </c>
      <c r="B45" s="226"/>
      <c r="C45" s="227"/>
      <c r="D45" s="228">
        <v>928.663</v>
      </c>
      <c r="E45" s="228"/>
      <c r="F45" s="228"/>
      <c r="G45" s="229">
        <v>15</v>
      </c>
      <c r="H45" s="229"/>
      <c r="I45" s="230">
        <v>2340</v>
      </c>
      <c r="J45" s="231"/>
      <c r="K45" s="232"/>
      <c r="L45" s="232">
        <f>I45*G45</f>
        <v>35100</v>
      </c>
      <c r="M45" s="229"/>
      <c r="N45" s="229"/>
      <c r="O45" s="229">
        <v>1195.4</v>
      </c>
      <c r="P45" s="229"/>
      <c r="Q45" s="229"/>
      <c r="R45" s="233">
        <f>L45*(O45-G45/2)</f>
        <v>41695290</v>
      </c>
      <c r="S45" s="234"/>
      <c r="T45" s="234"/>
      <c r="U45" s="235"/>
      <c r="V45" s="236">
        <v>127522590989</v>
      </c>
      <c r="W45" s="236"/>
      <c r="X45" s="236"/>
      <c r="Y45" s="236"/>
      <c r="Z45" s="237">
        <v>6</v>
      </c>
      <c r="AA45" s="237"/>
      <c r="AB45" s="238">
        <f>4*Z45/SQRT(2)</f>
        <v>16.97056274847714</v>
      </c>
      <c r="AC45" s="239"/>
      <c r="AD45" s="240">
        <f>D45*10^3*R45/(V45*AB45)</f>
        <v>17.892118648808097</v>
      </c>
      <c r="AE45" s="240"/>
      <c r="AF45" s="240"/>
      <c r="AG45" s="237">
        <v>120</v>
      </c>
      <c r="AH45" s="237"/>
      <c r="AI45" s="237"/>
      <c r="AJ45" s="192" t="str">
        <f>IF(AD45&gt;AG45,"NG","OK")</f>
        <v>OK</v>
      </c>
      <c r="AK45" s="192"/>
    </row>
    <row r="46" spans="1:37" ht="24.75" customHeight="1">
      <c r="A46" s="225" t="s">
        <v>264</v>
      </c>
      <c r="B46" s="226"/>
      <c r="C46" s="227"/>
      <c r="D46" s="228">
        <v>1571.531</v>
      </c>
      <c r="E46" s="228"/>
      <c r="F46" s="228"/>
      <c r="G46" s="229">
        <v>21</v>
      </c>
      <c r="H46" s="229"/>
      <c r="I46" s="230">
        <v>2340</v>
      </c>
      <c r="J46" s="231"/>
      <c r="K46" s="232"/>
      <c r="L46" s="232">
        <f>I46*G46</f>
        <v>49140</v>
      </c>
      <c r="M46" s="229"/>
      <c r="N46" s="229"/>
      <c r="O46" s="229">
        <v>1124.1</v>
      </c>
      <c r="P46" s="229"/>
      <c r="Q46" s="229"/>
      <c r="R46" s="233">
        <f>L46*(O46-G46/2)</f>
        <v>54722303.99999999</v>
      </c>
      <c r="S46" s="234"/>
      <c r="T46" s="234"/>
      <c r="U46" s="235"/>
      <c r="V46" s="236">
        <v>172146712848</v>
      </c>
      <c r="W46" s="236"/>
      <c r="X46" s="236"/>
      <c r="Y46" s="236"/>
      <c r="Z46" s="237">
        <v>7</v>
      </c>
      <c r="AA46" s="237"/>
      <c r="AB46" s="238">
        <f>4*Z46/SQRT(2)</f>
        <v>19.79898987322333</v>
      </c>
      <c r="AC46" s="239"/>
      <c r="AD46" s="240">
        <f>D46*10^3*R46/(V46*AB46)</f>
        <v>25.23164461201659</v>
      </c>
      <c r="AE46" s="240"/>
      <c r="AF46" s="240"/>
      <c r="AG46" s="237">
        <v>120</v>
      </c>
      <c r="AH46" s="237"/>
      <c r="AI46" s="237"/>
      <c r="AJ46" s="192" t="str">
        <f>IF(AD46&gt;AG46,"NG","OK")</f>
        <v>OK</v>
      </c>
      <c r="AK46" s="192"/>
    </row>
    <row r="47" spans="1:37" ht="24.75" customHeight="1">
      <c r="A47" s="225" t="s">
        <v>321</v>
      </c>
      <c r="B47" s="226"/>
      <c r="C47" s="227"/>
      <c r="D47" s="228">
        <v>2430.693</v>
      </c>
      <c r="E47" s="228"/>
      <c r="F47" s="228"/>
      <c r="G47" s="229">
        <v>28</v>
      </c>
      <c r="H47" s="229"/>
      <c r="I47" s="230">
        <v>2340</v>
      </c>
      <c r="J47" s="231"/>
      <c r="K47" s="232"/>
      <c r="L47" s="232">
        <f>I47*G47</f>
        <v>65520</v>
      </c>
      <c r="M47" s="229"/>
      <c r="N47" s="229"/>
      <c r="O47" s="229">
        <v>1124.7</v>
      </c>
      <c r="P47" s="229"/>
      <c r="Q47" s="229"/>
      <c r="R47" s="233">
        <f>L47*(O47-G47/2)</f>
        <v>72773064</v>
      </c>
      <c r="S47" s="234"/>
      <c r="T47" s="234"/>
      <c r="U47" s="235"/>
      <c r="V47" s="236">
        <v>182741150720</v>
      </c>
      <c r="W47" s="236"/>
      <c r="X47" s="236"/>
      <c r="Y47" s="236"/>
      <c r="Z47" s="237">
        <v>8</v>
      </c>
      <c r="AA47" s="237"/>
      <c r="AB47" s="238">
        <f>4*Z47/SQRT(2)</f>
        <v>22.62741699796952</v>
      </c>
      <c r="AC47" s="239"/>
      <c r="AD47" s="240">
        <f>D47*10^3*R47/(V47*AB47)</f>
        <v>42.77888246578064</v>
      </c>
      <c r="AE47" s="240"/>
      <c r="AF47" s="240"/>
      <c r="AG47" s="237">
        <v>120</v>
      </c>
      <c r="AH47" s="237"/>
      <c r="AI47" s="237"/>
      <c r="AJ47" s="192" t="str">
        <f>IF(AD47&gt;AG47,"NG","OK")</f>
        <v>OK</v>
      </c>
      <c r="AK47" s="192"/>
    </row>
    <row r="48" spans="1:37" ht="24.75" customHeight="1">
      <c r="A48" s="225" t="s">
        <v>322</v>
      </c>
      <c r="B48" s="226"/>
      <c r="C48" s="227"/>
      <c r="D48" s="228">
        <v>1135.779</v>
      </c>
      <c r="E48" s="228"/>
      <c r="F48" s="228"/>
      <c r="G48" s="229">
        <v>21</v>
      </c>
      <c r="H48" s="229"/>
      <c r="I48" s="230">
        <v>2340</v>
      </c>
      <c r="J48" s="231"/>
      <c r="K48" s="232"/>
      <c r="L48" s="232">
        <f>I48*G48</f>
        <v>49140</v>
      </c>
      <c r="M48" s="229"/>
      <c r="N48" s="229"/>
      <c r="O48" s="229">
        <v>1195.4</v>
      </c>
      <c r="P48" s="229"/>
      <c r="Q48" s="229"/>
      <c r="R48" s="233">
        <f>L48*(O48-G48/2)</f>
        <v>58225986.00000001</v>
      </c>
      <c r="S48" s="234"/>
      <c r="T48" s="234"/>
      <c r="U48" s="235"/>
      <c r="V48" s="236">
        <v>164739075158</v>
      </c>
      <c r="W48" s="236"/>
      <c r="X48" s="236"/>
      <c r="Y48" s="236"/>
      <c r="Z48" s="237">
        <v>7</v>
      </c>
      <c r="AA48" s="237"/>
      <c r="AB48" s="238">
        <f>4*Z48/SQRT(2)</f>
        <v>19.79898987322333</v>
      </c>
      <c r="AC48" s="239"/>
      <c r="AD48" s="240">
        <f>D48*10^3*R48/(V48*AB48)</f>
        <v>20.27547461472878</v>
      </c>
      <c r="AE48" s="240"/>
      <c r="AF48" s="240"/>
      <c r="AG48" s="237">
        <v>120</v>
      </c>
      <c r="AH48" s="237"/>
      <c r="AI48" s="237"/>
      <c r="AJ48" s="192" t="str">
        <f>IF(AD48&gt;AG48,"NG","OK")</f>
        <v>OK</v>
      </c>
      <c r="AK48" s="192"/>
    </row>
    <row r="50" ht="24.75" customHeight="1">
      <c r="A50" s="191" t="s">
        <v>324</v>
      </c>
    </row>
    <row r="51" ht="24.75" customHeight="1">
      <c r="B51" s="191" t="s">
        <v>325</v>
      </c>
    </row>
    <row r="52" spans="3:25" ht="24.75" customHeight="1">
      <c r="C52" s="191" t="s">
        <v>81</v>
      </c>
      <c r="F52" s="241">
        <v>4348.429</v>
      </c>
      <c r="G52" s="241"/>
      <c r="H52" s="241"/>
      <c r="I52" s="241"/>
      <c r="J52" s="191" t="s">
        <v>326</v>
      </c>
      <c r="N52" s="191" t="s">
        <v>327</v>
      </c>
      <c r="U52" s="191" t="s">
        <v>328</v>
      </c>
      <c r="W52" s="242">
        <v>6</v>
      </c>
      <c r="X52" s="242"/>
      <c r="Y52" s="191" t="s">
        <v>329</v>
      </c>
    </row>
    <row r="53" spans="14:29" ht="24.75" customHeight="1">
      <c r="N53" s="191" t="s">
        <v>330</v>
      </c>
      <c r="S53" s="243">
        <v>4</v>
      </c>
      <c r="T53" s="201" t="s">
        <v>82</v>
      </c>
      <c r="U53" s="201"/>
      <c r="V53" s="201">
        <v>200</v>
      </c>
      <c r="W53" s="241"/>
      <c r="X53" s="213" t="s">
        <v>41</v>
      </c>
      <c r="Y53" s="242">
        <v>20</v>
      </c>
      <c r="Z53" s="242"/>
      <c r="AA53" s="213" t="s">
        <v>41</v>
      </c>
      <c r="AB53" s="242">
        <v>2200</v>
      </c>
      <c r="AC53" s="242"/>
    </row>
    <row r="54" spans="11:30" ht="24.75" customHeight="1">
      <c r="K54" s="244"/>
      <c r="L54" s="245">
        <f>W52</f>
        <v>6</v>
      </c>
      <c r="N54" s="191" t="s">
        <v>331</v>
      </c>
      <c r="V54" s="191" t="s">
        <v>332</v>
      </c>
      <c r="X54" s="191" t="s">
        <v>333</v>
      </c>
      <c r="AA54" s="191" t="s">
        <v>334</v>
      </c>
      <c r="AB54" s="246">
        <f>W52/SQRT(2)</f>
        <v>4.242640687119285</v>
      </c>
      <c r="AC54" s="247"/>
      <c r="AD54" s="191" t="s">
        <v>329</v>
      </c>
    </row>
    <row r="55" spans="14:35" ht="24.75" customHeight="1">
      <c r="N55" s="201" t="s">
        <v>126</v>
      </c>
      <c r="O55" s="201"/>
      <c r="P55" s="200" t="s">
        <v>45</v>
      </c>
      <c r="Q55" s="200"/>
      <c r="R55" s="200"/>
      <c r="S55" s="201" t="s">
        <v>34</v>
      </c>
      <c r="T55" s="248"/>
      <c r="U55" s="249">
        <f>F52</f>
        <v>4348.429</v>
      </c>
      <c r="V55" s="249"/>
      <c r="W55" s="249"/>
      <c r="X55" s="249"/>
      <c r="Y55" s="249"/>
      <c r="Z55" s="250" t="s">
        <v>41</v>
      </c>
      <c r="AA55" s="220">
        <v>10</v>
      </c>
      <c r="AB55" s="220"/>
      <c r="AC55" s="251">
        <v>3</v>
      </c>
      <c r="AD55" s="252"/>
      <c r="AE55" s="252"/>
      <c r="AF55" s="252"/>
      <c r="AG55" s="253"/>
      <c r="AH55" s="253"/>
      <c r="AI55" s="253"/>
    </row>
    <row r="56" spans="14:29" ht="24.75" customHeight="1">
      <c r="N56" s="201"/>
      <c r="O56" s="201"/>
      <c r="P56" s="203" t="s">
        <v>83</v>
      </c>
      <c r="Q56" s="203"/>
      <c r="R56" s="203"/>
      <c r="S56" s="201"/>
      <c r="T56" s="254">
        <f>S53*2</f>
        <v>8</v>
      </c>
      <c r="U56" s="254"/>
      <c r="V56" s="255" t="s">
        <v>335</v>
      </c>
      <c r="X56" s="213" t="s">
        <v>41</v>
      </c>
      <c r="Y56" s="256">
        <f>AB54</f>
        <v>4.242640687119285</v>
      </c>
      <c r="Z56" s="256"/>
      <c r="AA56" s="213" t="s">
        <v>41</v>
      </c>
      <c r="AB56" s="254">
        <f>AB53</f>
        <v>2200</v>
      </c>
      <c r="AC56" s="254"/>
    </row>
    <row r="57" spans="15:35" ht="24.75" customHeight="1">
      <c r="O57" s="213" t="s">
        <v>34</v>
      </c>
      <c r="P57" s="257">
        <f>U55*1000/(T56*Y56*AB56)</f>
        <v>58.23491729939845</v>
      </c>
      <c r="Q57" s="257"/>
      <c r="R57" s="257"/>
      <c r="S57" s="257"/>
      <c r="T57" s="258" t="s">
        <v>218</v>
      </c>
      <c r="U57" s="258"/>
      <c r="V57" s="258"/>
      <c r="X57" s="255" t="str">
        <f>IF(P57&lt;=AB57,"≤","＞")</f>
        <v>≤</v>
      </c>
      <c r="Z57" s="191" t="s">
        <v>131</v>
      </c>
      <c r="AB57" s="242">
        <v>80</v>
      </c>
      <c r="AC57" s="242"/>
      <c r="AD57" s="242"/>
      <c r="AE57" s="259" t="s">
        <v>218</v>
      </c>
      <c r="AF57" s="259"/>
      <c r="AG57" s="259"/>
      <c r="AI57" s="191" t="str">
        <f>IF(P57&lt;=AB57,"O.K","N.G")</f>
        <v>O.K</v>
      </c>
    </row>
  </sheetData>
  <mergeCells count="282">
    <mergeCell ref="AE57:AG57"/>
    <mergeCell ref="P57:S57"/>
    <mergeCell ref="T57:V57"/>
    <mergeCell ref="AB56:AC56"/>
    <mergeCell ref="N55:O56"/>
    <mergeCell ref="P55:R55"/>
    <mergeCell ref="S55:S56"/>
    <mergeCell ref="P56:R56"/>
    <mergeCell ref="U55:Y55"/>
    <mergeCell ref="AA55:AB55"/>
    <mergeCell ref="T56:U56"/>
    <mergeCell ref="W52:X52"/>
    <mergeCell ref="V53:W53"/>
    <mergeCell ref="T53:U53"/>
    <mergeCell ref="Y56:Z56"/>
    <mergeCell ref="AB53:AC53"/>
    <mergeCell ref="A44:C44"/>
    <mergeCell ref="I35:K35"/>
    <mergeCell ref="I42:K42"/>
    <mergeCell ref="I43:K43"/>
    <mergeCell ref="I44:K44"/>
    <mergeCell ref="A35:C35"/>
    <mergeCell ref="G42:H42"/>
    <mergeCell ref="D43:F43"/>
    <mergeCell ref="G43:H43"/>
    <mergeCell ref="O12:Q12"/>
    <mergeCell ref="X20:Y21"/>
    <mergeCell ref="U20:W20"/>
    <mergeCell ref="L44:N44"/>
    <mergeCell ref="R43:U43"/>
    <mergeCell ref="O10:Y10"/>
    <mergeCell ref="Z10:AJ10"/>
    <mergeCell ref="F10:N10"/>
    <mergeCell ref="F12:H12"/>
    <mergeCell ref="I12:K12"/>
    <mergeCell ref="L12:N12"/>
    <mergeCell ref="AI11:AJ11"/>
    <mergeCell ref="O11:Q11"/>
    <mergeCell ref="AC11:AE11"/>
    <mergeCell ref="AF11:AH11"/>
    <mergeCell ref="B12:E12"/>
    <mergeCell ref="B10:E11"/>
    <mergeCell ref="A42:C43"/>
    <mergeCell ref="D35:F35"/>
    <mergeCell ref="A21:A22"/>
    <mergeCell ref="A33:C34"/>
    <mergeCell ref="D34:F34"/>
    <mergeCell ref="B13:E13"/>
    <mergeCell ref="F13:H13"/>
    <mergeCell ref="B15:E15"/>
    <mergeCell ref="I34:K34"/>
    <mergeCell ref="L34:N34"/>
    <mergeCell ref="O44:Q44"/>
    <mergeCell ref="O34:Q34"/>
    <mergeCell ref="O42:Q42"/>
    <mergeCell ref="L43:N43"/>
    <mergeCell ref="L42:N42"/>
    <mergeCell ref="O35:Q35"/>
    <mergeCell ref="O43:Q43"/>
    <mergeCell ref="F52:I52"/>
    <mergeCell ref="D42:F42"/>
    <mergeCell ref="G35:H35"/>
    <mergeCell ref="G44:H44"/>
    <mergeCell ref="D44:F44"/>
    <mergeCell ref="AJ33:AK34"/>
    <mergeCell ref="F11:H11"/>
    <mergeCell ref="I11:K11"/>
    <mergeCell ref="L11:N11"/>
    <mergeCell ref="AI12:AJ12"/>
    <mergeCell ref="AB33:AC33"/>
    <mergeCell ref="O22:O23"/>
    <mergeCell ref="G24:I24"/>
    <mergeCell ref="L33:N33"/>
    <mergeCell ref="D33:F33"/>
    <mergeCell ref="AJ35:AK35"/>
    <mergeCell ref="R11:T11"/>
    <mergeCell ref="X11:Y11"/>
    <mergeCell ref="Z11:AB11"/>
    <mergeCell ref="Z12:AB12"/>
    <mergeCell ref="R12:T12"/>
    <mergeCell ref="U12:W12"/>
    <mergeCell ref="X12:Y12"/>
    <mergeCell ref="AC12:AE12"/>
    <mergeCell ref="V34:Y34"/>
    <mergeCell ref="AG43:AI43"/>
    <mergeCell ref="U11:W11"/>
    <mergeCell ref="AF12:AH12"/>
    <mergeCell ref="V33:Y33"/>
    <mergeCell ref="AB42:AC42"/>
    <mergeCell ref="AB43:AC43"/>
    <mergeCell ref="Z42:AA42"/>
    <mergeCell ref="R42:U42"/>
    <mergeCell ref="AD33:AF33"/>
    <mergeCell ref="AG33:AI33"/>
    <mergeCell ref="AG35:AI35"/>
    <mergeCell ref="N21:N22"/>
    <mergeCell ref="G33:H33"/>
    <mergeCell ref="O20:O21"/>
    <mergeCell ref="I33:K33"/>
    <mergeCell ref="O33:Q33"/>
    <mergeCell ref="AD34:AF34"/>
    <mergeCell ref="AG34:AI34"/>
    <mergeCell ref="G34:H34"/>
    <mergeCell ref="L35:N35"/>
    <mergeCell ref="AJ44:AK44"/>
    <mergeCell ref="AD44:AF44"/>
    <mergeCell ref="AG44:AI44"/>
    <mergeCell ref="V35:Y35"/>
    <mergeCell ref="Z35:AA35"/>
    <mergeCell ref="AD35:AF35"/>
    <mergeCell ref="AJ42:AK43"/>
    <mergeCell ref="AD43:AF43"/>
    <mergeCell ref="AD42:AF42"/>
    <mergeCell ref="AG42:AI42"/>
    <mergeCell ref="AB34:AC34"/>
    <mergeCell ref="R44:U44"/>
    <mergeCell ref="V43:Y43"/>
    <mergeCell ref="AB44:AC44"/>
    <mergeCell ref="Z44:AA44"/>
    <mergeCell ref="AB35:AC35"/>
    <mergeCell ref="AB36:AC36"/>
    <mergeCell ref="AB37:AC37"/>
    <mergeCell ref="AB38:AC38"/>
    <mergeCell ref="AB39:AC39"/>
    <mergeCell ref="V42:Y42"/>
    <mergeCell ref="Z34:AA34"/>
    <mergeCell ref="Z43:AA43"/>
    <mergeCell ref="Z37:AA37"/>
    <mergeCell ref="Z38:AA38"/>
    <mergeCell ref="Z39:AA39"/>
    <mergeCell ref="Y53:Z53"/>
    <mergeCell ref="AB57:AD57"/>
    <mergeCell ref="S20:T21"/>
    <mergeCell ref="R33:U33"/>
    <mergeCell ref="R34:U34"/>
    <mergeCell ref="R35:U35"/>
    <mergeCell ref="Z33:AA33"/>
    <mergeCell ref="Z20:AA21"/>
    <mergeCell ref="V44:Y44"/>
    <mergeCell ref="U21:W21"/>
    <mergeCell ref="I13:K13"/>
    <mergeCell ref="L13:N13"/>
    <mergeCell ref="O13:Q13"/>
    <mergeCell ref="R13:T13"/>
    <mergeCell ref="U13:W13"/>
    <mergeCell ref="X13:Y13"/>
    <mergeCell ref="Z13:AB13"/>
    <mergeCell ref="AC13:AE13"/>
    <mergeCell ref="AF13:AH13"/>
    <mergeCell ref="AI13:AJ13"/>
    <mergeCell ref="B14:E14"/>
    <mergeCell ref="F14:H14"/>
    <mergeCell ref="I14:K14"/>
    <mergeCell ref="L14:N14"/>
    <mergeCell ref="O14:Q14"/>
    <mergeCell ref="R14:T14"/>
    <mergeCell ref="U14:W14"/>
    <mergeCell ref="X14:Y14"/>
    <mergeCell ref="Z14:AB14"/>
    <mergeCell ref="AC14:AE14"/>
    <mergeCell ref="AF14:AH14"/>
    <mergeCell ref="AI14:AJ14"/>
    <mergeCell ref="F15:H15"/>
    <mergeCell ref="I15:K15"/>
    <mergeCell ref="L15:N15"/>
    <mergeCell ref="O15:Q15"/>
    <mergeCell ref="R15:T15"/>
    <mergeCell ref="U15:W15"/>
    <mergeCell ref="X15:Y15"/>
    <mergeCell ref="Z15:AB15"/>
    <mergeCell ref="AC15:AE15"/>
    <mergeCell ref="AF15:AH15"/>
    <mergeCell ref="AI15:AJ15"/>
    <mergeCell ref="B16:E16"/>
    <mergeCell ref="F16:H16"/>
    <mergeCell ref="I16:K16"/>
    <mergeCell ref="L16:N16"/>
    <mergeCell ref="O16:Q16"/>
    <mergeCell ref="R16:T16"/>
    <mergeCell ref="U16:W16"/>
    <mergeCell ref="X16:Y16"/>
    <mergeCell ref="Z16:AB16"/>
    <mergeCell ref="AC16:AE16"/>
    <mergeCell ref="AF16:AH16"/>
    <mergeCell ref="AI16:AJ16"/>
    <mergeCell ref="A36:C36"/>
    <mergeCell ref="D36:F36"/>
    <mergeCell ref="G36:H36"/>
    <mergeCell ref="I36:K36"/>
    <mergeCell ref="L36:N36"/>
    <mergeCell ref="O36:Q36"/>
    <mergeCell ref="R36:U36"/>
    <mergeCell ref="V36:Y36"/>
    <mergeCell ref="Z36:AA36"/>
    <mergeCell ref="AD36:AF36"/>
    <mergeCell ref="AG36:AI36"/>
    <mergeCell ref="AJ36:AK36"/>
    <mergeCell ref="A45:C45"/>
    <mergeCell ref="D45:F45"/>
    <mergeCell ref="G45:H45"/>
    <mergeCell ref="I45:K45"/>
    <mergeCell ref="L45:N45"/>
    <mergeCell ref="O45:Q45"/>
    <mergeCell ref="R45:U45"/>
    <mergeCell ref="V45:Y45"/>
    <mergeCell ref="Z45:AA45"/>
    <mergeCell ref="AB45:AC45"/>
    <mergeCell ref="AD45:AF45"/>
    <mergeCell ref="AG45:AI45"/>
    <mergeCell ref="AJ45:AK45"/>
    <mergeCell ref="A37:C37"/>
    <mergeCell ref="D37:F37"/>
    <mergeCell ref="G37:H37"/>
    <mergeCell ref="I37:K37"/>
    <mergeCell ref="L37:N37"/>
    <mergeCell ref="O37:Q37"/>
    <mergeCell ref="R37:U37"/>
    <mergeCell ref="V37:Y37"/>
    <mergeCell ref="AD37:AF37"/>
    <mergeCell ref="AG37:AI37"/>
    <mergeCell ref="AJ37:AK37"/>
    <mergeCell ref="A46:C46"/>
    <mergeCell ref="D46:F46"/>
    <mergeCell ref="G46:H46"/>
    <mergeCell ref="I46:K46"/>
    <mergeCell ref="L46:N46"/>
    <mergeCell ref="O46:Q46"/>
    <mergeCell ref="R46:U46"/>
    <mergeCell ref="V46:Y46"/>
    <mergeCell ref="Z46:AA46"/>
    <mergeCell ref="AB46:AC46"/>
    <mergeCell ref="AD46:AF46"/>
    <mergeCell ref="AG46:AI46"/>
    <mergeCell ref="AJ46:AK46"/>
    <mergeCell ref="A38:C38"/>
    <mergeCell ref="D38:F38"/>
    <mergeCell ref="G38:H38"/>
    <mergeCell ref="I38:K38"/>
    <mergeCell ref="L38:N38"/>
    <mergeCell ref="O38:Q38"/>
    <mergeCell ref="R38:U38"/>
    <mergeCell ref="V38:Y38"/>
    <mergeCell ref="AD38:AF38"/>
    <mergeCell ref="AG38:AI38"/>
    <mergeCell ref="AJ38:AK38"/>
    <mergeCell ref="A47:C47"/>
    <mergeCell ref="D47:F47"/>
    <mergeCell ref="G47:H47"/>
    <mergeCell ref="I47:K47"/>
    <mergeCell ref="L47:N47"/>
    <mergeCell ref="O47:Q47"/>
    <mergeCell ref="R47:U47"/>
    <mergeCell ref="V47:Y47"/>
    <mergeCell ref="Z47:AA47"/>
    <mergeCell ref="AB47:AC47"/>
    <mergeCell ref="AD47:AF47"/>
    <mergeCell ref="AG47:AI47"/>
    <mergeCell ref="AJ47:AK47"/>
    <mergeCell ref="A39:C39"/>
    <mergeCell ref="D39:F39"/>
    <mergeCell ref="G39:H39"/>
    <mergeCell ref="I39:K39"/>
    <mergeCell ref="L39:N39"/>
    <mergeCell ref="O39:Q39"/>
    <mergeCell ref="R39:U39"/>
    <mergeCell ref="V39:Y39"/>
    <mergeCell ref="AD39:AF39"/>
    <mergeCell ref="AG39:AI39"/>
    <mergeCell ref="AJ39:AK39"/>
    <mergeCell ref="A48:C48"/>
    <mergeCell ref="D48:F48"/>
    <mergeCell ref="G48:H48"/>
    <mergeCell ref="I48:K48"/>
    <mergeCell ref="L48:N48"/>
    <mergeCell ref="O48:Q48"/>
    <mergeCell ref="R48:U48"/>
    <mergeCell ref="AG48:AI48"/>
    <mergeCell ref="AJ48:AK48"/>
    <mergeCell ref="V48:Y48"/>
    <mergeCell ref="Z48:AA48"/>
    <mergeCell ref="AB48:AC48"/>
    <mergeCell ref="AD48:AF48"/>
  </mergeCells>
  <printOptions/>
  <pageMargins left="0.75" right="0.75" top="1" bottom="1" header="0.5" footer="0.5"/>
  <pageSetup horizontalDpi="600" verticalDpi="600" orientation="portrait" paperSize="9" r:id="rId2"/>
  <rowBreaks count="1" manualBreakCount="1">
    <brk id="25"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한길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Ishikawa</cp:lastModifiedBy>
  <cp:lastPrinted>2006-01-13T02:31:06Z</cp:lastPrinted>
  <dcterms:created xsi:type="dcterms:W3CDTF">1999-12-07T07:51:51Z</dcterms:created>
  <dcterms:modified xsi:type="dcterms:W3CDTF">2009-07-14T02:20:21Z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173197123</vt:i4>
  </property>
  <property fmtid="{D5CDD505-2E9C-101B-9397-08002B2CF9AE}" pid="3" name="_EmailSubject">
    <vt:lpwstr>엑셀 SHEET NO.5</vt:lpwstr>
  </property>
  <property fmtid="{D5CDD505-2E9C-101B-9397-08002B2CF9AE}" pid="4" name="_AuthorEmail">
    <vt:lpwstr>hwang@basis.co.kr</vt:lpwstr>
  </property>
  <property fmtid="{D5CDD505-2E9C-101B-9397-08002B2CF9AE}" pid="5" name="_AuthorEmailDisplayName">
    <vt:lpwstr>황승현</vt:lpwstr>
  </property>
  <property fmtid="{D5CDD505-2E9C-101B-9397-08002B2CF9AE}" pid="6" name="_ReviewingToolsShownOnce">
    <vt:lpwstr/>
  </property>
</Properties>
</file>