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" windowWidth="15480" windowHeight="8160" tabRatio="782" firstSheet="3" activeTab="3"/>
  </bookViews>
  <sheets>
    <sheet name="6. 補剛材の設計 (支点部)" sheetId="1" r:id="rId1"/>
    <sheet name="6. 補剛材の設計 (一般部)" sheetId="2" r:id="rId2"/>
    <sheet name="6. 補剛材の設計(交番区間)" sheetId="3" r:id="rId3"/>
    <sheet name="6.3 支点部補剛(橋脚部)" sheetId="4" r:id="rId4"/>
  </sheets>
  <definedNames>
    <definedName name="_xlnm.Print_Area" localSheetId="1">'6. 補剛材の設計 (一般部)'!$A$1:$AA$97</definedName>
    <definedName name="_xlnm.Print_Area" localSheetId="0">'6. 補剛材の設計 (支点部)'!$A$1:$AA$97</definedName>
    <definedName name="_xlnm.Print_Area" localSheetId="2">'6. 補剛材の設計(交番区間)'!$A$1:$AA$133</definedName>
    <definedName name="_xlnm.Print_Area" localSheetId="3">'6.3 支点部補剛(橋脚部)'!$A$1:$Y$33</definedName>
  </definedNames>
  <calcPr fullCalcOnLoad="1"/>
</workbook>
</file>

<file path=xl/sharedStrings.xml><?xml version="1.0" encoding="utf-8"?>
<sst xmlns="http://schemas.openxmlformats.org/spreadsheetml/2006/main" count="1006" uniqueCount="438">
  <si>
    <r>
      <t>R</t>
    </r>
    <r>
      <rPr>
        <vertAlign val="subscript"/>
        <sz val="9"/>
        <rFont val="ＭＳ ゴシック"/>
        <family val="3"/>
      </rPr>
      <t>max</t>
    </r>
    <r>
      <rPr>
        <sz val="9"/>
        <rFont val="ＭＳ ゴシック"/>
        <family val="3"/>
      </rPr>
      <t xml:space="preserve"> =</t>
    </r>
  </si>
  <si>
    <r>
      <t>t</t>
    </r>
    <r>
      <rPr>
        <vertAlign val="subscript"/>
        <sz val="9"/>
        <rFont val="ＭＳ ゴシック"/>
        <family val="3"/>
      </rPr>
      <t>s</t>
    </r>
    <r>
      <rPr>
        <sz val="9"/>
        <rFont val="ＭＳ ゴシック"/>
        <family val="3"/>
      </rPr>
      <t>=</t>
    </r>
  </si>
  <si>
    <r>
      <t>t</t>
    </r>
    <r>
      <rPr>
        <vertAlign val="subscript"/>
        <sz val="9"/>
        <rFont val="ＭＳ ゴシック"/>
        <family val="3"/>
      </rPr>
      <t>d</t>
    </r>
    <r>
      <rPr>
        <sz val="9"/>
        <rFont val="ＭＳ ゴシック"/>
        <family val="3"/>
      </rPr>
      <t>=</t>
    </r>
  </si>
  <si>
    <r>
      <t>24t</t>
    </r>
    <r>
      <rPr>
        <vertAlign val="subscript"/>
        <sz val="9"/>
        <rFont val="ＭＳ ゴシック"/>
        <family val="3"/>
      </rPr>
      <t>d</t>
    </r>
    <r>
      <rPr>
        <sz val="9"/>
        <rFont val="ＭＳ ゴシック"/>
        <family val="3"/>
      </rPr>
      <t xml:space="preserve"> =</t>
    </r>
  </si>
  <si>
    <t>補剛材の断面積</t>
  </si>
  <si>
    <t>×</t>
  </si>
  <si>
    <t>/</t>
  </si>
  <si>
    <t xml:space="preserve"> </t>
  </si>
  <si>
    <t>b</t>
  </si>
  <si>
    <t>=</t>
  </si>
  <si>
    <t>)</t>
  </si>
  <si>
    <t>t</t>
  </si>
  <si>
    <t>:</t>
  </si>
  <si>
    <t>n</t>
  </si>
  <si>
    <t>a</t>
  </si>
  <si>
    <t>---</t>
  </si>
  <si>
    <t>t =</t>
  </si>
  <si>
    <t>1/3</t>
  </si>
  <si>
    <t>n =</t>
  </si>
  <si>
    <t>a =</t>
  </si>
  <si>
    <t>b =</t>
  </si>
  <si>
    <t>a/b</t>
  </si>
  <si>
    <t>γ =</t>
  </si>
  <si>
    <t>b /</t>
  </si>
  <si>
    <t>30.0 × (a/b) =</t>
  </si>
  <si>
    <t>l =</t>
  </si>
  <si>
    <t>d =</t>
  </si>
  <si>
    <t>EA</t>
  </si>
  <si>
    <t>1.7As =</t>
  </si>
  <si>
    <t>le = 1/2·l =</t>
  </si>
  <si>
    <t>-----------</t>
  </si>
  <si>
    <t>⇒</t>
  </si>
  <si>
    <t>mm²</t>
  </si>
  <si>
    <t>mm</t>
  </si>
  <si>
    <t>mm4</t>
  </si>
  <si>
    <t>SM490</t>
  </si>
  <si>
    <t>(</t>
  </si>
  <si>
    <t>τ =</t>
  </si>
  <si>
    <t>kτ</t>
  </si>
  <si>
    <t>η</t>
  </si>
  <si>
    <t>mm</t>
  </si>
  <si>
    <r>
      <t>b</t>
    </r>
    <r>
      <rPr>
        <vertAlign val="subscript"/>
        <sz val="9"/>
        <rFont val="ＭＳ ゴシック"/>
        <family val="3"/>
      </rPr>
      <t>vr</t>
    </r>
  </si>
  <si>
    <r>
      <t>A</t>
    </r>
    <r>
      <rPr>
        <vertAlign val="subscript"/>
        <sz val="9"/>
        <rFont val="ＭＳ ゴシック"/>
        <family val="3"/>
      </rPr>
      <t>1(req)</t>
    </r>
    <r>
      <rPr>
        <sz val="9"/>
        <rFont val="ＭＳ ゴシック"/>
        <family val="3"/>
      </rPr>
      <t xml:space="preserve"> =</t>
    </r>
  </si>
  <si>
    <r>
      <t>A</t>
    </r>
    <r>
      <rPr>
        <vertAlign val="subscript"/>
        <sz val="9"/>
        <rFont val="ＭＳ ゴシック"/>
        <family val="3"/>
      </rPr>
      <t>1(req)</t>
    </r>
  </si>
  <si>
    <r>
      <t>mm</t>
    </r>
    <r>
      <rPr>
        <sz val="9"/>
        <rFont val="굴림체"/>
        <family val="3"/>
      </rPr>
      <t>⁴</t>
    </r>
  </si>
  <si>
    <r>
      <t>α</t>
    </r>
    <r>
      <rPr>
        <vertAlign val="subscript"/>
        <sz val="9"/>
        <rFont val="ＭＳ ゴシック"/>
        <family val="3"/>
      </rPr>
      <t xml:space="preserve">0 </t>
    </r>
    <r>
      <rPr>
        <sz val="9"/>
        <rFont val="ＭＳ ゴシック"/>
        <family val="3"/>
      </rPr>
      <t>=</t>
    </r>
  </si>
  <si>
    <r>
      <t>0.65 (</t>
    </r>
    <r>
      <rPr>
        <i/>
        <sz val="9"/>
        <rFont val="ＭＳ ゴシック"/>
        <family val="3"/>
      </rPr>
      <t>φ</t>
    </r>
    <r>
      <rPr>
        <sz val="9"/>
        <rFont val="ＭＳ ゴシック"/>
        <family val="3"/>
      </rPr>
      <t>/n)²+ 0.13 (</t>
    </r>
    <r>
      <rPr>
        <i/>
        <sz val="9"/>
        <rFont val="ＭＳ ゴシック"/>
        <family val="3"/>
      </rPr>
      <t>φ</t>
    </r>
    <r>
      <rPr>
        <sz val="9"/>
        <rFont val="ＭＳ ゴシック"/>
        <family val="3"/>
      </rPr>
      <t>/n) + 1.0</t>
    </r>
  </si>
  <si>
    <r>
      <t>N/</t>
    </r>
    <r>
      <rPr>
        <sz val="9"/>
        <rFont val="굴림체"/>
        <family val="3"/>
      </rPr>
      <t>㎟</t>
    </r>
  </si>
  <si>
    <r>
      <t>b</t>
    </r>
    <r>
      <rPr>
        <vertAlign val="subscript"/>
        <sz val="9"/>
        <rFont val="ＭＳ ゴシック"/>
        <family val="3"/>
      </rPr>
      <t>cr</t>
    </r>
    <r>
      <rPr>
        <sz val="9"/>
        <rFont val="ＭＳ ゴシック"/>
        <family val="3"/>
      </rPr>
      <t xml:space="preserve"> =</t>
    </r>
  </si>
  <si>
    <r>
      <t>t</t>
    </r>
    <r>
      <rPr>
        <vertAlign val="subscript"/>
        <sz val="9"/>
        <rFont val="ＭＳ ゴシック"/>
        <family val="3"/>
      </rPr>
      <t>cr</t>
    </r>
    <r>
      <rPr>
        <sz val="9"/>
        <rFont val="ＭＳ ゴシック"/>
        <family val="3"/>
      </rPr>
      <t xml:space="preserve"> =</t>
    </r>
  </si>
  <si>
    <r>
      <t>b</t>
    </r>
    <r>
      <rPr>
        <vertAlign val="subscript"/>
        <sz val="9"/>
        <rFont val="ＭＳ ゴシック"/>
        <family val="3"/>
      </rPr>
      <t>vs</t>
    </r>
    <r>
      <rPr>
        <sz val="9"/>
        <rFont val="ＭＳ ゴシック"/>
        <family val="3"/>
      </rPr>
      <t xml:space="preserve"> =</t>
    </r>
  </si>
  <si>
    <r>
      <t>t</t>
    </r>
    <r>
      <rPr>
        <vertAlign val="subscript"/>
        <sz val="9"/>
        <rFont val="ＭＳ ゴシック"/>
        <family val="3"/>
      </rPr>
      <t>vs</t>
    </r>
    <r>
      <rPr>
        <sz val="9"/>
        <rFont val="ＭＳ ゴシック"/>
        <family val="3"/>
      </rPr>
      <t xml:space="preserve"> =</t>
    </r>
  </si>
  <si>
    <r>
      <t>8.0(b/a)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 xml:space="preserve"> =</t>
    </r>
  </si>
  <si>
    <r>
      <t>b</t>
    </r>
    <r>
      <rPr>
        <vertAlign val="subscript"/>
        <sz val="9"/>
        <rFont val="ＭＳ ゴシック"/>
        <family val="3"/>
      </rPr>
      <t>min</t>
    </r>
    <r>
      <rPr>
        <sz val="9"/>
        <rFont val="ＭＳ ゴシック"/>
        <family val="3"/>
      </rPr>
      <t xml:space="preserve"> = </t>
    </r>
  </si>
  <si>
    <r>
      <t>t</t>
    </r>
    <r>
      <rPr>
        <vertAlign val="subscript"/>
        <sz val="9"/>
        <rFont val="ＭＳ ゴシック"/>
        <family val="3"/>
      </rPr>
      <t>min</t>
    </r>
    <r>
      <rPr>
        <sz val="9"/>
        <rFont val="ＭＳ ゴシック"/>
        <family val="3"/>
      </rPr>
      <t xml:space="preserve"> = </t>
    </r>
  </si>
  <si>
    <r>
      <t>b</t>
    </r>
    <r>
      <rPr>
        <vertAlign val="subscript"/>
        <sz val="9"/>
        <rFont val="ＭＳ ゴシック"/>
        <family val="3"/>
      </rPr>
      <t>hs</t>
    </r>
    <r>
      <rPr>
        <sz val="9"/>
        <rFont val="ＭＳ ゴシック"/>
        <family val="3"/>
      </rPr>
      <t xml:space="preserve"> =</t>
    </r>
  </si>
  <si>
    <r>
      <t>t</t>
    </r>
    <r>
      <rPr>
        <vertAlign val="subscript"/>
        <sz val="9"/>
        <rFont val="ＭＳ ゴシック"/>
        <family val="3"/>
      </rPr>
      <t>hs</t>
    </r>
    <r>
      <rPr>
        <sz val="9"/>
        <rFont val="ＭＳ ゴシック"/>
        <family val="3"/>
      </rPr>
      <t xml:space="preserve"> =</t>
    </r>
  </si>
  <si>
    <r>
      <t>＞   t</t>
    </r>
    <r>
      <rPr>
        <vertAlign val="subscript"/>
        <sz val="9"/>
        <rFont val="ＭＳ ゴシック"/>
        <family val="3"/>
      </rPr>
      <t>min</t>
    </r>
    <r>
      <rPr>
        <sz val="9"/>
        <rFont val="ＭＳ ゴシック"/>
        <family val="3"/>
      </rPr>
      <t xml:space="preserve">  = </t>
    </r>
  </si>
  <si>
    <t xml:space="preserve"> 6.1 フランジの補剛材</t>
  </si>
  <si>
    <t>横方向補剛材の間隔</t>
  </si>
  <si>
    <t>縦方向補剛材によって区切られるパネル数</t>
  </si>
  <si>
    <t>使用)</t>
  </si>
  <si>
    <t>bcr =</t>
  </si>
  <si>
    <t>tcr =</t>
  </si>
  <si>
    <t>bvs =</t>
  </si>
  <si>
    <t>tvs =</t>
  </si>
  <si>
    <t>なので</t>
  </si>
  <si>
    <t>8.0(b/a)2 =</t>
  </si>
  <si>
    <t>6. 補剛材の設計</t>
  </si>
  <si>
    <t>[道路橋示方書 4.2.5]</t>
  </si>
  <si>
    <t>SMA400</t>
  </si>
  <si>
    <t>SMA490</t>
  </si>
  <si>
    <t>SMA400</t>
  </si>
  <si>
    <t>SMA490</t>
  </si>
  <si>
    <t>補剛材の全幅</t>
  </si>
  <si>
    <r>
      <t>使用縦リブの</t>
    </r>
    <r>
      <rPr>
        <sz val="9"/>
        <rFont val="굴림체"/>
        <family val="3"/>
      </rPr>
      <t>幅</t>
    </r>
  </si>
  <si>
    <r>
      <t>使用</t>
    </r>
    <r>
      <rPr>
        <sz val="9"/>
        <rFont val="ＭＳ Ｐゴシック"/>
        <family val="3"/>
      </rPr>
      <t>縦リブ</t>
    </r>
    <r>
      <rPr>
        <sz val="9"/>
        <rFont val="굴림체"/>
        <family val="3"/>
      </rPr>
      <t>の最小板厚</t>
    </r>
  </si>
  <si>
    <r>
      <t>縦リブ</t>
    </r>
    <r>
      <rPr>
        <sz val="9"/>
        <rFont val="굴림체"/>
        <family val="3"/>
      </rPr>
      <t>1個の必要</t>
    </r>
    <r>
      <rPr>
        <sz val="9"/>
        <rFont val="MS Gothic"/>
        <family val="3"/>
      </rPr>
      <t>断</t>
    </r>
    <r>
      <rPr>
        <sz val="9"/>
        <rFont val="굴림체"/>
        <family val="3"/>
      </rPr>
      <t>面積</t>
    </r>
  </si>
  <si>
    <r>
      <t>使用</t>
    </r>
    <r>
      <rPr>
        <sz val="9"/>
        <rFont val="MS Gothic"/>
        <family val="3"/>
      </rPr>
      <t>縦リブ</t>
    </r>
    <r>
      <rPr>
        <sz val="9"/>
        <rFont val="굴림체"/>
        <family val="3"/>
      </rPr>
      <t>の</t>
    </r>
    <r>
      <rPr>
        <sz val="9"/>
        <rFont val="MS Gothic"/>
        <family val="3"/>
      </rPr>
      <t>断</t>
    </r>
    <r>
      <rPr>
        <sz val="9"/>
        <rFont val="굴림체"/>
        <family val="3"/>
      </rPr>
      <t>面積</t>
    </r>
  </si>
  <si>
    <t>垂直補剛材の最小厚さ</t>
  </si>
  <si>
    <r>
      <t>横リブ</t>
    </r>
    <r>
      <rPr>
        <sz val="9"/>
        <rFont val="굴림체"/>
        <family val="3"/>
      </rPr>
      <t>の必要</t>
    </r>
    <r>
      <rPr>
        <sz val="9"/>
        <rFont val="MS Gothic"/>
        <family val="3"/>
      </rPr>
      <t>断</t>
    </r>
    <r>
      <rPr>
        <sz val="9"/>
        <rFont val="굴림체"/>
        <family val="3"/>
      </rPr>
      <t>面二次モ</t>
    </r>
    <r>
      <rPr>
        <sz val="9"/>
        <rFont val="MS Gothic"/>
        <family val="3"/>
      </rPr>
      <t>ー</t>
    </r>
    <r>
      <rPr>
        <sz val="9"/>
        <rFont val="굴림체"/>
        <family val="3"/>
      </rPr>
      <t>メント</t>
    </r>
  </si>
  <si>
    <t>腹板高</t>
  </si>
  <si>
    <r>
      <t>ここに,  σ₁,σ₂: それぞれ補剛板の</t>
    </r>
    <r>
      <rPr>
        <sz val="9"/>
        <rFont val="MS Gothic"/>
        <family val="3"/>
      </rPr>
      <t>両縁</t>
    </r>
    <r>
      <rPr>
        <sz val="9"/>
        <rFont val="굴림체"/>
        <family val="3"/>
      </rPr>
      <t>での</t>
    </r>
    <r>
      <rPr>
        <sz val="9"/>
        <rFont val="MS Gothic"/>
        <family val="3"/>
      </rPr>
      <t>縁応</t>
    </r>
    <r>
      <rPr>
        <sz val="9"/>
        <rFont val="굴림체"/>
        <family val="3"/>
      </rPr>
      <t>力度として、σ₁≥ σ₂とし、</t>
    </r>
    <r>
      <rPr>
        <sz val="9"/>
        <rFont val="MS Gothic"/>
        <family val="3"/>
      </rPr>
      <t>圧</t>
    </r>
    <r>
      <rPr>
        <sz val="9"/>
        <rFont val="굴림체"/>
        <family val="3"/>
      </rPr>
      <t>縮</t>
    </r>
    <r>
      <rPr>
        <sz val="9"/>
        <rFont val="MS Gothic"/>
        <family val="3"/>
      </rPr>
      <t>応</t>
    </r>
    <r>
      <rPr>
        <sz val="9"/>
        <rFont val="굴림체"/>
        <family val="3"/>
      </rPr>
      <t>力を正(+)とする。</t>
    </r>
  </si>
  <si>
    <r>
      <t>使用</t>
    </r>
    <r>
      <rPr>
        <sz val="9"/>
        <rFont val="MS Gothic"/>
        <family val="3"/>
      </rPr>
      <t>横リブ</t>
    </r>
    <r>
      <rPr>
        <sz val="9"/>
        <rFont val="굴림체"/>
        <family val="3"/>
      </rPr>
      <t>の</t>
    </r>
    <r>
      <rPr>
        <sz val="9"/>
        <rFont val="MS Gothic"/>
        <family val="3"/>
      </rPr>
      <t>断</t>
    </r>
    <r>
      <rPr>
        <sz val="9"/>
        <rFont val="굴림체"/>
        <family val="3"/>
      </rPr>
      <t>面二次モ</t>
    </r>
    <r>
      <rPr>
        <sz val="9"/>
        <rFont val="MS Gothic"/>
        <family val="3"/>
      </rPr>
      <t>ー</t>
    </r>
    <r>
      <rPr>
        <sz val="9"/>
        <rFont val="굴림체"/>
        <family val="3"/>
      </rPr>
      <t>メント</t>
    </r>
  </si>
  <si>
    <t xml:space="preserve">  (1) 縦方向リブの設計</t>
  </si>
  <si>
    <t>使用縦リブの幅</t>
  </si>
  <si>
    <t>使用縦リブの最小板厚</t>
  </si>
  <si>
    <t>縦リブ1個の必要断面積</t>
  </si>
  <si>
    <t>使用縦リブの断面積</t>
  </si>
  <si>
    <t>mm⁴</t>
  </si>
  <si>
    <t>ここに,  σ₁,σ₂: それぞれ補剛板の両縁での縁応力度として、σ₁≥ σ₂とし、圧縮応力を正(+)とする。</t>
  </si>
  <si>
    <t>N/㎟</t>
  </si>
  <si>
    <t>横リブの必要断面二次モーメント</t>
  </si>
  <si>
    <t>使用横リブの断面二次モーメント</t>
  </si>
  <si>
    <t>6. 補剛材の設計</t>
  </si>
  <si>
    <t xml:space="preserve"> 6.1 フランジの補剛材</t>
  </si>
  <si>
    <t xml:space="preserve">  (1) 縦方向リブの設計</t>
  </si>
  <si>
    <t>(</t>
  </si>
  <si>
    <t>使用)</t>
  </si>
  <si>
    <t>[道路橋示方書 4.2.5]</t>
  </si>
  <si>
    <t>縦方向補剛材によって区切られるパネル数</t>
  </si>
  <si>
    <t>横方向補剛材の間隔</t>
  </si>
  <si>
    <t>mm</t>
  </si>
  <si>
    <t>フランジの板厚</t>
  </si>
  <si>
    <t>mm  使用</t>
  </si>
  <si>
    <t>縦リブ1個の断面二次モーメント</t>
  </si>
  <si>
    <t>補剛板の縱橫寸法比</t>
  </si>
  <si>
    <t>:</t>
  </si>
  <si>
    <t>縦方向補剛材の剛比</t>
  </si>
  <si>
    <t>限界縱橫寸法比</t>
  </si>
  <si>
    <t>縦方向補剛材1個の断面積比</t>
  </si>
  <si>
    <t>応力勾配による係数</t>
  </si>
  <si>
    <t>f</t>
  </si>
  <si>
    <r>
      <t xml:space="preserve"> ∵ φ = (σ</t>
    </r>
    <r>
      <rPr>
        <vertAlign val="subscript"/>
        <sz val="9"/>
        <rFont val="ＭＳ ゴシック"/>
        <family val="3"/>
      </rPr>
      <t xml:space="preserve">1 </t>
    </r>
    <r>
      <rPr>
        <sz val="9"/>
        <rFont val="ＭＳ ゴシック"/>
        <family val="3"/>
      </rPr>
      <t>- σ</t>
    </r>
    <r>
      <rPr>
        <vertAlign val="subscript"/>
        <sz val="9"/>
        <rFont val="ＭＳ ゴシック"/>
        <family val="3"/>
      </rPr>
      <t>2</t>
    </r>
    <r>
      <rPr>
        <sz val="9"/>
        <rFont val="ＭＳ ゴシック"/>
        <family val="3"/>
      </rPr>
      <t>) / σ</t>
    </r>
    <r>
      <rPr>
        <vertAlign val="subscript"/>
        <sz val="9"/>
        <rFont val="ＭＳ ゴシック"/>
        <family val="3"/>
      </rPr>
      <t>1</t>
    </r>
    <r>
      <rPr>
        <sz val="9"/>
        <rFont val="ＭＳ ゴシック"/>
        <family val="3"/>
      </rPr>
      <t xml:space="preserve"> ≒ 0</t>
    </r>
  </si>
  <si>
    <t>縦方向補剛材の所要剛比</t>
  </si>
  <si>
    <t>[道路橋示方書 4.2.5]</t>
  </si>
  <si>
    <t>* 板の最大幅-厚さ比 (b/t)o</t>
  </si>
  <si>
    <t>to</t>
  </si>
  <si>
    <t>=</t>
  </si>
  <si>
    <t>b</t>
  </si>
  <si>
    <t>SS400</t>
  </si>
  <si>
    <t>SM400</t>
  </si>
  <si>
    <t>SMA400</t>
  </si>
  <si>
    <t>SM400C-H</t>
  </si>
  <si>
    <t>SM490C-H</t>
  </si>
  <si>
    <t>SM490Y</t>
  </si>
  <si>
    <t>SM520</t>
  </si>
  <si>
    <t>SMA490</t>
  </si>
  <si>
    <t>SM520C-H</t>
  </si>
  <si>
    <t>SM570</t>
  </si>
  <si>
    <t>SMA570</t>
  </si>
  <si>
    <t>SM570-H</t>
  </si>
  <si>
    <t>f·n</t>
  </si>
  <si>
    <t>補剛板</t>
  </si>
  <si>
    <t>γlreq   =</t>
  </si>
  <si>
    <t>縦方向補剛材の圧縮応力照査</t>
  </si>
  <si>
    <t>[道路橋示方書 4.2.3]</t>
  </si>
  <si>
    <t>b / t (幅·厚さ比) =</t>
  </si>
  <si>
    <t>/</t>
  </si>
  <si>
    <t>* 自由突出板の局部座屈に対する許容応力 (N/㎟) - 表 4.2.3</t>
  </si>
  <si>
    <t>σca =</t>
  </si>
  <si>
    <t>σ =</t>
  </si>
  <si>
    <t>( 断面</t>
  </si>
  <si>
    <t>の圧縮応力 )</t>
  </si>
  <si>
    <t xml:space="preserve">  (2) 横方向リブの設計</t>
  </si>
  <si>
    <t>(</t>
  </si>
  <si>
    <t>使用)</t>
  </si>
  <si>
    <t>판두께</t>
  </si>
  <si>
    <t>横方向リブの幅</t>
  </si>
  <si>
    <t>横方向リブの板厚</t>
  </si>
  <si>
    <r>
      <t>I</t>
    </r>
    <r>
      <rPr>
        <vertAlign val="subscript"/>
        <sz val="9"/>
        <rFont val="ＭＳ ゴシック"/>
        <family val="3"/>
      </rPr>
      <t>t(req)</t>
    </r>
  </si>
  <si>
    <t xml:space="preserve">= b t³/ 11 ·｛(1 + nγ1*) / 4α³ ｝= </t>
  </si>
  <si>
    <r>
      <t>I</t>
    </r>
    <r>
      <rPr>
        <vertAlign val="subscript"/>
        <sz val="9"/>
        <rFont val="ＭＳ ゴシック"/>
        <family val="3"/>
      </rPr>
      <t>t</t>
    </r>
    <r>
      <rPr>
        <sz val="9"/>
        <rFont val="ＭＳ ゴシック"/>
        <family val="3"/>
      </rPr>
      <t>=</t>
    </r>
  </si>
  <si>
    <t xml:space="preserve">  6.2 腹板の補剛材</t>
  </si>
  <si>
    <t xml:space="preserve">   (1) 垂直補剛材の設計</t>
  </si>
  <si>
    <t>* 許容引張, 圧縮応力 (N/㎟)</t>
  </si>
  <si>
    <t>水平補剛材の使用段数</t>
  </si>
  <si>
    <t>腹板の縁圧縮応力度</t>
  </si>
  <si>
    <t>σc =</t>
  </si>
  <si>
    <t>腹板のせん断応力度</t>
  </si>
  <si>
    <t>40-75</t>
  </si>
  <si>
    <t>使用垂直補剛材の幅</t>
  </si>
  <si>
    <t>75-100</t>
  </si>
  <si>
    <t>使用垂直補剛材の板厚</t>
  </si>
  <si>
    <t>垂直補剛材の間隔</t>
  </si>
  <si>
    <t>腹板の厚さ</t>
  </si>
  <si>
    <t>* 腹板最小厚</t>
  </si>
  <si>
    <t>SS400</t>
  </si>
  <si>
    <t>SM400</t>
  </si>
  <si>
    <t>SMA400</t>
  </si>
  <si>
    <t>SM400C-H</t>
  </si>
  <si>
    <t>SM490C-H</t>
  </si>
  <si>
    <t>SM490Y</t>
  </si>
  <si>
    <t>SM520</t>
  </si>
  <si>
    <t>SMA490</t>
  </si>
  <si>
    <t>SM520C-H</t>
  </si>
  <si>
    <t>SM570</t>
  </si>
  <si>
    <t>SMA570</t>
  </si>
  <si>
    <t>SM570-H</t>
  </si>
  <si>
    <t>垂直補剛材の間隔照査</t>
  </si>
  <si>
    <t>[道路橋示方書 10.4.3]</t>
  </si>
  <si>
    <t>ない</t>
  </si>
  <si>
    <t>1 段</t>
  </si>
  <si>
    <t>水平補剛材を</t>
  </si>
  <si>
    <t>段使って、</t>
  </si>
  <si>
    <t>2 段</t>
  </si>
  <si>
    <t>垂直補剛材の剛度照査</t>
  </si>
  <si>
    <t>[道路橋示方書 10.4.4]</t>
  </si>
  <si>
    <t>垂直補剛材の最小幅</t>
  </si>
  <si>
    <t xml:space="preserve">   (2) 水平補剛材の設計</t>
  </si>
  <si>
    <t>(</t>
  </si>
  <si>
    <t>SM490Y</t>
  </si>
  <si>
    <t>使用)</t>
  </si>
  <si>
    <t>垂直補剛材の間隔</t>
  </si>
  <si>
    <t>使用水平補剛材の幅</t>
  </si>
  <si>
    <t>使用水平補剛材の板厚</t>
  </si>
  <si>
    <t>水平補剛材の剛度照査</t>
  </si>
  <si>
    <t>[道路橋示方書 10.4.7]</t>
  </si>
  <si>
    <r>
      <t>mm</t>
    </r>
    <r>
      <rPr>
        <vertAlign val="superscript"/>
        <sz val="9"/>
        <rFont val="ＭＳ ゴシック"/>
        <family val="3"/>
      </rPr>
      <t>4</t>
    </r>
  </si>
  <si>
    <t>圧縮側フランジから</t>
  </si>
  <si>
    <t>SMA490</t>
  </si>
  <si>
    <t>6. 補剛材の設計</t>
  </si>
  <si>
    <t xml:space="preserve"> 6.1 フランジの補剛材</t>
  </si>
  <si>
    <t xml:space="preserve">  (1) 縦方向リブの設計</t>
  </si>
  <si>
    <t>(</t>
  </si>
  <si>
    <t>使用)</t>
  </si>
  <si>
    <t>[道路橋示方書 4.2.5]</t>
  </si>
  <si>
    <t>縦方向補剛材によって区切られるパネル数</t>
  </si>
  <si>
    <t>横方向補剛材の間隔</t>
  </si>
  <si>
    <t>mm</t>
  </si>
  <si>
    <t>縦リブ1個の断面二次モーメント</t>
  </si>
  <si>
    <t>補剛板の縱橫寸法比</t>
  </si>
  <si>
    <t>:</t>
  </si>
  <si>
    <t>縦方向補剛材の剛比</t>
  </si>
  <si>
    <t>限界縱橫寸法比</t>
  </si>
  <si>
    <t>縦方向補剛材1個の断面積比</t>
  </si>
  <si>
    <t>応力勾配による係数</t>
  </si>
  <si>
    <t>f</t>
  </si>
  <si>
    <r>
      <t xml:space="preserve"> ∵ φ = (σ</t>
    </r>
    <r>
      <rPr>
        <vertAlign val="subscript"/>
        <sz val="9"/>
        <rFont val="ＭＳ ゴシック"/>
        <family val="3"/>
      </rPr>
      <t xml:space="preserve">1 </t>
    </r>
    <r>
      <rPr>
        <sz val="9"/>
        <rFont val="ＭＳ ゴシック"/>
        <family val="3"/>
      </rPr>
      <t>- σ</t>
    </r>
    <r>
      <rPr>
        <vertAlign val="subscript"/>
        <sz val="9"/>
        <rFont val="ＭＳ ゴシック"/>
        <family val="3"/>
      </rPr>
      <t>2</t>
    </r>
    <r>
      <rPr>
        <sz val="9"/>
        <rFont val="ＭＳ ゴシック"/>
        <family val="3"/>
      </rPr>
      <t>) / σ</t>
    </r>
    <r>
      <rPr>
        <vertAlign val="subscript"/>
        <sz val="9"/>
        <rFont val="ＭＳ ゴシック"/>
        <family val="3"/>
      </rPr>
      <t>1</t>
    </r>
    <r>
      <rPr>
        <sz val="9"/>
        <rFont val="ＭＳ ゴシック"/>
        <family val="3"/>
      </rPr>
      <t xml:space="preserve"> ≒ 0</t>
    </r>
  </si>
  <si>
    <t>縦方向補剛材の所要剛比</t>
  </si>
  <si>
    <t>[道路橋示方書 4.2.5]</t>
  </si>
  <si>
    <t>* 板の最大幅-厚さ比 (b/t)o</t>
  </si>
  <si>
    <t>to</t>
  </si>
  <si>
    <t>=</t>
  </si>
  <si>
    <t>b</t>
  </si>
  <si>
    <t>SS400</t>
  </si>
  <si>
    <t>SM400</t>
  </si>
  <si>
    <t>SMA400</t>
  </si>
  <si>
    <t>SM400C-H</t>
  </si>
  <si>
    <t>SM490C-H</t>
  </si>
  <si>
    <t>SM490Y</t>
  </si>
  <si>
    <t>SM520</t>
  </si>
  <si>
    <t>SMA490</t>
  </si>
  <si>
    <t>SM520C-H</t>
  </si>
  <si>
    <t>SM570</t>
  </si>
  <si>
    <t>SMA570</t>
  </si>
  <si>
    <t>SM570-H</t>
  </si>
  <si>
    <t>f·n</t>
  </si>
  <si>
    <t>補剛板</t>
  </si>
  <si>
    <t>γlreq   =</t>
  </si>
  <si>
    <t>縦方向補剛材の圧縮応力照査</t>
  </si>
  <si>
    <t>[道路橋示方書 4.2.3]</t>
  </si>
  <si>
    <t>b / t (幅·厚さ比) =</t>
  </si>
  <si>
    <t>/</t>
  </si>
  <si>
    <t>* 自由突出板の局部座屈に対する許容応力 (N/㎟) - 表 4.2.3</t>
  </si>
  <si>
    <t>σca =</t>
  </si>
  <si>
    <t>σ =</t>
  </si>
  <si>
    <t>( 断面</t>
  </si>
  <si>
    <t>の圧縮応力 )</t>
  </si>
  <si>
    <t xml:space="preserve">  (2) 横方向リブの設計</t>
  </si>
  <si>
    <t>(</t>
  </si>
  <si>
    <t>使用)</t>
  </si>
  <si>
    <t>판두께</t>
  </si>
  <si>
    <t>横方向リブの幅</t>
  </si>
  <si>
    <t>横方向リブの板厚</t>
  </si>
  <si>
    <r>
      <t>I</t>
    </r>
    <r>
      <rPr>
        <vertAlign val="subscript"/>
        <sz val="9"/>
        <rFont val="ＭＳ ゴシック"/>
        <family val="3"/>
      </rPr>
      <t>t(req)</t>
    </r>
  </si>
  <si>
    <t xml:space="preserve">= b t³/ 11 ·｛(1 + nγ1*) / 4α³ ｝= </t>
  </si>
  <si>
    <r>
      <t>I</t>
    </r>
    <r>
      <rPr>
        <vertAlign val="subscript"/>
        <sz val="9"/>
        <rFont val="ＭＳ ゴシック"/>
        <family val="3"/>
      </rPr>
      <t>t</t>
    </r>
    <r>
      <rPr>
        <sz val="9"/>
        <rFont val="ＭＳ ゴシック"/>
        <family val="3"/>
      </rPr>
      <t>=</t>
    </r>
  </si>
  <si>
    <t xml:space="preserve">  6.2 腹板の補剛材</t>
  </si>
  <si>
    <t xml:space="preserve">   (1) 垂直補剛材の設計</t>
  </si>
  <si>
    <t>* 許容引張, 圧縮応力 (N/㎟)</t>
  </si>
  <si>
    <t>水平補剛材の使用段数</t>
  </si>
  <si>
    <t>腹板の縁圧縮応力度</t>
  </si>
  <si>
    <t>σc =</t>
  </si>
  <si>
    <t>腹板のせん断応力度</t>
  </si>
  <si>
    <t>40-75</t>
  </si>
  <si>
    <t>使用垂直補剛材の幅</t>
  </si>
  <si>
    <t>75-100</t>
  </si>
  <si>
    <t>使用垂直補剛材の板厚</t>
  </si>
  <si>
    <t>垂直補剛材の間隔</t>
  </si>
  <si>
    <t>SMA400</t>
  </si>
  <si>
    <r>
      <t>縦リブ</t>
    </r>
    <r>
      <rPr>
        <sz val="9"/>
        <rFont val="굴림체"/>
        <family val="3"/>
      </rPr>
      <t>1個の</t>
    </r>
    <r>
      <rPr>
        <sz val="9"/>
        <rFont val="MS Gothic"/>
        <family val="3"/>
      </rPr>
      <t>断</t>
    </r>
    <r>
      <rPr>
        <sz val="9"/>
        <rFont val="굴림체"/>
        <family val="3"/>
      </rPr>
      <t>面二次モ</t>
    </r>
    <r>
      <rPr>
        <sz val="9"/>
        <rFont val="MS Gothic"/>
        <family val="3"/>
      </rPr>
      <t>ー</t>
    </r>
    <r>
      <rPr>
        <sz val="9"/>
        <rFont val="굴림체"/>
        <family val="3"/>
      </rPr>
      <t>メント</t>
    </r>
  </si>
  <si>
    <t>補剛板の縱橫寸法比</t>
  </si>
  <si>
    <t>縦方向補剛材の剛比</t>
  </si>
  <si>
    <t>:</t>
  </si>
  <si>
    <t>限界縱橫寸法比</t>
  </si>
  <si>
    <t>縦方向補剛材1個の断面積比</t>
  </si>
  <si>
    <t>応力勾配による係数</t>
  </si>
  <si>
    <t>f</t>
  </si>
  <si>
    <r>
      <t xml:space="preserve"> ∵ φ = (σ</t>
    </r>
    <r>
      <rPr>
        <vertAlign val="subscript"/>
        <sz val="9"/>
        <rFont val="ＭＳ ゴシック"/>
        <family val="3"/>
      </rPr>
      <t xml:space="preserve">1 </t>
    </r>
    <r>
      <rPr>
        <sz val="9"/>
        <rFont val="ＭＳ ゴシック"/>
        <family val="3"/>
      </rPr>
      <t>- σ</t>
    </r>
    <r>
      <rPr>
        <vertAlign val="subscript"/>
        <sz val="9"/>
        <rFont val="ＭＳ ゴシック"/>
        <family val="3"/>
      </rPr>
      <t>2</t>
    </r>
    <r>
      <rPr>
        <sz val="9"/>
        <rFont val="ＭＳ ゴシック"/>
        <family val="3"/>
      </rPr>
      <t>) / σ</t>
    </r>
    <r>
      <rPr>
        <vertAlign val="subscript"/>
        <sz val="9"/>
        <rFont val="ＭＳ ゴシック"/>
        <family val="3"/>
      </rPr>
      <t>1</t>
    </r>
    <r>
      <rPr>
        <sz val="9"/>
        <rFont val="ＭＳ ゴシック"/>
        <family val="3"/>
      </rPr>
      <t xml:space="preserve"> ≒ 0</t>
    </r>
  </si>
  <si>
    <t>縦方向補剛材の所要剛比</t>
  </si>
  <si>
    <t>[道路橋示方書 4.2.5]</t>
  </si>
  <si>
    <t>* 板の最大幅 - 厚さ比 (b/t)o</t>
  </si>
  <si>
    <t>to</t>
  </si>
  <si>
    <t>=</t>
  </si>
  <si>
    <t>b</t>
  </si>
  <si>
    <t>SS400</t>
  </si>
  <si>
    <t>SM400</t>
  </si>
  <si>
    <t>SMA400</t>
  </si>
  <si>
    <t>SM400C-H</t>
  </si>
  <si>
    <t>SM490C-H</t>
  </si>
  <si>
    <t>SM490Y</t>
  </si>
  <si>
    <t>SM520</t>
  </si>
  <si>
    <t>SMA490</t>
  </si>
  <si>
    <t>SM520C-H</t>
  </si>
  <si>
    <t>SM570</t>
  </si>
  <si>
    <t>SMA570</t>
  </si>
  <si>
    <t>SM570-H</t>
  </si>
  <si>
    <t>f·n</t>
  </si>
  <si>
    <t>補剛板</t>
  </si>
  <si>
    <t>γlreq   =</t>
  </si>
  <si>
    <t>縦方向補剛材の圧縮応力照査</t>
  </si>
  <si>
    <t>[道路橋示方書 4.2.3]</t>
  </si>
  <si>
    <t>b / t (幅·厚さ比) =</t>
  </si>
  <si>
    <t>/</t>
  </si>
  <si>
    <r>
      <t>* 自由突出板の局部座屈に対する許容応力 (N/</t>
    </r>
    <r>
      <rPr>
        <sz val="9"/>
        <rFont val="돋움체"/>
        <family val="3"/>
      </rPr>
      <t>㎟</t>
    </r>
    <r>
      <rPr>
        <sz val="9"/>
        <rFont val="ＭＳ ゴシック"/>
        <family val="3"/>
      </rPr>
      <t>) - 表 4.2.3</t>
    </r>
  </si>
  <si>
    <t>σca =</t>
  </si>
  <si>
    <t>σ =</t>
  </si>
  <si>
    <t>( 断面</t>
  </si>
  <si>
    <t>の圧縮応力 )</t>
  </si>
  <si>
    <t xml:space="preserve">  (2) 横方向補剛材の設計</t>
  </si>
  <si>
    <t>(</t>
  </si>
  <si>
    <t>使用)</t>
  </si>
  <si>
    <t>판두께</t>
  </si>
  <si>
    <t>横方向補剛材の幅</t>
  </si>
  <si>
    <t>横方向補剛材の板厚</t>
  </si>
  <si>
    <t>補剛材の必要断面二次モーメント</t>
  </si>
  <si>
    <r>
      <t>I</t>
    </r>
    <r>
      <rPr>
        <vertAlign val="subscript"/>
        <sz val="9"/>
        <rFont val="ＭＳ ゴシック"/>
        <family val="3"/>
      </rPr>
      <t>t(req)</t>
    </r>
  </si>
  <si>
    <t xml:space="preserve">= b t³/ 11 ·｛(1 + nγ1*) / 4α³ ｝= </t>
  </si>
  <si>
    <t>使用補剛材の断面二次モーメント</t>
  </si>
  <si>
    <r>
      <t>I</t>
    </r>
    <r>
      <rPr>
        <vertAlign val="subscript"/>
        <sz val="9"/>
        <rFont val="ＭＳ ゴシック"/>
        <family val="3"/>
      </rPr>
      <t>t</t>
    </r>
    <r>
      <rPr>
        <sz val="9"/>
        <rFont val="ＭＳ ゴシック"/>
        <family val="3"/>
      </rPr>
      <t>=</t>
    </r>
  </si>
  <si>
    <t xml:space="preserve">  6.2 腹板の補剛材</t>
  </si>
  <si>
    <t xml:space="preserve">   (1) 垂直補剛材の設計</t>
  </si>
  <si>
    <r>
      <t>* 許容引張, 圧縮応力</t>
    </r>
    <r>
      <rPr>
        <sz val="9"/>
        <rFont val="ＭＳ ゴシック"/>
        <family val="3"/>
      </rPr>
      <t xml:space="preserve"> (N/</t>
    </r>
    <r>
      <rPr>
        <sz val="9"/>
        <rFont val="돋움체"/>
        <family val="3"/>
      </rPr>
      <t>㎟</t>
    </r>
    <r>
      <rPr>
        <sz val="9"/>
        <rFont val="ＭＳ ゴシック"/>
        <family val="3"/>
      </rPr>
      <t>)</t>
    </r>
  </si>
  <si>
    <t>水平補剛材の使用段数</t>
  </si>
  <si>
    <t>腹板の縁応力度（最大正モーメント時）</t>
  </si>
  <si>
    <t>σc =</t>
  </si>
  <si>
    <r>
      <t>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 xml:space="preserve"> (圧縮部)</t>
    </r>
  </si>
  <si>
    <t>σt =</t>
  </si>
  <si>
    <r>
      <t>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 xml:space="preserve"> (引張部)</t>
    </r>
  </si>
  <si>
    <t>腹板の縁応力度（最大負モーメント時）</t>
  </si>
  <si>
    <t>40-75</t>
  </si>
  <si>
    <t>腹板のせん断応力度</t>
  </si>
  <si>
    <t>τmax =</t>
  </si>
  <si>
    <t>75-100</t>
  </si>
  <si>
    <t>使用垂直補剛材の幅</t>
  </si>
  <si>
    <t>使用垂直補剛材の板厚</t>
  </si>
  <si>
    <t>垂直補剛材の間隔</t>
  </si>
  <si>
    <r>
      <t xml:space="preserve">  (2) </t>
    </r>
    <r>
      <rPr>
        <sz val="9"/>
        <rFont val="MS Gothic"/>
        <family val="3"/>
      </rPr>
      <t>横</t>
    </r>
    <r>
      <rPr>
        <sz val="9"/>
        <rFont val="굴림체"/>
        <family val="3"/>
      </rPr>
      <t>方向リブの設計</t>
    </r>
  </si>
  <si>
    <r>
      <t>横</t>
    </r>
    <r>
      <rPr>
        <sz val="9"/>
        <rFont val="굴림체"/>
        <family val="3"/>
      </rPr>
      <t>方向リブの幅</t>
    </r>
  </si>
  <si>
    <r>
      <t>横</t>
    </r>
    <r>
      <rPr>
        <sz val="9"/>
        <rFont val="굴림체"/>
        <family val="3"/>
      </rPr>
      <t>方向リブの板厚</t>
    </r>
  </si>
  <si>
    <t>[道路橋示方書 10.4.7]</t>
  </si>
  <si>
    <r>
      <t>mm</t>
    </r>
    <r>
      <rPr>
        <vertAlign val="superscript"/>
        <sz val="9"/>
        <rFont val="ＭＳ ゴシック"/>
        <family val="3"/>
      </rPr>
      <t>4</t>
    </r>
  </si>
  <si>
    <t>水平補剛材の取付け位置</t>
  </si>
  <si>
    <t>圧縮側フランジから</t>
  </si>
  <si>
    <t>[道路橋示方書 10.4.2, 10.4.3]</t>
  </si>
  <si>
    <t>σ1</t>
  </si>
  <si>
    <t>b'</t>
  </si>
  <si>
    <t>b'  =</t>
  </si>
  <si>
    <t>-</t>
  </si>
  <si>
    <t>mm</t>
  </si>
  <si>
    <t>σ1 =</t>
  </si>
  <si>
    <t>σc - ( σc - σt ) × ( 1- b' / b )</t>
  </si>
  <si>
    <t>φ = σt / σ1 =</t>
  </si>
  <si>
    <t>η =  τ / σ1 =</t>
  </si>
  <si>
    <t>R = 0.90 - 0.1φ</t>
  </si>
  <si>
    <t>0.9 - 0.1 ×</t>
  </si>
  <si>
    <t>kσ  =</t>
  </si>
  <si>
    <t>；垂直応力度に対する座屈係数</t>
  </si>
  <si>
    <t>kτ  =</t>
  </si>
  <si>
    <t>＋</t>
  </si>
  <si>
    <r>
      <t>/ ( a/b' )</t>
    </r>
    <r>
      <rPr>
        <vertAlign val="superscript"/>
        <sz val="9"/>
        <rFont val="ＭＳ ゴシック"/>
        <family val="3"/>
      </rPr>
      <t>2</t>
    </r>
  </si>
  <si>
    <t>a / b' =</t>
  </si>
  <si>
    <t>)</t>
  </si>
  <si>
    <t xml:space="preserve"> =</t>
  </si>
  <si>
    <t>；せん断応力度に対する座屈係数</t>
  </si>
  <si>
    <r>
      <t xml:space="preserve">υb  = 1.25 ＋ ( 0.30 ＋ 0.15φ) e </t>
    </r>
    <r>
      <rPr>
        <vertAlign val="superscript"/>
        <sz val="9"/>
        <rFont val="ＭＳ ゴシック"/>
        <family val="3"/>
      </rPr>
      <t>-4.3η</t>
    </r>
  </si>
  <si>
    <t xml:space="preserve"> 1.25 ＋ ( 0.30 ＋ 0.15</t>
  </si>
  <si>
    <t>×</t>
  </si>
  <si>
    <t>) e</t>
  </si>
  <si>
    <t>1 -</t>
  </si>
  <si>
    <t>υb σ1</t>
  </si>
  <si>
    <t>1 + φ</t>
  </si>
  <si>
    <t xml:space="preserve">3 - φ </t>
  </si>
  <si>
    <r>
      <t>( 425R )</t>
    </r>
    <r>
      <rPr>
        <vertAlign val="superscript"/>
        <sz val="9"/>
        <rFont val="ＭＳ ゴシック"/>
        <family val="3"/>
      </rPr>
      <t>2</t>
    </r>
  </si>
  <si>
    <t>4kσ</t>
  </si>
  <si>
    <r>
      <t>( t / b )</t>
    </r>
    <r>
      <rPr>
        <vertAlign val="superscript"/>
        <sz val="9"/>
        <rFont val="ＭＳ ゴシック"/>
        <family val="3"/>
      </rPr>
      <t>2</t>
    </r>
  </si>
  <si>
    <t>SMA490</t>
  </si>
  <si>
    <t>6.3 支点部補剛材</t>
  </si>
  <si>
    <t>b.  中間支点部</t>
  </si>
  <si>
    <t>使用鋼種</t>
  </si>
  <si>
    <t>SMA400</t>
  </si>
  <si>
    <t>最大支点反力</t>
  </si>
  <si>
    <t>補剛材の幅</t>
  </si>
  <si>
    <t>mm</t>
  </si>
  <si>
    <t>補剛材の長さ</t>
  </si>
  <si>
    <t>補剛材の板厚</t>
  </si>
  <si>
    <r>
      <t>＞   ts</t>
    </r>
    <r>
      <rPr>
        <vertAlign val="subscript"/>
        <sz val="9"/>
        <rFont val="ＭＳ ゴシック"/>
        <family val="3"/>
      </rPr>
      <t>min</t>
    </r>
    <r>
      <rPr>
        <sz val="9"/>
        <rFont val="ＭＳ ゴシック"/>
        <family val="3"/>
      </rPr>
      <t xml:space="preserve"> = </t>
    </r>
  </si>
  <si>
    <t>補剛材の設置間隔</t>
  </si>
  <si>
    <t>[道路橋示方書 10.5.2]</t>
  </si>
  <si>
    <t>CASE 1</t>
  </si>
  <si>
    <t>CASE 2</t>
  </si>
  <si>
    <t>CASE 3</t>
  </si>
  <si>
    <t>補剛材の使用列数</t>
  </si>
  <si>
    <r>
      <t>* 局部座屈を考慮しない許容圧縮応力 (N/</t>
    </r>
    <r>
      <rPr>
        <sz val="9"/>
        <rFont val="돋움체"/>
        <family val="3"/>
      </rPr>
      <t>㎟</t>
    </r>
    <r>
      <rPr>
        <sz val="9"/>
        <rFont val="ＭＳ ゴシック"/>
        <family val="3"/>
      </rPr>
      <t>) - 表 3.2.2</t>
    </r>
  </si>
  <si>
    <t>隔壁の板厚</t>
  </si>
  <si>
    <t>SS400</t>
  </si>
  <si>
    <t>SM400</t>
  </si>
  <si>
    <t>SM400C-H</t>
  </si>
  <si>
    <t>SM490C-H</t>
  </si>
  <si>
    <t>SM490Y</t>
  </si>
  <si>
    <t>SM520</t>
  </si>
  <si>
    <t>SMA490</t>
  </si>
  <si>
    <t>SM520C-H</t>
  </si>
  <si>
    <t>SM570</t>
  </si>
  <si>
    <t>SMA570</t>
  </si>
  <si>
    <t>SM570-H</t>
  </si>
  <si>
    <t>mm  なので</t>
  </si>
  <si>
    <t>断面有効幅</t>
  </si>
  <si>
    <t>適用</t>
  </si>
  <si>
    <r>
      <t>mm</t>
    </r>
    <r>
      <rPr>
        <vertAlign val="superscript"/>
        <sz val="9"/>
        <rFont val="ＭＳ ゴシック"/>
        <family val="3"/>
      </rPr>
      <t>2</t>
    </r>
  </si>
  <si>
    <t>板厚</t>
  </si>
  <si>
    <t>有効断面積</t>
  </si>
  <si>
    <t>したがって、有効断面積   Ae =</t>
  </si>
  <si>
    <t>隔壁中心線周囲の断面二次モーメント</t>
  </si>
  <si>
    <r>
      <t>* 自由突出板の局部座屈に対する許容応力 (N/</t>
    </r>
    <r>
      <rPr>
        <sz val="9"/>
        <rFont val="돋움체"/>
        <family val="3"/>
      </rPr>
      <t>㎟</t>
    </r>
    <r>
      <rPr>
        <sz val="9"/>
        <rFont val="ＭＳ ゴシック"/>
        <family val="3"/>
      </rPr>
      <t>) - 表 4.2.3</t>
    </r>
  </si>
  <si>
    <r>
      <t>mm</t>
    </r>
    <r>
      <rPr>
        <vertAlign val="superscript"/>
        <sz val="9"/>
        <rFont val="ＭＳ ゴシック"/>
        <family val="3"/>
      </rPr>
      <t>4</t>
    </r>
  </si>
  <si>
    <r>
      <t>断</t>
    </r>
    <r>
      <rPr>
        <sz val="9"/>
        <rFont val="굴림체"/>
        <family val="3"/>
      </rPr>
      <t>面二次半</t>
    </r>
    <r>
      <rPr>
        <sz val="9"/>
        <rFont val="MS Gothic"/>
        <family val="3"/>
      </rPr>
      <t>径</t>
    </r>
  </si>
  <si>
    <r>
      <t>有</t>
    </r>
    <r>
      <rPr>
        <sz val="9"/>
        <rFont val="ＭＳ Ｐゴシック"/>
        <family val="3"/>
      </rPr>
      <t>効</t>
    </r>
    <r>
      <rPr>
        <sz val="9"/>
        <rFont val="굴림체"/>
        <family val="3"/>
      </rPr>
      <t>座屈長</t>
    </r>
  </si>
  <si>
    <r>
      <t>許容軸方向</t>
    </r>
    <r>
      <rPr>
        <sz val="9"/>
        <rFont val="ＭＳ Ｐゴシック"/>
        <family val="3"/>
      </rPr>
      <t>圧</t>
    </r>
    <r>
      <rPr>
        <sz val="9"/>
        <rFont val="굴림체"/>
        <family val="3"/>
      </rPr>
      <t>縮</t>
    </r>
    <r>
      <rPr>
        <sz val="9"/>
        <rFont val="ＭＳ Ｐゴシック"/>
        <family val="3"/>
      </rPr>
      <t>応</t>
    </r>
    <r>
      <rPr>
        <sz val="9"/>
        <rFont val="굴림체"/>
        <family val="3"/>
      </rPr>
      <t>力</t>
    </r>
  </si>
  <si>
    <t>[道路橋示方書 3.2.1]</t>
  </si>
  <si>
    <r>
      <t>* 許容引張, 圧縮応力 (N/</t>
    </r>
    <r>
      <rPr>
        <sz val="9"/>
        <rFont val="돋움체"/>
        <family val="3"/>
      </rPr>
      <t>㎟</t>
    </r>
    <r>
      <rPr>
        <sz val="9"/>
        <rFont val="ＭＳ ゴシック"/>
        <family val="3"/>
      </rPr>
      <t>)</t>
    </r>
  </si>
  <si>
    <t>le/r =</t>
  </si>
  <si>
    <t>⇒</t>
  </si>
  <si>
    <t>σcag =</t>
  </si>
  <si>
    <t>：局部座屈を考慮しない許容軸方向圧縮応力度</t>
  </si>
  <si>
    <t>σcal =</t>
  </si>
  <si>
    <t>：局部座屈に対する許容応力</t>
  </si>
  <si>
    <t>σcao =</t>
  </si>
  <si>
    <t>：局部座屈を考慮しない最大許容軸方向圧縮応力</t>
  </si>
  <si>
    <t>40-75</t>
  </si>
  <si>
    <t>σca =  σcag ·σcal  /  σcao =</t>
  </si>
  <si>
    <t>：許容軸方向圧縮応力</t>
  </si>
  <si>
    <t>75-100</t>
  </si>
  <si>
    <t>σc = Rmax / Ae =</t>
  </si>
  <si>
    <t>σca</t>
  </si>
  <si>
    <r>
      <t>노란색</t>
    </r>
    <r>
      <rPr>
        <sz val="9"/>
        <rFont val="ＭＳ ゴシック"/>
        <family val="3"/>
      </rPr>
      <t xml:space="preserve"> </t>
    </r>
    <r>
      <rPr>
        <sz val="9"/>
        <rFont val="굴림체"/>
        <family val="3"/>
      </rPr>
      <t>부분</t>
    </r>
    <r>
      <rPr>
        <sz val="9"/>
        <rFont val="ＭＳ ゴシック"/>
        <family val="3"/>
      </rPr>
      <t xml:space="preserve"> </t>
    </r>
    <r>
      <rPr>
        <sz val="9"/>
        <rFont val="굴림체"/>
        <family val="3"/>
      </rPr>
      <t>내부수식</t>
    </r>
    <r>
      <rPr>
        <sz val="9"/>
        <rFont val="ＭＳ ゴシック"/>
        <family val="3"/>
      </rPr>
      <t xml:space="preserve"> </t>
    </r>
    <r>
      <rPr>
        <sz val="9"/>
        <rFont val="굴림체"/>
        <family val="3"/>
      </rPr>
      <t>변경</t>
    </r>
    <r>
      <rPr>
        <sz val="9"/>
        <rFont val="ＭＳ ゴシック"/>
        <family val="3"/>
      </rPr>
      <t xml:space="preserve"> 24000 =&gt; 23000</t>
    </r>
  </si>
  <si>
    <r>
      <t>f =&gt; σ</t>
    </r>
    <r>
      <rPr>
        <sz val="9"/>
        <rFont val="돋움"/>
        <family val="2"/>
      </rPr>
      <t>로</t>
    </r>
    <r>
      <rPr>
        <sz val="9"/>
        <rFont val="ＭＳ ゴシック"/>
        <family val="3"/>
      </rPr>
      <t xml:space="preserve"> </t>
    </r>
    <r>
      <rPr>
        <sz val="9"/>
        <rFont val="돋움"/>
        <family val="2"/>
      </rPr>
      <t>기호변경</t>
    </r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</si>
</sst>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"/>
    <numFmt numFmtId="185" formatCode="0.0_);[Red]\(0.0\)"/>
    <numFmt numFmtId="186" formatCode="0.000_ "/>
    <numFmt numFmtId="187" formatCode="0_ "/>
    <numFmt numFmtId="188" formatCode="_(&quot;$&quot;* #,##0_);_(&quot;$&quot;* \(#,##0\);_(&quot;$&quot;* &quot;-&quot;_);_(@_)"/>
    <numFmt numFmtId="189" formatCode="0.0"/>
    <numFmt numFmtId="190" formatCode="&quot;H&quot;0"/>
    <numFmt numFmtId="191" formatCode="0.00&quot; ㎠&quot;"/>
    <numFmt numFmtId="192" formatCode="&quot;T = &quot;0&quot; ㎝&quot;"/>
    <numFmt numFmtId="193" formatCode="mm&quot;월&quot;\ dd&quot;일&quot;"/>
    <numFmt numFmtId="194" formatCode="0&quot;³＋&quot;"/>
    <numFmt numFmtId="195" formatCode="0.0&quot;³/12 ＋&quot;"/>
    <numFmt numFmtId="196" formatCode="0.00&quot;²&quot;"/>
    <numFmt numFmtId="197" formatCode="0_);[Red]\(0\)"/>
    <numFmt numFmtId="198" formatCode="0.0_ "/>
    <numFmt numFmtId="199" formatCode="0.00_ "/>
    <numFmt numFmtId="200" formatCode="0.000&quot; tonf (절점&quot;\ "/>
    <numFmt numFmtId="201" formatCode="0.0&quot; ×&quot;"/>
    <numFmt numFmtId="202" formatCode="0.000&quot; kgf/cm²&quot;"/>
    <numFmt numFmtId="203" formatCode="0.00\ &quot;/&quot;\ "/>
    <numFmt numFmtId="204" formatCode="0.000&quot;²&quot;"/>
    <numFmt numFmtId="205" formatCode="&quot;(&quot;0.000\ "/>
    <numFmt numFmtId="206" formatCode="0.000\ "/>
    <numFmt numFmtId="207" formatCode="0\ "/>
    <numFmt numFmtId="208" formatCode="0.0\ "/>
    <numFmt numFmtId="209" formatCode="0.00\ "/>
    <numFmt numFmtId="210" formatCode="0.0&quot;²&quot;"/>
    <numFmt numFmtId="211" formatCode="0.0&quot;³＋&quot;"/>
    <numFmt numFmtId="212" formatCode="0.000&quot; MPa&quot;"/>
    <numFmt numFmtId="213" formatCode="0.00&quot; MPa&quot;"/>
    <numFmt numFmtId="214" formatCode="0.0&quot; MPa&quot;"/>
    <numFmt numFmtId="215" formatCode="0.000&quot; kN (절점&quot;\ "/>
    <numFmt numFmtId="216" formatCode="0.000&quot; kN  (절점&quot;\ "/>
    <numFmt numFmtId="217" formatCode="0.000_);[Red]\(0.000\)"/>
    <numFmt numFmtId="218" formatCode="0.00_);[Red]\(0.00\)"/>
    <numFmt numFmtId="219" formatCode="0.0000000_ "/>
    <numFmt numFmtId="220" formatCode="0.000&quot; kN  (節点&quot;\ "/>
  </numFmts>
  <fonts count="38">
    <font>
      <sz val="11"/>
      <name val="돋움"/>
      <family val="2"/>
    </font>
    <font>
      <b/>
      <sz val="11"/>
      <name val="돋움"/>
      <family val="2"/>
    </font>
    <font>
      <i/>
      <sz val="11"/>
      <name val="돋움"/>
      <family val="2"/>
    </font>
    <font>
      <b/>
      <i/>
      <sz val="11"/>
      <name val="돋움"/>
      <family val="2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0"/>
      <name val="굴림체"/>
      <family val="3"/>
    </font>
    <font>
      <sz val="9"/>
      <name val="굴림체"/>
      <family val="3"/>
    </font>
    <font>
      <sz val="9"/>
      <color indexed="8"/>
      <name val="굴림체"/>
      <family val="3"/>
    </font>
    <font>
      <sz val="9"/>
      <color indexed="14"/>
      <name val="굴림체"/>
      <family val="3"/>
    </font>
    <font>
      <sz val="8"/>
      <name val="굴림체"/>
      <family val="3"/>
    </font>
    <font>
      <u val="single"/>
      <sz val="10"/>
      <color indexed="36"/>
      <name val="굴림체"/>
      <family val="3"/>
    </font>
    <font>
      <u val="single"/>
      <sz val="10"/>
      <color indexed="12"/>
      <name val="굴림체"/>
      <family val="3"/>
    </font>
    <font>
      <sz val="9"/>
      <color indexed="8"/>
      <name val="돋움체"/>
      <family val="3"/>
    </font>
    <font>
      <sz val="8"/>
      <name val="돋움"/>
      <family val="2"/>
    </font>
    <font>
      <sz val="9"/>
      <name val="돋움체"/>
      <family val="3"/>
    </font>
    <font>
      <i/>
      <sz val="12"/>
      <color indexed="8"/>
      <name val="Symbol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i/>
      <sz val="12"/>
      <color indexed="8"/>
      <name val="Times New Roman"/>
      <family val="1"/>
    </font>
    <font>
      <i/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굴림체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vertAlign val="subscript"/>
      <sz val="9"/>
      <name val="ＭＳ ゴシック"/>
      <family val="3"/>
    </font>
    <font>
      <i/>
      <sz val="9"/>
      <name val="ＭＳ ゴシック"/>
      <family val="3"/>
    </font>
    <font>
      <sz val="9"/>
      <color indexed="61"/>
      <name val="ＭＳ ゴシック"/>
      <family val="3"/>
    </font>
    <font>
      <vertAlign val="superscript"/>
      <sz val="9"/>
      <name val="ＭＳ ゴシック"/>
      <family val="3"/>
    </font>
    <font>
      <sz val="9"/>
      <name val="MS Gothic"/>
      <family val="3"/>
    </font>
    <font>
      <sz val="7"/>
      <name val="ＭＳ ゴシック"/>
      <family val="3"/>
    </font>
    <font>
      <sz val="9"/>
      <name val="ＭＳ Ｐゴシック"/>
      <family val="3"/>
    </font>
    <font>
      <sz val="9"/>
      <name val="돋움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7" fillId="0" borderId="0">
      <alignment/>
      <protection locked="0"/>
    </xf>
    <xf numFmtId="41" fontId="5" fillId="0" borderId="0" applyFont="0" applyFill="0" applyBorder="0" applyAlignment="0" applyProtection="0"/>
    <xf numFmtId="190" fontId="7" fillId="0" borderId="0">
      <alignment/>
      <protection locked="0"/>
    </xf>
    <xf numFmtId="191" fontId="7" fillId="0" borderId="0">
      <alignment/>
      <protection locked="0"/>
    </xf>
    <xf numFmtId="188" fontId="5" fillId="0" borderId="0" applyFont="0" applyFill="0" applyBorder="0" applyAlignment="0" applyProtection="0"/>
    <xf numFmtId="190" fontId="7" fillId="0" borderId="0">
      <alignment/>
      <protection locked="0"/>
    </xf>
    <xf numFmtId="191" fontId="7" fillId="0" borderId="0">
      <alignment/>
      <protection locked="0"/>
    </xf>
    <xf numFmtId="191" fontId="7" fillId="0" borderId="0">
      <alignment/>
      <protection locked="0"/>
    </xf>
    <xf numFmtId="191" fontId="7" fillId="0" borderId="0">
      <alignment/>
      <protection locked="0"/>
    </xf>
    <xf numFmtId="191" fontId="7" fillId="0" borderId="0">
      <alignment/>
      <protection locked="0"/>
    </xf>
    <xf numFmtId="0" fontId="6" fillId="0" borderId="0">
      <alignment/>
      <protection/>
    </xf>
    <xf numFmtId="191" fontId="7" fillId="0" borderId="0">
      <alignment/>
      <protection locked="0"/>
    </xf>
    <xf numFmtId="191" fontId="7" fillId="0" borderId="1">
      <alignment/>
      <protection locked="0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1" fontId="4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248">
    <xf numFmtId="0" fontId="0" fillId="0" borderId="0" xfId="0" applyAlignment="1">
      <alignment/>
    </xf>
    <xf numFmtId="0" fontId="8" fillId="0" borderId="0" xfId="37" applyFont="1" applyAlignment="1">
      <alignment vertical="center"/>
      <protection/>
    </xf>
    <xf numFmtId="206" fontId="9" fillId="0" borderId="0" xfId="0" applyNumberFormat="1" applyFont="1" applyAlignment="1">
      <alignment vertical="center"/>
    </xf>
    <xf numFmtId="0" fontId="25" fillId="0" borderId="0" xfId="37" applyFont="1" applyFill="1" applyAlignment="1" quotePrefix="1">
      <alignment horizontal="left" vertical="center"/>
      <protection/>
    </xf>
    <xf numFmtId="0" fontId="25" fillId="0" borderId="0" xfId="37" applyFont="1" applyFill="1" applyAlignment="1">
      <alignment vertical="center"/>
      <protection/>
    </xf>
    <xf numFmtId="0" fontId="25" fillId="0" borderId="0" xfId="37" applyFont="1" applyAlignment="1">
      <alignment vertical="center"/>
      <protection/>
    </xf>
    <xf numFmtId="0" fontId="25" fillId="0" borderId="0" xfId="37" applyFont="1" applyFill="1" applyAlignment="1">
      <alignment horizontal="left" vertical="center"/>
      <protection/>
    </xf>
    <xf numFmtId="0" fontId="26" fillId="0" borderId="0" xfId="37" applyFont="1" applyFill="1" applyAlignment="1" quotePrefix="1">
      <alignment horizontal="left" vertical="center"/>
      <protection/>
    </xf>
    <xf numFmtId="0" fontId="26" fillId="0" borderId="0" xfId="37" applyFont="1" applyFill="1" applyAlignment="1">
      <alignment vertical="center"/>
      <protection/>
    </xf>
    <xf numFmtId="0" fontId="26" fillId="0" borderId="0" xfId="37" applyFont="1" applyFill="1" applyAlignment="1">
      <alignment horizontal="right" vertical="center"/>
      <protection/>
    </xf>
    <xf numFmtId="0" fontId="26" fillId="0" borderId="0" xfId="37" applyFont="1" applyAlignment="1">
      <alignment vertical="center"/>
      <protection/>
    </xf>
    <xf numFmtId="0" fontId="26" fillId="0" borderId="0" xfId="37" applyFont="1" applyFill="1" applyAlignment="1">
      <alignment horizontal="center" vertical="center"/>
      <protection/>
    </xf>
    <xf numFmtId="1" fontId="26" fillId="0" borderId="0" xfId="37" applyNumberFormat="1" applyFont="1" applyFill="1" applyAlignment="1">
      <alignment vertical="center" textRotation="90"/>
      <protection/>
    </xf>
    <xf numFmtId="0" fontId="29" fillId="0" borderId="0" xfId="37" applyFont="1" applyFill="1" applyAlignment="1">
      <alignment vertical="center"/>
      <protection/>
    </xf>
    <xf numFmtId="0" fontId="26" fillId="0" borderId="0" xfId="37" applyFont="1" applyFill="1" applyAlignment="1" quotePrefix="1">
      <alignment horizontal="center" vertical="center"/>
      <protection/>
    </xf>
    <xf numFmtId="0" fontId="27" fillId="0" borderId="0" xfId="37" applyFont="1" applyFill="1" applyAlignment="1">
      <alignment horizontal="centerContinuous" vertical="center"/>
      <protection/>
    </xf>
    <xf numFmtId="197" fontId="27" fillId="0" borderId="0" xfId="37" applyNumberFormat="1" applyFont="1" applyFill="1" applyAlignment="1">
      <alignment horizontal="centerContinuous" vertical="center"/>
      <protection/>
    </xf>
    <xf numFmtId="197" fontId="26" fillId="0" borderId="0" xfId="37" applyNumberFormat="1" applyFont="1" applyFill="1" applyAlignment="1">
      <alignment horizontal="centerContinuous" vertical="center"/>
      <protection/>
    </xf>
    <xf numFmtId="1" fontId="27" fillId="0" borderId="0" xfId="37" applyNumberFormat="1" applyFont="1" applyFill="1" applyAlignment="1">
      <alignment horizontal="center" vertical="center"/>
      <protection/>
    </xf>
    <xf numFmtId="189" fontId="27" fillId="0" borderId="0" xfId="37" applyNumberFormat="1" applyFont="1" applyFill="1" applyAlignment="1">
      <alignment horizontal="centerContinuous" vertical="center"/>
      <protection/>
    </xf>
    <xf numFmtId="189" fontId="29" fillId="0" borderId="0" xfId="37" applyNumberFormat="1" applyFont="1" applyFill="1" applyAlignment="1">
      <alignment horizontal="centerContinuous" vertical="center"/>
      <protection/>
    </xf>
    <xf numFmtId="189" fontId="26" fillId="0" borderId="0" xfId="37" applyNumberFormat="1" applyFont="1" applyFill="1" applyAlignment="1">
      <alignment horizontal="centerContinuous" vertical="center"/>
      <protection/>
    </xf>
    <xf numFmtId="2" fontId="26" fillId="0" borderId="0" xfId="37" applyNumberFormat="1" applyFont="1" applyFill="1" applyAlignment="1">
      <alignment horizontal="centerContinuous" vertical="center"/>
      <protection/>
    </xf>
    <xf numFmtId="0" fontId="26" fillId="0" borderId="0" xfId="37" applyFont="1" applyFill="1" applyAlignment="1">
      <alignment horizontal="centerContinuous" vertical="center"/>
      <protection/>
    </xf>
    <xf numFmtId="184" fontId="26" fillId="0" borderId="0" xfId="37" applyNumberFormat="1" applyFont="1" applyFill="1" applyAlignment="1">
      <alignment horizontal="centerContinuous" vertical="center"/>
      <protection/>
    </xf>
    <xf numFmtId="0" fontId="26" fillId="0" borderId="0" xfId="37" applyFont="1" applyFill="1">
      <alignment/>
      <protection/>
    </xf>
    <xf numFmtId="186" fontId="26" fillId="0" borderId="0" xfId="37" applyNumberFormat="1" applyFont="1" applyFill="1" applyAlignment="1">
      <alignment horizontal="centerContinuous" vertical="center"/>
      <protection/>
    </xf>
    <xf numFmtId="0" fontId="26" fillId="0" borderId="0" xfId="37" applyFont="1" applyFill="1" applyAlignment="1" applyProtection="1">
      <alignment horizontal="center" vertical="center"/>
      <protection locked="0"/>
    </xf>
    <xf numFmtId="0" fontId="26" fillId="0" borderId="0" xfId="37" applyFont="1" applyFill="1" applyAlignment="1">
      <alignment horizontal="centerContinuous"/>
      <protection/>
    </xf>
    <xf numFmtId="206" fontId="26" fillId="0" borderId="2" xfId="0" applyNumberFormat="1" applyFont="1" applyBorder="1" applyAlignment="1">
      <alignment horizontal="left" vertical="center"/>
    </xf>
    <xf numFmtId="206" fontId="28" fillId="0" borderId="0" xfId="0" applyNumberFormat="1" applyFont="1" applyAlignment="1">
      <alignment vertical="center"/>
    </xf>
    <xf numFmtId="0" fontId="26" fillId="0" borderId="2" xfId="37" applyFont="1" applyFill="1" applyBorder="1" applyAlignment="1">
      <alignment vertical="center"/>
      <protection/>
    </xf>
    <xf numFmtId="0" fontId="26" fillId="0" borderId="2" xfId="37" applyFont="1" applyFill="1" applyBorder="1" applyAlignment="1">
      <alignment horizontal="center" vertical="center"/>
      <protection/>
    </xf>
    <xf numFmtId="0" fontId="26" fillId="0" borderId="2" xfId="37" applyFont="1" applyFill="1" applyBorder="1" applyAlignment="1">
      <alignment horizontal="centerContinuous" vertical="center"/>
      <protection/>
    </xf>
    <xf numFmtId="1" fontId="26" fillId="0" borderId="0" xfId="37" applyNumberFormat="1" applyFont="1" applyFill="1" applyAlignment="1">
      <alignment horizontal="center" vertical="center"/>
      <protection/>
    </xf>
    <xf numFmtId="0" fontId="26" fillId="0" borderId="3" xfId="37" applyFont="1" applyFill="1" applyBorder="1" applyAlignment="1">
      <alignment vertical="center"/>
      <protection/>
    </xf>
    <xf numFmtId="0" fontId="26" fillId="0" borderId="0" xfId="37" applyFont="1" applyAlignment="1">
      <alignment horizontal="right" vertical="center"/>
      <protection/>
    </xf>
    <xf numFmtId="0" fontId="26" fillId="0" borderId="0" xfId="37" applyFont="1" applyFill="1" applyAlignment="1">
      <alignment horizontal="left" vertical="center"/>
      <protection/>
    </xf>
    <xf numFmtId="0" fontId="26" fillId="0" borderId="0" xfId="37" applyFont="1" applyFill="1" applyAlignment="1" quotePrefix="1">
      <alignment horizontal="right" vertical="center"/>
      <protection/>
    </xf>
    <xf numFmtId="0" fontId="31" fillId="0" borderId="0" xfId="37" applyFont="1" applyFill="1" applyAlignment="1">
      <alignment vertical="center"/>
      <protection/>
    </xf>
    <xf numFmtId="1" fontId="26" fillId="0" borderId="0" xfId="37" applyNumberFormat="1" applyFont="1" applyFill="1" applyAlignment="1">
      <alignment horizontal="centerContinuous" vertical="center"/>
      <protection/>
    </xf>
    <xf numFmtId="198" fontId="26" fillId="0" borderId="0" xfId="37" applyNumberFormat="1" applyFont="1" applyFill="1" applyAlignment="1">
      <alignment horizontal="centerContinuous" vertical="center"/>
      <protection/>
    </xf>
    <xf numFmtId="185" fontId="26" fillId="0" borderId="0" xfId="37" applyNumberFormat="1" applyFont="1" applyFill="1" applyAlignment="1">
      <alignment horizontal="centerContinuous" vertical="center"/>
      <protection/>
    </xf>
    <xf numFmtId="0" fontId="26" fillId="0" borderId="0" xfId="37" applyFont="1" applyFill="1" applyAlignment="1" quotePrefix="1">
      <alignment horizontal="centerContinuous" vertical="center"/>
      <protection/>
    </xf>
    <xf numFmtId="0" fontId="26" fillId="0" borderId="0" xfId="37" applyFont="1" applyFill="1" applyAlignment="1">
      <alignment vertical="top"/>
      <protection/>
    </xf>
    <xf numFmtId="0" fontId="26" fillId="0" borderId="0" xfId="37" applyFont="1">
      <alignment/>
      <protection/>
    </xf>
    <xf numFmtId="0" fontId="27" fillId="0" borderId="0" xfId="37" applyFont="1" applyFill="1" applyAlignment="1">
      <alignment vertical="center"/>
      <protection/>
    </xf>
    <xf numFmtId="1" fontId="28" fillId="0" borderId="0" xfId="37" applyNumberFormat="1" applyFont="1" applyFill="1" applyAlignment="1">
      <alignment horizontal="right" vertical="center" textRotation="90"/>
      <protection/>
    </xf>
    <xf numFmtId="1" fontId="26" fillId="0" borderId="0" xfId="37" applyNumberFormat="1" applyFont="1" applyFill="1" applyAlignment="1">
      <alignment horizontal="right" vertical="center" textRotation="90"/>
      <protection/>
    </xf>
    <xf numFmtId="1" fontId="27" fillId="0" borderId="0" xfId="37" applyNumberFormat="1" applyFont="1" applyFill="1" applyAlignment="1">
      <alignment vertical="center"/>
      <protection/>
    </xf>
    <xf numFmtId="1" fontId="26" fillId="0" borderId="0" xfId="37" applyNumberFormat="1" applyFont="1" applyFill="1" applyAlignment="1">
      <alignment vertical="center"/>
      <protection/>
    </xf>
    <xf numFmtId="1" fontId="26" fillId="0" borderId="0" xfId="37" applyNumberFormat="1" applyFont="1" applyFill="1" applyAlignment="1">
      <alignment horizontal="left" vertical="center"/>
      <protection/>
    </xf>
    <xf numFmtId="0" fontId="26" fillId="0" borderId="0" xfId="37" applyFont="1" applyFill="1" applyAlignment="1">
      <alignment horizontal="right" vertical="center" textRotation="90"/>
      <protection/>
    </xf>
    <xf numFmtId="1" fontId="26" fillId="0" borderId="0" xfId="37" applyNumberFormat="1" applyFont="1" applyFill="1" applyAlignment="1">
      <alignment vertical="top" textRotation="90"/>
      <protection/>
    </xf>
    <xf numFmtId="0" fontId="27" fillId="0" borderId="0" xfId="37" applyFont="1" applyFill="1" applyAlignment="1">
      <alignment horizontal="right" vertical="center" textRotation="90"/>
      <protection/>
    </xf>
    <xf numFmtId="0" fontId="27" fillId="0" borderId="0" xfId="37" applyFont="1" applyFill="1" applyAlignment="1">
      <alignment horizontal="centerContinuous" vertical="top"/>
      <protection/>
    </xf>
    <xf numFmtId="0" fontId="26" fillId="0" borderId="0" xfId="37" applyFont="1" applyFill="1" applyAlignment="1">
      <alignment horizontal="centerContinuous" vertical="top"/>
      <protection/>
    </xf>
    <xf numFmtId="0" fontId="26" fillId="0" borderId="0" xfId="37" applyFont="1" applyAlignment="1" applyProtection="1">
      <alignment horizontal="center" vertical="center"/>
      <protection/>
    </xf>
    <xf numFmtId="193" fontId="26" fillId="0" borderId="0" xfId="37" applyNumberFormat="1" applyFont="1" applyFill="1" applyAlignment="1" quotePrefix="1">
      <alignment horizontal="left" vertical="center"/>
      <protection/>
    </xf>
    <xf numFmtId="194" fontId="26" fillId="0" borderId="0" xfId="37" applyNumberFormat="1" applyFont="1" applyFill="1" applyAlignment="1">
      <alignment horizontal="centerContinuous" vertical="center"/>
      <protection/>
    </xf>
    <xf numFmtId="195" fontId="26" fillId="0" borderId="0" xfId="37" applyNumberFormat="1" applyFont="1" applyFill="1" applyAlignment="1">
      <alignment horizontal="centerContinuous" vertical="center"/>
      <protection/>
    </xf>
    <xf numFmtId="210" fontId="26" fillId="0" borderId="0" xfId="37" applyNumberFormat="1" applyFont="1" applyFill="1" applyAlignment="1">
      <alignment horizontal="centerContinuous" vertical="center"/>
      <protection/>
    </xf>
    <xf numFmtId="196" fontId="26" fillId="0" borderId="0" xfId="37" applyNumberFormat="1" applyFont="1" applyFill="1" applyAlignment="1">
      <alignment horizontal="centerContinuous" vertical="center"/>
      <protection/>
    </xf>
    <xf numFmtId="0" fontId="25" fillId="0" borderId="0" xfId="37" applyFont="1" applyFill="1" applyAlignment="1">
      <alignment horizontal="centerContinuous" vertical="center"/>
      <protection/>
    </xf>
    <xf numFmtId="0" fontId="25" fillId="0" borderId="0" xfId="37" applyFont="1" applyFill="1">
      <alignment/>
      <protection/>
    </xf>
    <xf numFmtId="0" fontId="27" fillId="0" borderId="0" xfId="37" applyFont="1" applyFill="1" applyAlignment="1">
      <alignment horizontal="center" vertical="center"/>
      <protection/>
    </xf>
    <xf numFmtId="0" fontId="28" fillId="0" borderId="0" xfId="37" applyFont="1" applyFill="1" applyAlignment="1">
      <alignment vertical="center"/>
      <protection/>
    </xf>
    <xf numFmtId="0" fontId="28" fillId="0" borderId="0" xfId="37" applyFont="1" applyFill="1" applyAlignment="1">
      <alignment horizontal="center" vertical="center"/>
      <protection/>
    </xf>
    <xf numFmtId="199" fontId="28" fillId="0" borderId="0" xfId="37" applyNumberFormat="1" applyFont="1" applyFill="1" applyAlignment="1">
      <alignment horizontal="centerContinuous" vertical="center"/>
      <protection/>
    </xf>
    <xf numFmtId="0" fontId="29" fillId="0" borderId="0" xfId="37" applyFont="1" applyAlignment="1">
      <alignment vertical="center"/>
      <protection/>
    </xf>
    <xf numFmtId="189" fontId="26" fillId="0" borderId="0" xfId="37" applyNumberFormat="1" applyFont="1" applyFill="1" applyAlignment="1">
      <alignment vertical="center"/>
      <protection/>
    </xf>
    <xf numFmtId="189" fontId="28" fillId="0" borderId="0" xfId="37" applyNumberFormat="1" applyFont="1" applyFill="1" applyAlignment="1">
      <alignment horizontal="centerContinuous" vertical="center"/>
      <protection/>
    </xf>
    <xf numFmtId="0" fontId="26" fillId="0" borderId="0" xfId="37" applyFont="1" applyFill="1" applyAlignment="1" quotePrefix="1">
      <alignment vertical="center"/>
      <protection/>
    </xf>
    <xf numFmtId="0" fontId="26" fillId="0" borderId="0" xfId="37" applyFont="1" applyFill="1" applyBorder="1" applyAlignment="1">
      <alignment vertical="center"/>
      <protection/>
    </xf>
    <xf numFmtId="1" fontId="27" fillId="0" borderId="0" xfId="37" applyNumberFormat="1" applyFont="1" applyFill="1" applyBorder="1" applyAlignment="1">
      <alignment horizontal="left" vertical="center"/>
      <protection/>
    </xf>
    <xf numFmtId="184" fontId="26" fillId="0" borderId="0" xfId="37" applyNumberFormat="1" applyFont="1" applyFill="1" applyBorder="1" applyAlignment="1">
      <alignment horizontal="centerContinuous" vertical="center"/>
      <protection/>
    </xf>
    <xf numFmtId="0" fontId="26" fillId="0" borderId="0" xfId="38" applyFont="1" applyBorder="1" applyAlignment="1">
      <alignment horizontal="left" vertical="center"/>
      <protection/>
    </xf>
    <xf numFmtId="0" fontId="26" fillId="0" borderId="0" xfId="37" applyFont="1" applyFill="1" applyAlignment="1" quotePrefix="1">
      <alignment vertical="top"/>
      <protection/>
    </xf>
    <xf numFmtId="0" fontId="26" fillId="0" borderId="0" xfId="37" applyFont="1" applyFill="1" applyAlignment="1">
      <alignment/>
      <protection/>
    </xf>
    <xf numFmtId="0" fontId="26" fillId="0" borderId="0" xfId="37" applyFont="1" applyFill="1" applyAlignment="1">
      <alignment horizontal="left"/>
      <protection/>
    </xf>
    <xf numFmtId="199" fontId="26" fillId="0" borderId="0" xfId="37" applyNumberFormat="1" applyFont="1" applyFill="1" applyAlignment="1">
      <alignment horizontal="centerContinuous" vertical="center"/>
      <protection/>
    </xf>
    <xf numFmtId="204" fontId="26" fillId="0" borderId="0" xfId="37" applyNumberFormat="1" applyFont="1" applyFill="1" applyAlignment="1">
      <alignment horizontal="centerContinuous" vertical="center"/>
      <protection/>
    </xf>
    <xf numFmtId="218" fontId="26" fillId="0" borderId="0" xfId="37" applyNumberFormat="1" applyFont="1" applyFill="1" applyAlignment="1">
      <alignment horizontal="centerContinuous" vertical="center"/>
      <protection/>
    </xf>
    <xf numFmtId="0" fontId="35" fillId="0" borderId="0" xfId="37" applyFont="1" applyFill="1" applyAlignment="1">
      <alignment horizontal="center" vertical="center"/>
      <protection/>
    </xf>
    <xf numFmtId="199" fontId="26" fillId="0" borderId="2" xfId="37" applyNumberFormat="1" applyFont="1" applyFill="1" applyBorder="1" applyAlignment="1">
      <alignment horizontal="centerContinuous" vertical="center"/>
      <protection/>
    </xf>
    <xf numFmtId="0" fontId="35" fillId="0" borderId="0" xfId="37" applyFont="1" applyFill="1" applyAlignment="1">
      <alignment horizontal="left" vertical="top"/>
      <protection/>
    </xf>
    <xf numFmtId="219" fontId="26" fillId="0" borderId="0" xfId="37" applyNumberFormat="1" applyFont="1" applyFill="1" applyAlignment="1">
      <alignment horizontal="centerContinuous" vertical="center"/>
      <protection/>
    </xf>
    <xf numFmtId="206" fontId="28" fillId="0" borderId="0" xfId="0" applyNumberFormat="1" applyFont="1" applyFill="1" applyAlignment="1">
      <alignment vertical="center"/>
    </xf>
    <xf numFmtId="0" fontId="25" fillId="0" borderId="0" xfId="39" applyFont="1" applyFill="1" applyAlignment="1" quotePrefix="1">
      <alignment horizontal="left" vertical="center"/>
      <protection/>
    </xf>
    <xf numFmtId="0" fontId="25" fillId="0" borderId="0" xfId="39" applyFont="1" applyFill="1" applyAlignment="1">
      <alignment vertical="center"/>
      <protection/>
    </xf>
    <xf numFmtId="0" fontId="26" fillId="0" borderId="0" xfId="39" applyFont="1" applyFill="1" applyAlignment="1">
      <alignment vertical="center"/>
      <protection/>
    </xf>
    <xf numFmtId="0" fontId="26" fillId="0" borderId="0" xfId="39" applyFont="1" applyFill="1" applyBorder="1" applyAlignment="1" quotePrefix="1">
      <alignment vertical="center"/>
      <protection/>
    </xf>
    <xf numFmtId="0" fontId="26" fillId="0" borderId="0" xfId="39" applyFont="1" applyFill="1" applyBorder="1" applyAlignment="1">
      <alignment vertical="center"/>
      <protection/>
    </xf>
    <xf numFmtId="189" fontId="26" fillId="0" borderId="0" xfId="39" applyNumberFormat="1" applyFont="1" applyFill="1" applyBorder="1" applyAlignment="1">
      <alignment horizontal="centerContinuous" vertical="center"/>
      <protection/>
    </xf>
    <xf numFmtId="184" fontId="26" fillId="0" borderId="0" xfId="39" applyNumberFormat="1" applyFont="1" applyFill="1" applyBorder="1" applyAlignment="1">
      <alignment horizontal="centerContinuous" vertical="center"/>
      <protection/>
    </xf>
    <xf numFmtId="0" fontId="26" fillId="0" borderId="0" xfId="39" applyFont="1" applyFill="1" applyAlignment="1">
      <alignment horizontal="center" vertical="center"/>
      <protection/>
    </xf>
    <xf numFmtId="189" fontId="26" fillId="0" borderId="0" xfId="39" applyNumberFormat="1" applyFont="1" applyFill="1" applyAlignment="1">
      <alignment horizontal="centerContinuous" vertical="center"/>
      <protection/>
    </xf>
    <xf numFmtId="187" fontId="26" fillId="0" borderId="0" xfId="39" applyNumberFormat="1" applyFont="1" applyFill="1" applyAlignment="1">
      <alignment horizontal="centerContinuous" vertical="center"/>
      <protection/>
    </xf>
    <xf numFmtId="0" fontId="26" fillId="0" borderId="0" xfId="39" applyFont="1" applyFill="1" applyAlignment="1">
      <alignment horizontal="centerContinuous" vertical="center"/>
      <protection/>
    </xf>
    <xf numFmtId="198" fontId="26" fillId="0" borderId="0" xfId="39" applyNumberFormat="1" applyFont="1" applyFill="1" applyAlignment="1">
      <alignment horizontal="centerContinuous" vertical="center"/>
      <protection/>
    </xf>
    <xf numFmtId="0" fontId="26" fillId="0" borderId="0" xfId="39" applyFont="1" applyFill="1">
      <alignment/>
      <protection/>
    </xf>
    <xf numFmtId="184" fontId="26" fillId="0" borderId="0" xfId="39" applyNumberFormat="1" applyFont="1" applyFill="1" applyAlignment="1">
      <alignment horizontal="centerContinuous" vertical="center"/>
      <protection/>
    </xf>
    <xf numFmtId="185" fontId="26" fillId="0" borderId="0" xfId="39" applyNumberFormat="1" applyFont="1" applyFill="1" applyAlignment="1">
      <alignment horizontal="centerContinuous" vertical="center"/>
      <protection/>
    </xf>
    <xf numFmtId="0" fontId="31" fillId="0" borderId="0" xfId="39" applyFont="1" applyFill="1" applyAlignment="1">
      <alignment vertical="center"/>
      <protection/>
    </xf>
    <xf numFmtId="0" fontId="26" fillId="0" borderId="0" xfId="39" applyFont="1" applyFill="1" applyAlignment="1" quotePrefix="1">
      <alignment vertical="center"/>
      <protection/>
    </xf>
    <xf numFmtId="0" fontId="34" fillId="0" borderId="0" xfId="39" applyFont="1" applyFill="1" applyAlignment="1" quotePrefix="1">
      <alignment vertical="center"/>
      <protection/>
    </xf>
    <xf numFmtId="186" fontId="26" fillId="0" borderId="0" xfId="37" applyNumberFormat="1" applyFont="1" applyFill="1" applyAlignment="1">
      <alignment horizontal="center" vertical="center"/>
      <protection/>
    </xf>
    <xf numFmtId="207" fontId="28" fillId="0" borderId="0" xfId="0" applyNumberFormat="1" applyFont="1" applyBorder="1" applyAlignment="1">
      <alignment horizontal="center" vertical="center"/>
    </xf>
    <xf numFmtId="0" fontId="8" fillId="0" borderId="0" xfId="37" applyFont="1" applyFill="1" applyAlignment="1">
      <alignment vertical="center"/>
      <protection/>
    </xf>
    <xf numFmtId="0" fontId="8" fillId="0" borderId="0" xfId="37" applyFont="1" applyFill="1" applyAlignment="1" quotePrefix="1">
      <alignment horizontal="left" vertical="center"/>
      <protection/>
    </xf>
    <xf numFmtId="0" fontId="8" fillId="0" borderId="0" xfId="37" applyFont="1" applyFill="1">
      <alignment/>
      <protection/>
    </xf>
    <xf numFmtId="0" fontId="34" fillId="0" borderId="0" xfId="37" applyFont="1" applyFill="1" applyAlignment="1">
      <alignment vertical="center"/>
      <protection/>
    </xf>
    <xf numFmtId="207" fontId="27" fillId="0" borderId="0" xfId="0" applyNumberFormat="1" applyFont="1" applyBorder="1" applyAlignment="1">
      <alignment horizontal="center" vertical="center"/>
    </xf>
    <xf numFmtId="207" fontId="26" fillId="0" borderId="0" xfId="0" applyNumberFormat="1" applyFont="1" applyBorder="1" applyAlignment="1">
      <alignment horizontal="center" vertical="center"/>
    </xf>
    <xf numFmtId="207" fontId="26" fillId="0" borderId="0" xfId="0" applyNumberFormat="1" applyFont="1" applyFill="1" applyBorder="1" applyAlignment="1">
      <alignment horizontal="center" vertical="center"/>
    </xf>
    <xf numFmtId="0" fontId="37" fillId="0" borderId="0" xfId="37" applyFont="1" applyFill="1" applyAlignment="1">
      <alignment vertical="center"/>
      <protection/>
    </xf>
    <xf numFmtId="0" fontId="36" fillId="0" borderId="0" xfId="37" applyFont="1" applyFill="1" applyAlignment="1">
      <alignment vertical="center"/>
      <protection/>
    </xf>
    <xf numFmtId="0" fontId="8" fillId="0" borderId="0" xfId="37" applyFont="1" applyFill="1" applyAlignment="1" quotePrefix="1">
      <alignment vertical="center"/>
      <protection/>
    </xf>
    <xf numFmtId="0" fontId="34" fillId="0" borderId="0" xfId="37" applyFont="1" applyFill="1" applyAlignment="1" quotePrefix="1">
      <alignment vertical="center"/>
      <protection/>
    </xf>
    <xf numFmtId="0" fontId="34" fillId="0" borderId="0" xfId="37" applyFont="1" applyFill="1" applyAlignment="1" quotePrefix="1">
      <alignment horizontal="left" vertical="center"/>
      <protection/>
    </xf>
    <xf numFmtId="0" fontId="26" fillId="0" borderId="0" xfId="38" applyFont="1" applyFill="1" applyBorder="1" applyAlignment="1">
      <alignment horizontal="left" vertical="center"/>
      <protection/>
    </xf>
    <xf numFmtId="206" fontId="26" fillId="0" borderId="2" xfId="0" applyNumberFormat="1" applyFont="1" applyFill="1" applyBorder="1" applyAlignment="1">
      <alignment horizontal="left" vertical="center"/>
    </xf>
    <xf numFmtId="207" fontId="14" fillId="0" borderId="0" xfId="0" applyNumberFormat="1" applyFont="1" applyFill="1" applyBorder="1" applyAlignment="1">
      <alignment horizontal="center" vertical="center"/>
    </xf>
    <xf numFmtId="207" fontId="28" fillId="0" borderId="0" xfId="0" applyNumberFormat="1" applyFont="1" applyFill="1" applyBorder="1" applyAlignment="1">
      <alignment horizontal="center" vertical="center"/>
    </xf>
    <xf numFmtId="207" fontId="27" fillId="0" borderId="0" xfId="0" applyNumberFormat="1" applyFont="1" applyFill="1" applyBorder="1" applyAlignment="1">
      <alignment horizontal="center" vertical="center"/>
    </xf>
    <xf numFmtId="0" fontId="28" fillId="0" borderId="0" xfId="37" applyFont="1" applyFill="1" applyAlignment="1">
      <alignment horizontal="left" vertical="center"/>
      <protection/>
    </xf>
    <xf numFmtId="0" fontId="37" fillId="0" borderId="0" xfId="37" applyFont="1" applyFill="1" applyAlignment="1">
      <alignment horizontal="center" vertical="center"/>
      <protection/>
    </xf>
    <xf numFmtId="189" fontId="28" fillId="0" borderId="0" xfId="37" applyNumberFormat="1" applyFont="1" applyFill="1" applyAlignment="1">
      <alignment vertical="center"/>
      <protection/>
    </xf>
    <xf numFmtId="189" fontId="28" fillId="0" borderId="0" xfId="37" applyNumberFormat="1" applyFont="1" applyFill="1" applyAlignment="1">
      <alignment horizontal="center" vertical="center"/>
      <protection/>
    </xf>
    <xf numFmtId="187" fontId="26" fillId="0" borderId="0" xfId="37" applyNumberFormat="1" applyFont="1" applyFill="1" applyAlignment="1">
      <alignment horizontal="centerContinuous" vertical="center"/>
      <protection/>
    </xf>
    <xf numFmtId="207" fontId="37" fillId="0" borderId="0" xfId="0" applyNumberFormat="1" applyFont="1" applyBorder="1" applyAlignment="1">
      <alignment horizontal="left" vertical="center"/>
    </xf>
    <xf numFmtId="0" fontId="26" fillId="0" borderId="0" xfId="39" applyFont="1" applyFill="1" applyBorder="1" applyAlignment="1">
      <alignment horizontal="centerContinuous" vertical="center"/>
      <protection/>
    </xf>
    <xf numFmtId="0" fontId="26" fillId="0" borderId="0" xfId="39" applyFont="1" applyFill="1" applyBorder="1" applyAlignment="1" quotePrefix="1">
      <alignment horizontal="left" vertical="center"/>
      <protection/>
    </xf>
    <xf numFmtId="1" fontId="26" fillId="0" borderId="0" xfId="39" applyNumberFormat="1" applyFont="1" applyFill="1" applyBorder="1" applyAlignment="1">
      <alignment horizontal="centerContinuous" vertical="center"/>
      <protection/>
    </xf>
    <xf numFmtId="0" fontId="8" fillId="0" borderId="0" xfId="39" applyFont="1" applyFill="1" applyAlignment="1">
      <alignment vertical="center"/>
      <protection/>
    </xf>
    <xf numFmtId="207" fontId="28" fillId="0" borderId="0" xfId="0" applyNumberFormat="1" applyFont="1" applyFill="1" applyBorder="1" applyAlignment="1">
      <alignment horizontal="left" vertical="center"/>
    </xf>
    <xf numFmtId="206" fontId="26" fillId="0" borderId="0" xfId="0" applyNumberFormat="1" applyFont="1" applyBorder="1" applyAlignment="1">
      <alignment horizontal="center" vertical="center"/>
    </xf>
    <xf numFmtId="206" fontId="26" fillId="0" borderId="4" xfId="0" applyNumberFormat="1" applyFont="1" applyBorder="1" applyAlignment="1">
      <alignment horizontal="center" vertical="center"/>
    </xf>
    <xf numFmtId="207" fontId="27" fillId="0" borderId="5" xfId="0" applyNumberFormat="1" applyFont="1" applyBorder="1" applyAlignment="1">
      <alignment horizontal="center" vertical="center"/>
    </xf>
    <xf numFmtId="208" fontId="26" fillId="0" borderId="6" xfId="0" applyNumberFormat="1" applyFont="1" applyBorder="1" applyAlignment="1">
      <alignment horizontal="center" vertical="center"/>
    </xf>
    <xf numFmtId="208" fontId="26" fillId="0" borderId="7" xfId="0" applyNumberFormat="1" applyFont="1" applyBorder="1" applyAlignment="1">
      <alignment horizontal="center" vertical="center"/>
    </xf>
    <xf numFmtId="206" fontId="16" fillId="0" borderId="8" xfId="0" applyNumberFormat="1" applyFont="1" applyBorder="1" applyAlignment="1">
      <alignment horizontal="center" vertical="center"/>
    </xf>
    <xf numFmtId="206" fontId="26" fillId="0" borderId="2" xfId="0" applyNumberFormat="1" applyFont="1" applyBorder="1" applyAlignment="1">
      <alignment horizontal="left" vertical="center"/>
    </xf>
    <xf numFmtId="206" fontId="28" fillId="0" borderId="9" xfId="0" applyNumberFormat="1" applyFont="1" applyFill="1" applyBorder="1" applyAlignment="1">
      <alignment horizontal="center" vertical="center"/>
    </xf>
    <xf numFmtId="206" fontId="28" fillId="0" borderId="10" xfId="0" applyNumberFormat="1" applyFont="1" applyFill="1" applyBorder="1" applyAlignment="1">
      <alignment horizontal="center" vertical="center"/>
    </xf>
    <xf numFmtId="206" fontId="28" fillId="0" borderId="6" xfId="0" applyNumberFormat="1" applyFont="1" applyFill="1" applyBorder="1" applyAlignment="1">
      <alignment horizontal="center" vertical="center"/>
    </xf>
    <xf numFmtId="207" fontId="27" fillId="0" borderId="7" xfId="0" applyNumberFormat="1" applyFont="1" applyFill="1" applyBorder="1" applyAlignment="1">
      <alignment horizontal="center" vertical="center"/>
    </xf>
    <xf numFmtId="206" fontId="28" fillId="0" borderId="9" xfId="0" applyNumberFormat="1" applyFont="1" applyBorder="1" applyAlignment="1">
      <alignment horizontal="center" vertical="center"/>
    </xf>
    <xf numFmtId="206" fontId="28" fillId="0" borderId="10" xfId="0" applyNumberFormat="1" applyFont="1" applyBorder="1" applyAlignment="1">
      <alignment horizontal="center" vertical="center"/>
    </xf>
    <xf numFmtId="206" fontId="28" fillId="0" borderId="6" xfId="0" applyNumberFormat="1" applyFont="1" applyBorder="1" applyAlignment="1">
      <alignment horizontal="center" vertical="center"/>
    </xf>
    <xf numFmtId="207" fontId="27" fillId="0" borderId="9" xfId="0" applyNumberFormat="1" applyFont="1" applyBorder="1" applyAlignment="1">
      <alignment horizontal="center" vertical="center"/>
    </xf>
    <xf numFmtId="207" fontId="27" fillId="0" borderId="10" xfId="0" applyNumberFormat="1" applyFont="1" applyBorder="1" applyAlignment="1">
      <alignment horizontal="center" vertical="center"/>
    </xf>
    <xf numFmtId="207" fontId="27" fillId="0" borderId="6" xfId="0" applyNumberFormat="1" applyFont="1" applyBorder="1" applyAlignment="1">
      <alignment horizontal="center" vertical="center"/>
    </xf>
    <xf numFmtId="207" fontId="32" fillId="0" borderId="7" xfId="0" applyNumberFormat="1" applyFont="1" applyBorder="1" applyAlignment="1">
      <alignment horizontal="center" vertical="center"/>
    </xf>
    <xf numFmtId="207" fontId="26" fillId="0" borderId="7" xfId="0" applyNumberFormat="1" applyFont="1" applyBorder="1" applyAlignment="1">
      <alignment horizontal="center" vertical="center"/>
    </xf>
    <xf numFmtId="207" fontId="26" fillId="0" borderId="6" xfId="0" applyNumberFormat="1" applyFont="1" applyBorder="1" applyAlignment="1">
      <alignment horizontal="center" vertical="center"/>
    </xf>
    <xf numFmtId="205" fontId="27" fillId="0" borderId="0" xfId="0" applyNumberFormat="1" applyFont="1" applyFill="1" applyAlignment="1">
      <alignment horizontal="center" vertical="center"/>
    </xf>
    <xf numFmtId="207" fontId="27" fillId="0" borderId="7" xfId="0" applyNumberFormat="1" applyFont="1" applyBorder="1" applyAlignment="1">
      <alignment horizontal="center" vertical="center"/>
    </xf>
    <xf numFmtId="207" fontId="28" fillId="0" borderId="11" xfId="0" applyNumberFormat="1" applyFont="1" applyBorder="1" applyAlignment="1">
      <alignment horizontal="center" vertical="center"/>
    </xf>
    <xf numFmtId="207" fontId="28" fillId="0" borderId="2" xfId="0" applyNumberFormat="1" applyFont="1" applyBorder="1" applyAlignment="1">
      <alignment horizontal="center" vertical="center"/>
    </xf>
    <xf numFmtId="207" fontId="28" fillId="0" borderId="12" xfId="0" applyNumberFormat="1" applyFont="1" applyBorder="1" applyAlignment="1">
      <alignment horizontal="center" vertical="center"/>
    </xf>
    <xf numFmtId="208" fontId="27" fillId="0" borderId="6" xfId="0" applyNumberFormat="1" applyFont="1" applyBorder="1" applyAlignment="1">
      <alignment horizontal="center" vertical="center"/>
    </xf>
    <xf numFmtId="208" fontId="27" fillId="0" borderId="7" xfId="0" applyNumberFormat="1" applyFont="1" applyBorder="1" applyAlignment="1">
      <alignment horizontal="center" vertical="center"/>
    </xf>
    <xf numFmtId="207" fontId="26" fillId="0" borderId="9" xfId="0" applyNumberFormat="1" applyFont="1" applyBorder="1" applyAlignment="1">
      <alignment horizontal="center" vertical="center"/>
    </xf>
    <xf numFmtId="207" fontId="26" fillId="0" borderId="10" xfId="0" applyNumberFormat="1" applyFont="1" applyBorder="1" applyAlignment="1">
      <alignment horizontal="center" vertical="center"/>
    </xf>
    <xf numFmtId="206" fontId="26" fillId="0" borderId="9" xfId="0" applyNumberFormat="1" applyFont="1" applyBorder="1" applyAlignment="1">
      <alignment horizontal="center" vertical="center"/>
    </xf>
    <xf numFmtId="206" fontId="26" fillId="0" borderId="10" xfId="0" applyNumberFormat="1" applyFont="1" applyBorder="1" applyAlignment="1">
      <alignment horizontal="center" vertical="center"/>
    </xf>
    <xf numFmtId="206" fontId="26" fillId="0" borderId="6" xfId="0" applyNumberFormat="1" applyFont="1" applyBorder="1" applyAlignment="1">
      <alignment horizontal="center" vertical="center"/>
    </xf>
    <xf numFmtId="206" fontId="28" fillId="0" borderId="9" xfId="0" applyNumberFormat="1" applyFont="1" applyBorder="1" applyAlignment="1">
      <alignment horizontal="center" vertical="center" wrapText="1"/>
    </xf>
    <xf numFmtId="206" fontId="28" fillId="0" borderId="10" xfId="0" applyNumberFormat="1" applyFont="1" applyBorder="1" applyAlignment="1">
      <alignment horizontal="center" vertical="center" wrapText="1"/>
    </xf>
    <xf numFmtId="206" fontId="28" fillId="0" borderId="6" xfId="0" applyNumberFormat="1" applyFont="1" applyBorder="1" applyAlignment="1">
      <alignment horizontal="center" vertical="center" wrapText="1"/>
    </xf>
    <xf numFmtId="207" fontId="28" fillId="0" borderId="13" xfId="0" applyNumberFormat="1" applyFont="1" applyBorder="1" applyAlignment="1">
      <alignment horizontal="center" vertical="center"/>
    </xf>
    <xf numFmtId="207" fontId="28" fillId="0" borderId="3" xfId="0" applyNumberFormat="1" applyFont="1" applyBorder="1" applyAlignment="1">
      <alignment horizontal="center" vertical="center"/>
    </xf>
    <xf numFmtId="207" fontId="28" fillId="0" borderId="14" xfId="0" applyNumberFormat="1" applyFont="1" applyBorder="1" applyAlignment="1">
      <alignment horizontal="center" vertical="center"/>
    </xf>
    <xf numFmtId="207" fontId="26" fillId="0" borderId="5" xfId="0" applyNumberFormat="1" applyFont="1" applyBorder="1" applyAlignment="1">
      <alignment horizontal="center" vertical="center"/>
    </xf>
    <xf numFmtId="197" fontId="29" fillId="0" borderId="7" xfId="0" applyNumberFormat="1" applyFont="1" applyBorder="1" applyAlignment="1">
      <alignment horizontal="center" vertical="center"/>
    </xf>
    <xf numFmtId="206" fontId="28" fillId="0" borderId="7" xfId="0" applyNumberFormat="1" applyFont="1" applyBorder="1" applyAlignment="1" quotePrefix="1">
      <alignment horizontal="center" vertical="center"/>
    </xf>
    <xf numFmtId="207" fontId="28" fillId="0" borderId="7" xfId="0" applyNumberFormat="1" applyFont="1" applyBorder="1" applyAlignment="1">
      <alignment horizontal="center" vertical="center"/>
    </xf>
    <xf numFmtId="207" fontId="28" fillId="0" borderId="7" xfId="0" applyNumberFormat="1" applyFont="1" applyFill="1" applyBorder="1" applyAlignment="1">
      <alignment horizontal="center" vertical="center"/>
    </xf>
    <xf numFmtId="207" fontId="26" fillId="0" borderId="7" xfId="0" applyNumberFormat="1" applyFont="1" applyFill="1" applyBorder="1" applyAlignment="1">
      <alignment horizontal="center" vertical="center"/>
    </xf>
    <xf numFmtId="207" fontId="27" fillId="0" borderId="5" xfId="0" applyNumberFormat="1" applyFont="1" applyFill="1" applyBorder="1" applyAlignment="1">
      <alignment horizontal="center" vertical="center"/>
    </xf>
    <xf numFmtId="197" fontId="26" fillId="0" borderId="0" xfId="37" applyNumberFormat="1" applyFont="1" applyFill="1" applyAlignment="1">
      <alignment horizontal="center" vertical="justify" textRotation="90"/>
      <protection/>
    </xf>
    <xf numFmtId="206" fontId="26" fillId="0" borderId="2" xfId="0" applyNumberFormat="1" applyFont="1" applyFill="1" applyBorder="1" applyAlignment="1">
      <alignment horizontal="left" vertical="center"/>
    </xf>
    <xf numFmtId="207" fontId="26" fillId="0" borderId="9" xfId="0" applyNumberFormat="1" applyFont="1" applyFill="1" applyBorder="1" applyAlignment="1">
      <alignment horizontal="center" vertical="center"/>
    </xf>
    <xf numFmtId="207" fontId="26" fillId="0" borderId="10" xfId="0" applyNumberFormat="1" applyFont="1" applyFill="1" applyBorder="1" applyAlignment="1">
      <alignment horizontal="center" vertical="center"/>
    </xf>
    <xf numFmtId="207" fontId="26" fillId="0" borderId="6" xfId="0" applyNumberFormat="1" applyFont="1" applyFill="1" applyBorder="1" applyAlignment="1">
      <alignment horizontal="center" vertical="center"/>
    </xf>
    <xf numFmtId="206" fontId="26" fillId="0" borderId="9" xfId="0" applyNumberFormat="1" applyFont="1" applyFill="1" applyBorder="1" applyAlignment="1">
      <alignment horizontal="center" vertical="center"/>
    </xf>
    <xf numFmtId="206" fontId="26" fillId="0" borderId="10" xfId="0" applyNumberFormat="1" applyFont="1" applyFill="1" applyBorder="1" applyAlignment="1">
      <alignment horizontal="center" vertical="center"/>
    </xf>
    <xf numFmtId="206" fontId="26" fillId="0" borderId="6" xfId="0" applyNumberFormat="1" applyFont="1" applyFill="1" applyBorder="1" applyAlignment="1">
      <alignment horizontal="center" vertical="center"/>
    </xf>
    <xf numFmtId="0" fontId="26" fillId="0" borderId="0" xfId="37" applyFont="1" applyFill="1" applyAlignment="1">
      <alignment horizontal="center" vertical="center"/>
      <protection/>
    </xf>
    <xf numFmtId="1" fontId="26" fillId="0" borderId="0" xfId="37" applyNumberFormat="1" applyFont="1" applyFill="1" applyAlignment="1">
      <alignment horizontal="center" vertical="center"/>
      <protection/>
    </xf>
    <xf numFmtId="197" fontId="26" fillId="0" borderId="0" xfId="37" applyNumberFormat="1" applyFont="1" applyFill="1" applyAlignment="1">
      <alignment horizontal="center" vertical="center"/>
      <protection/>
    </xf>
    <xf numFmtId="0" fontId="26" fillId="0" borderId="0" xfId="37" applyFont="1" applyFill="1" applyAlignment="1">
      <alignment horizontal="center" vertical="center" textRotation="90"/>
      <protection/>
    </xf>
    <xf numFmtId="186" fontId="26" fillId="0" borderId="0" xfId="37" applyNumberFormat="1" applyFont="1" applyFill="1" applyAlignment="1">
      <alignment horizontal="center" vertical="center"/>
      <protection/>
    </xf>
    <xf numFmtId="198" fontId="26" fillId="0" borderId="0" xfId="37" applyNumberFormat="1" applyFont="1" applyFill="1" applyAlignment="1">
      <alignment horizontal="center" vertical="center"/>
      <protection/>
    </xf>
    <xf numFmtId="198" fontId="27" fillId="0" borderId="0" xfId="37" applyNumberFormat="1" applyFont="1" applyFill="1" applyAlignment="1">
      <alignment horizontal="center" vertical="center"/>
      <protection/>
    </xf>
    <xf numFmtId="199" fontId="26" fillId="0" borderId="0" xfId="37" applyNumberFormat="1" applyFont="1" applyFill="1" applyAlignment="1">
      <alignment horizontal="center" vertical="center"/>
      <protection/>
    </xf>
    <xf numFmtId="0" fontId="27" fillId="0" borderId="0" xfId="37" applyFont="1" applyFill="1" applyAlignment="1">
      <alignment horizontal="center" vertical="top"/>
      <protection/>
    </xf>
    <xf numFmtId="207" fontId="29" fillId="0" borderId="9" xfId="0" applyNumberFormat="1" applyFont="1" applyBorder="1" applyAlignment="1">
      <alignment horizontal="center" vertical="center"/>
    </xf>
    <xf numFmtId="207" fontId="29" fillId="0" borderId="10" xfId="0" applyNumberFormat="1" applyFont="1" applyBorder="1" applyAlignment="1">
      <alignment horizontal="center" vertical="center"/>
    </xf>
    <xf numFmtId="207" fontId="29" fillId="0" borderId="6" xfId="0" applyNumberFormat="1" applyFont="1" applyBorder="1" applyAlignment="1">
      <alignment horizontal="center" vertical="center"/>
    </xf>
    <xf numFmtId="207" fontId="14" fillId="0" borderId="13" xfId="0" applyNumberFormat="1" applyFont="1" applyBorder="1" applyAlignment="1">
      <alignment horizontal="center" vertical="center"/>
    </xf>
    <xf numFmtId="207" fontId="14" fillId="0" borderId="7" xfId="0" applyNumberFormat="1" applyFont="1" applyBorder="1" applyAlignment="1">
      <alignment horizontal="center" vertical="center"/>
    </xf>
    <xf numFmtId="0" fontId="26" fillId="0" borderId="0" xfId="37" applyFont="1" applyFill="1" applyAlignment="1">
      <alignment horizontal="left" vertical="center"/>
      <protection/>
    </xf>
    <xf numFmtId="209" fontId="26" fillId="0" borderId="6" xfId="0" applyNumberFormat="1" applyFont="1" applyFill="1" applyBorder="1" applyAlignment="1">
      <alignment horizontal="center" vertical="center"/>
    </xf>
    <xf numFmtId="209" fontId="26" fillId="0" borderId="7" xfId="0" applyNumberFormat="1" applyFont="1" applyFill="1" applyBorder="1" applyAlignment="1">
      <alignment horizontal="center" vertical="center"/>
    </xf>
    <xf numFmtId="206" fontId="16" fillId="0" borderId="8" xfId="0" applyNumberFormat="1" applyFont="1" applyFill="1" applyBorder="1" applyAlignment="1">
      <alignment horizontal="center" vertical="center"/>
    </xf>
    <xf numFmtId="206" fontId="26" fillId="0" borderId="0" xfId="0" applyNumberFormat="1" applyFont="1" applyFill="1" applyBorder="1" applyAlignment="1">
      <alignment horizontal="center" vertical="center"/>
    </xf>
    <xf numFmtId="206" fontId="26" fillId="0" borderId="4" xfId="0" applyNumberFormat="1" applyFont="1" applyFill="1" applyBorder="1" applyAlignment="1">
      <alignment horizontal="center" vertical="center"/>
    </xf>
    <xf numFmtId="208" fontId="26" fillId="0" borderId="6" xfId="0" applyNumberFormat="1" applyFont="1" applyFill="1" applyBorder="1" applyAlignment="1">
      <alignment horizontal="center" vertical="center"/>
    </xf>
    <xf numFmtId="208" fontId="26" fillId="0" borderId="7" xfId="0" applyNumberFormat="1" applyFont="1" applyFill="1" applyBorder="1" applyAlignment="1">
      <alignment horizontal="center" vertical="center"/>
    </xf>
    <xf numFmtId="198" fontId="26" fillId="0" borderId="0" xfId="39" applyNumberFormat="1" applyFont="1" applyFill="1" applyAlignment="1">
      <alignment horizontal="center" vertical="center"/>
      <protection/>
    </xf>
    <xf numFmtId="0" fontId="26" fillId="0" borderId="0" xfId="39" applyFont="1" applyFill="1" applyAlignment="1">
      <alignment horizontal="center" vertical="center"/>
      <protection/>
    </xf>
    <xf numFmtId="0" fontId="26" fillId="0" borderId="0" xfId="39" applyFont="1" applyFill="1" applyAlignment="1">
      <alignment vertical="center"/>
      <protection/>
    </xf>
    <xf numFmtId="187" fontId="26" fillId="0" borderId="0" xfId="39" applyNumberFormat="1" applyFont="1" applyFill="1" applyAlignment="1">
      <alignment horizontal="center" vertical="center"/>
      <protection/>
    </xf>
    <xf numFmtId="0" fontId="26" fillId="0" borderId="0" xfId="39" applyFont="1" applyFill="1" applyAlignment="1">
      <alignment horizontal="left" vertical="center"/>
      <protection/>
    </xf>
    <xf numFmtId="205" fontId="26" fillId="0" borderId="0" xfId="0" applyNumberFormat="1" applyFont="1" applyFill="1" applyAlignment="1">
      <alignment horizontal="center" vertical="center"/>
    </xf>
    <xf numFmtId="206" fontId="8" fillId="0" borderId="0" xfId="0" applyNumberFormat="1" applyFont="1" applyFill="1" applyAlignment="1">
      <alignment vertical="center"/>
    </xf>
    <xf numFmtId="220" fontId="26" fillId="0" borderId="0" xfId="39" applyNumberFormat="1" applyFont="1" applyFill="1" applyBorder="1" applyAlignment="1">
      <alignment horizontal="right" vertical="center"/>
      <protection/>
    </xf>
    <xf numFmtId="0" fontId="26" fillId="0" borderId="0" xfId="39" applyFont="1" applyFill="1" applyBorder="1" applyAlignment="1">
      <alignment horizontal="center" vertical="center"/>
      <protection/>
    </xf>
    <xf numFmtId="185" fontId="26" fillId="0" borderId="0" xfId="39" applyNumberFormat="1" applyFont="1" applyFill="1" applyBorder="1" applyAlignment="1">
      <alignment horizontal="center" vertical="center"/>
      <protection/>
    </xf>
    <xf numFmtId="208" fontId="26" fillId="0" borderId="13" xfId="0" applyNumberFormat="1" applyFont="1" applyFill="1" applyBorder="1" applyAlignment="1">
      <alignment horizontal="center" vertical="center"/>
    </xf>
    <xf numFmtId="208" fontId="26" fillId="0" borderId="3" xfId="0" applyNumberFormat="1" applyFont="1" applyFill="1" applyBorder="1" applyAlignment="1">
      <alignment horizontal="center" vertical="center"/>
    </xf>
    <xf numFmtId="208" fontId="26" fillId="0" borderId="14" xfId="0" applyNumberFormat="1" applyFont="1" applyFill="1" applyBorder="1" applyAlignment="1">
      <alignment horizontal="center" vertical="center"/>
    </xf>
    <xf numFmtId="197" fontId="26" fillId="0" borderId="0" xfId="39" applyNumberFormat="1" applyFont="1" applyFill="1" applyBorder="1" applyAlignment="1">
      <alignment horizontal="center" vertical="center"/>
      <protection/>
    </xf>
    <xf numFmtId="206" fontId="26" fillId="0" borderId="0" xfId="0" applyNumberFormat="1" applyFont="1" applyFill="1" applyAlignment="1">
      <alignment vertical="center"/>
    </xf>
    <xf numFmtId="208" fontId="26" fillId="0" borderId="9" xfId="0" applyNumberFormat="1" applyFont="1" applyFill="1" applyBorder="1" applyAlignment="1">
      <alignment horizontal="center" vertical="center"/>
    </xf>
    <xf numFmtId="208" fontId="26" fillId="0" borderId="10" xfId="0" applyNumberFormat="1" applyFont="1" applyFill="1" applyBorder="1" applyAlignment="1">
      <alignment horizontal="center" vertical="center"/>
    </xf>
    <xf numFmtId="208" fontId="26" fillId="0" borderId="9" xfId="0" applyNumberFormat="1" applyFont="1" applyFill="1" applyBorder="1" applyAlignment="1">
      <alignment horizontal="center" vertical="center" wrapText="1"/>
    </xf>
    <xf numFmtId="208" fontId="26" fillId="0" borderId="10" xfId="0" applyNumberFormat="1" applyFont="1" applyFill="1" applyBorder="1" applyAlignment="1">
      <alignment horizontal="center" vertical="center" wrapText="1"/>
    </xf>
    <xf numFmtId="208" fontId="26" fillId="0" borderId="6" xfId="0" applyNumberFormat="1" applyFont="1" applyFill="1" applyBorder="1" applyAlignment="1">
      <alignment horizontal="center" vertical="center" wrapText="1"/>
    </xf>
    <xf numFmtId="206" fontId="26" fillId="0" borderId="9" xfId="0" applyNumberFormat="1" applyFont="1" applyFill="1" applyBorder="1" applyAlignment="1">
      <alignment horizontal="center" vertical="center" wrapText="1"/>
    </xf>
    <xf numFmtId="206" fontId="26" fillId="0" borderId="10" xfId="0" applyNumberFormat="1" applyFont="1" applyFill="1" applyBorder="1" applyAlignment="1">
      <alignment horizontal="center" vertical="center" wrapText="1"/>
    </xf>
    <xf numFmtId="206" fontId="26" fillId="0" borderId="6" xfId="0" applyNumberFormat="1" applyFont="1" applyFill="1" applyBorder="1" applyAlignment="1">
      <alignment horizontal="center" vertical="center" wrapText="1"/>
    </xf>
    <xf numFmtId="197" fontId="26" fillId="0" borderId="7" xfId="0" applyNumberFormat="1" applyFont="1" applyFill="1" applyBorder="1" applyAlignment="1">
      <alignment horizontal="center" vertical="center"/>
    </xf>
    <xf numFmtId="207" fontId="16" fillId="0" borderId="13" xfId="0" applyNumberFormat="1" applyFont="1" applyFill="1" applyBorder="1" applyAlignment="1">
      <alignment horizontal="center" vertical="center"/>
    </xf>
    <xf numFmtId="207" fontId="26" fillId="0" borderId="3" xfId="0" applyNumberFormat="1" applyFont="1" applyFill="1" applyBorder="1" applyAlignment="1">
      <alignment horizontal="center" vertical="center"/>
    </xf>
    <xf numFmtId="207" fontId="26" fillId="0" borderId="14" xfId="0" applyNumberFormat="1" applyFont="1" applyFill="1" applyBorder="1" applyAlignment="1">
      <alignment horizontal="center" vertical="center"/>
    </xf>
    <xf numFmtId="207" fontId="26" fillId="0" borderId="5" xfId="0" applyNumberFormat="1" applyFont="1" applyFill="1" applyBorder="1" applyAlignment="1">
      <alignment horizontal="center" vertical="center"/>
    </xf>
    <xf numFmtId="207" fontId="26" fillId="0" borderId="8" xfId="0" applyNumberFormat="1" applyFont="1" applyFill="1" applyBorder="1" applyAlignment="1">
      <alignment horizontal="center" vertical="center"/>
    </xf>
    <xf numFmtId="207" fontId="26" fillId="0" borderId="0" xfId="0" applyNumberFormat="1" applyFont="1" applyFill="1" applyBorder="1" applyAlignment="1">
      <alignment horizontal="center" vertical="center"/>
    </xf>
    <xf numFmtId="207" fontId="26" fillId="0" borderId="4" xfId="0" applyNumberFormat="1" applyFont="1" applyFill="1" applyBorder="1" applyAlignment="1">
      <alignment horizontal="center" vertical="center"/>
    </xf>
    <xf numFmtId="209" fontId="26" fillId="0" borderId="9" xfId="0" applyNumberFormat="1" applyFont="1" applyFill="1" applyBorder="1" applyAlignment="1">
      <alignment horizontal="center" vertical="center"/>
    </xf>
    <xf numFmtId="209" fontId="26" fillId="0" borderId="10" xfId="0" applyNumberFormat="1" applyFont="1" applyFill="1" applyBorder="1" applyAlignment="1">
      <alignment horizontal="center" vertical="center"/>
    </xf>
    <xf numFmtId="207" fontId="26" fillId="0" borderId="11" xfId="0" applyNumberFormat="1" applyFont="1" applyFill="1" applyBorder="1" applyAlignment="1">
      <alignment horizontal="center" vertical="center"/>
    </xf>
    <xf numFmtId="207" fontId="26" fillId="0" borderId="2" xfId="0" applyNumberFormat="1" applyFont="1" applyFill="1" applyBorder="1" applyAlignment="1">
      <alignment horizontal="center" vertical="center"/>
    </xf>
    <xf numFmtId="207" fontId="26" fillId="0" borderId="12" xfId="0" applyNumberFormat="1" applyFont="1" applyFill="1" applyBorder="1" applyAlignment="1">
      <alignment horizontal="center" vertical="center"/>
    </xf>
    <xf numFmtId="206" fontId="26" fillId="0" borderId="7" xfId="0" applyNumberFormat="1" applyFont="1" applyFill="1" applyBorder="1" applyAlignment="1" quotePrefix="1">
      <alignment horizontal="center" vertical="center"/>
    </xf>
  </cellXfs>
  <cellStyles count="26">
    <cellStyle name="Normal" xfId="0"/>
    <cellStyle name="Comma" xfId="15"/>
    <cellStyle name="Comma [0]_laroux" xfId="16"/>
    <cellStyle name="Comma_단면특성 (정) (2)" xfId="17"/>
    <cellStyle name="Currency" xfId="18"/>
    <cellStyle name="Currency [0]_laroux" xfId="19"/>
    <cellStyle name="Currency_단면특성 (정) (2)" xfId="20"/>
    <cellStyle name="Date" xfId="21"/>
    <cellStyle name="Fixed" xfId="22"/>
    <cellStyle name="Heading1" xfId="23"/>
    <cellStyle name="Heading2" xfId="24"/>
    <cellStyle name="Normal_Certs Q2" xfId="25"/>
    <cellStyle name="Percent" xfId="26"/>
    <cellStyle name="Total" xfId="27"/>
    <cellStyle name="Percent" xfId="28"/>
    <cellStyle name="Hyperlink" xfId="29"/>
    <cellStyle name="Comma [0]" xfId="30"/>
    <cellStyle name="Comma" xfId="31"/>
    <cellStyle name="Currency [0]" xfId="32"/>
    <cellStyle name="Currency" xfId="33"/>
    <cellStyle name="Followed Hyperlink" xfId="34"/>
    <cellStyle name="콤마 [0]_12월전화" xfId="35"/>
    <cellStyle name="콤마_12월전화" xfId="36"/>
    <cellStyle name="표준_Stiff" xfId="37"/>
    <cellStyle name="표준_상-보청천교-stb" xfId="38"/>
    <cellStyle name="표준_지점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200025</xdr:rowOff>
    </xdr:from>
    <xdr:to>
      <xdr:col>14</xdr:col>
      <xdr:colOff>19050</xdr:colOff>
      <xdr:row>12</xdr:row>
      <xdr:rowOff>247650</xdr:rowOff>
    </xdr:to>
    <xdr:grpSp>
      <xdr:nvGrpSpPr>
        <xdr:cNvPr id="1" name="Group 9"/>
        <xdr:cNvGrpSpPr>
          <a:grpSpLocks/>
        </xdr:cNvGrpSpPr>
      </xdr:nvGrpSpPr>
      <xdr:grpSpPr>
        <a:xfrm>
          <a:off x="1295400" y="1143000"/>
          <a:ext cx="2190750" cy="2876550"/>
          <a:chOff x="506" y="161"/>
          <a:chExt cx="227" cy="231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506" y="202"/>
            <a:ext cx="183" cy="190"/>
            <a:chOff x="897" y="181"/>
            <a:chExt cx="366" cy="470"/>
          </a:xfrm>
          <a:solidFill>
            <a:srgbClr val="FFFFFF"/>
          </a:solidFill>
        </xdr:grpSpPr>
        <xdr:sp>
          <xdr:nvSpPr>
            <xdr:cNvPr id="3" name="Rectangle 11"/>
            <xdr:cNvSpPr>
              <a:spLocks/>
            </xdr:cNvSpPr>
          </xdr:nvSpPr>
          <xdr:spPr>
            <a:xfrm>
              <a:off x="923" y="189"/>
              <a:ext cx="8" cy="1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4" name="Rectangle 12"/>
            <xdr:cNvSpPr>
              <a:spLocks/>
            </xdr:cNvSpPr>
          </xdr:nvSpPr>
          <xdr:spPr>
            <a:xfrm>
              <a:off x="976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5" name="Rectangle 13"/>
            <xdr:cNvSpPr>
              <a:spLocks/>
            </xdr:cNvSpPr>
          </xdr:nvSpPr>
          <xdr:spPr>
            <a:xfrm>
              <a:off x="1028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6" name="Rectangle 14"/>
            <xdr:cNvSpPr>
              <a:spLocks/>
            </xdr:cNvSpPr>
          </xdr:nvSpPr>
          <xdr:spPr>
            <a:xfrm>
              <a:off x="1080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1132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8" name="Rectangle 16"/>
            <xdr:cNvSpPr>
              <a:spLocks/>
            </xdr:cNvSpPr>
          </xdr:nvSpPr>
          <xdr:spPr>
            <a:xfrm>
              <a:off x="1184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9" name="Rectangle 17"/>
            <xdr:cNvSpPr>
              <a:spLocks/>
            </xdr:cNvSpPr>
          </xdr:nvSpPr>
          <xdr:spPr>
            <a:xfrm>
              <a:off x="1235" y="189"/>
              <a:ext cx="8" cy="1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0" name="Rectangle 18"/>
            <xdr:cNvSpPr>
              <a:spLocks/>
            </xdr:cNvSpPr>
          </xdr:nvSpPr>
          <xdr:spPr>
            <a:xfrm>
              <a:off x="909" y="181"/>
              <a:ext cx="347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1" name="Rectangle 19"/>
            <xdr:cNvSpPr>
              <a:spLocks/>
            </xdr:cNvSpPr>
          </xdr:nvSpPr>
          <xdr:spPr>
            <a:xfrm>
              <a:off x="975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2" name="Rectangle 20"/>
            <xdr:cNvSpPr>
              <a:spLocks/>
            </xdr:cNvSpPr>
          </xdr:nvSpPr>
          <xdr:spPr>
            <a:xfrm>
              <a:off x="1027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3" name="Rectangle 21"/>
            <xdr:cNvSpPr>
              <a:spLocks/>
            </xdr:cNvSpPr>
          </xdr:nvSpPr>
          <xdr:spPr>
            <a:xfrm>
              <a:off x="1079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4" name="Rectangle 22"/>
            <xdr:cNvSpPr>
              <a:spLocks/>
            </xdr:cNvSpPr>
          </xdr:nvSpPr>
          <xdr:spPr>
            <a:xfrm>
              <a:off x="1131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5" name="Rectangle 23"/>
            <xdr:cNvSpPr>
              <a:spLocks/>
            </xdr:cNvSpPr>
          </xdr:nvSpPr>
          <xdr:spPr>
            <a:xfrm>
              <a:off x="1183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6" name="Rectangle 24"/>
            <xdr:cNvSpPr>
              <a:spLocks/>
            </xdr:cNvSpPr>
          </xdr:nvSpPr>
          <xdr:spPr>
            <a:xfrm>
              <a:off x="1235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7" name="Rectangle 25"/>
            <xdr:cNvSpPr>
              <a:spLocks/>
            </xdr:cNvSpPr>
          </xdr:nvSpPr>
          <xdr:spPr>
            <a:xfrm>
              <a:off x="923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8" name="Rectangle 26"/>
            <xdr:cNvSpPr>
              <a:spLocks/>
            </xdr:cNvSpPr>
          </xdr:nvSpPr>
          <xdr:spPr>
            <a:xfrm>
              <a:off x="931" y="387"/>
              <a:ext cx="304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9" name="Rectangle 27"/>
            <xdr:cNvSpPr>
              <a:spLocks/>
            </xdr:cNvSpPr>
          </xdr:nvSpPr>
          <xdr:spPr>
            <a:xfrm>
              <a:off x="931" y="486"/>
              <a:ext cx="304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0" name="Rectangle 28"/>
            <xdr:cNvSpPr>
              <a:spLocks/>
            </xdr:cNvSpPr>
          </xdr:nvSpPr>
          <xdr:spPr>
            <a:xfrm>
              <a:off x="931" y="585"/>
              <a:ext cx="304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1" name="Line 29"/>
            <xdr:cNvSpPr>
              <a:spLocks/>
            </xdr:cNvSpPr>
          </xdr:nvSpPr>
          <xdr:spPr>
            <a:xfrm>
              <a:off x="897" y="321"/>
              <a:ext cx="1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2" name="Line 30"/>
            <xdr:cNvSpPr>
              <a:spLocks/>
            </xdr:cNvSpPr>
          </xdr:nvSpPr>
          <xdr:spPr>
            <a:xfrm>
              <a:off x="1088" y="321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3" name="Line 31"/>
            <xdr:cNvSpPr>
              <a:spLocks/>
            </xdr:cNvSpPr>
          </xdr:nvSpPr>
          <xdr:spPr>
            <a:xfrm>
              <a:off x="1118" y="321"/>
              <a:ext cx="1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4" name="Line 32"/>
            <xdr:cNvSpPr>
              <a:spLocks/>
            </xdr:cNvSpPr>
          </xdr:nvSpPr>
          <xdr:spPr>
            <a:xfrm>
              <a:off x="897" y="355"/>
              <a:ext cx="1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5" name="Line 33"/>
            <xdr:cNvSpPr>
              <a:spLocks/>
            </xdr:cNvSpPr>
          </xdr:nvSpPr>
          <xdr:spPr>
            <a:xfrm>
              <a:off x="1088" y="355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6" name="Line 34"/>
            <xdr:cNvSpPr>
              <a:spLocks/>
            </xdr:cNvSpPr>
          </xdr:nvSpPr>
          <xdr:spPr>
            <a:xfrm>
              <a:off x="1118" y="355"/>
              <a:ext cx="1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7" name="Line 35"/>
            <xdr:cNvSpPr>
              <a:spLocks/>
            </xdr:cNvSpPr>
          </xdr:nvSpPr>
          <xdr:spPr>
            <a:xfrm>
              <a:off x="897" y="651"/>
              <a:ext cx="1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8" name="Line 36"/>
            <xdr:cNvSpPr>
              <a:spLocks/>
            </xdr:cNvSpPr>
          </xdr:nvSpPr>
          <xdr:spPr>
            <a:xfrm>
              <a:off x="1088" y="651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9" name="Line 37"/>
            <xdr:cNvSpPr>
              <a:spLocks/>
            </xdr:cNvSpPr>
          </xdr:nvSpPr>
          <xdr:spPr>
            <a:xfrm>
              <a:off x="1118" y="651"/>
              <a:ext cx="1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sp>
        <xdr:nvSpPr>
          <xdr:cNvPr id="30" name="Line 38"/>
          <xdr:cNvSpPr>
            <a:spLocks/>
          </xdr:cNvSpPr>
        </xdr:nvSpPr>
        <xdr:spPr>
          <a:xfrm>
            <a:off x="687" y="28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9"/>
          <xdr:cNvSpPr>
            <a:spLocks/>
          </xdr:cNvSpPr>
        </xdr:nvSpPr>
        <xdr:spPr>
          <a:xfrm>
            <a:off x="687" y="32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Line 40"/>
          <xdr:cNvSpPr>
            <a:spLocks/>
          </xdr:cNvSpPr>
        </xdr:nvSpPr>
        <xdr:spPr>
          <a:xfrm>
            <a:off x="686" y="367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41"/>
          <xdr:cNvSpPr>
            <a:spLocks/>
          </xdr:cNvSpPr>
        </xdr:nvSpPr>
        <xdr:spPr>
          <a:xfrm>
            <a:off x="523" y="165"/>
            <a:ext cx="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Line 42"/>
          <xdr:cNvSpPr>
            <a:spLocks/>
          </xdr:cNvSpPr>
        </xdr:nvSpPr>
        <xdr:spPr>
          <a:xfrm>
            <a:off x="728" y="287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5" name="Line 43"/>
          <xdr:cNvSpPr>
            <a:spLocks/>
          </xdr:cNvSpPr>
        </xdr:nvSpPr>
        <xdr:spPr>
          <a:xfrm flipV="1">
            <a:off x="522" y="161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Line 44"/>
          <xdr:cNvSpPr>
            <a:spLocks/>
          </xdr:cNvSpPr>
        </xdr:nvSpPr>
        <xdr:spPr>
          <a:xfrm flipV="1">
            <a:off x="725" y="284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45"/>
          <xdr:cNvSpPr>
            <a:spLocks/>
          </xdr:cNvSpPr>
        </xdr:nvSpPr>
        <xdr:spPr>
          <a:xfrm flipV="1">
            <a:off x="725" y="324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46"/>
          <xdr:cNvSpPr>
            <a:spLocks/>
          </xdr:cNvSpPr>
        </xdr:nvSpPr>
        <xdr:spPr>
          <a:xfrm flipV="1">
            <a:off x="672" y="161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47"/>
          <xdr:cNvSpPr>
            <a:spLocks/>
          </xdr:cNvSpPr>
        </xdr:nvSpPr>
        <xdr:spPr>
          <a:xfrm flipV="1">
            <a:off x="726" y="364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8"/>
          <xdr:cNvSpPr>
            <a:spLocks/>
          </xdr:cNvSpPr>
        </xdr:nvSpPr>
        <xdr:spPr>
          <a:xfrm>
            <a:off x="690" y="202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9"/>
          <xdr:cNvSpPr>
            <a:spLocks/>
          </xdr:cNvSpPr>
        </xdr:nvSpPr>
        <xdr:spPr>
          <a:xfrm>
            <a:off x="690" y="205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50"/>
          <xdr:cNvSpPr>
            <a:spLocks/>
          </xdr:cNvSpPr>
        </xdr:nvSpPr>
        <xdr:spPr>
          <a:xfrm flipV="1">
            <a:off x="728" y="168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Line 51"/>
          <xdr:cNvSpPr>
            <a:spLocks/>
          </xdr:cNvSpPr>
        </xdr:nvSpPr>
        <xdr:spPr>
          <a:xfrm flipV="1">
            <a:off x="725" y="199"/>
            <a:ext cx="6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4" name="Line 52"/>
          <xdr:cNvSpPr>
            <a:spLocks/>
          </xdr:cNvSpPr>
        </xdr:nvSpPr>
        <xdr:spPr>
          <a:xfrm flipV="1">
            <a:off x="725" y="202"/>
            <a:ext cx="6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Line 53"/>
          <xdr:cNvSpPr>
            <a:spLocks/>
          </xdr:cNvSpPr>
        </xdr:nvSpPr>
        <xdr:spPr>
          <a:xfrm flipV="1">
            <a:off x="524" y="162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Line 54"/>
          <xdr:cNvSpPr>
            <a:spLocks/>
          </xdr:cNvSpPr>
        </xdr:nvSpPr>
        <xdr:spPr>
          <a:xfrm flipV="1">
            <a:off x="675" y="161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47</xdr:row>
      <xdr:rowOff>0</xdr:rowOff>
    </xdr:from>
    <xdr:to>
      <xdr:col>26</xdr:col>
      <xdr:colOff>19050</xdr:colOff>
      <xdr:row>50</xdr:row>
      <xdr:rowOff>19050</xdr:rowOff>
    </xdr:to>
    <xdr:grpSp>
      <xdr:nvGrpSpPr>
        <xdr:cNvPr id="47" name="Group 55"/>
        <xdr:cNvGrpSpPr>
          <a:grpSpLocks/>
        </xdr:cNvGrpSpPr>
      </xdr:nvGrpSpPr>
      <xdr:grpSpPr>
        <a:xfrm>
          <a:off x="3714750" y="14773275"/>
          <a:ext cx="2743200" cy="962025"/>
          <a:chOff x="390" y="1518"/>
          <a:chExt cx="288" cy="101"/>
        </a:xfrm>
        <a:solidFill>
          <a:srgbClr val="FFFFFF"/>
        </a:solidFill>
      </xdr:grpSpPr>
      <xdr:sp>
        <xdr:nvSpPr>
          <xdr:cNvPr id="48" name="Line 56"/>
          <xdr:cNvSpPr>
            <a:spLocks/>
          </xdr:cNvSpPr>
        </xdr:nvSpPr>
        <xdr:spPr>
          <a:xfrm>
            <a:off x="390" y="1543"/>
            <a:ext cx="2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Line 57"/>
          <xdr:cNvSpPr>
            <a:spLocks/>
          </xdr:cNvSpPr>
        </xdr:nvSpPr>
        <xdr:spPr>
          <a:xfrm>
            <a:off x="390" y="1551"/>
            <a:ext cx="2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Line 58"/>
          <xdr:cNvSpPr>
            <a:spLocks/>
          </xdr:cNvSpPr>
        </xdr:nvSpPr>
        <xdr:spPr>
          <a:xfrm>
            <a:off x="624" y="1542"/>
            <a:ext cx="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Line 59"/>
          <xdr:cNvSpPr>
            <a:spLocks/>
          </xdr:cNvSpPr>
        </xdr:nvSpPr>
        <xdr:spPr>
          <a:xfrm>
            <a:off x="624" y="1551"/>
            <a:ext cx="5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Line 60"/>
          <xdr:cNvSpPr>
            <a:spLocks/>
          </xdr:cNvSpPr>
        </xdr:nvSpPr>
        <xdr:spPr>
          <a:xfrm>
            <a:off x="492" y="1551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3" name="Line 61"/>
          <xdr:cNvSpPr>
            <a:spLocks/>
          </xdr:cNvSpPr>
        </xdr:nvSpPr>
        <xdr:spPr>
          <a:xfrm>
            <a:off x="498" y="1551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4" name="Line 62"/>
          <xdr:cNvSpPr>
            <a:spLocks/>
          </xdr:cNvSpPr>
        </xdr:nvSpPr>
        <xdr:spPr>
          <a:xfrm>
            <a:off x="468" y="1584"/>
            <a:ext cx="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Line 63"/>
          <xdr:cNvSpPr>
            <a:spLocks/>
          </xdr:cNvSpPr>
        </xdr:nvSpPr>
        <xdr:spPr>
          <a:xfrm>
            <a:off x="468" y="1589"/>
            <a:ext cx="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6" name="Line 64"/>
          <xdr:cNvSpPr>
            <a:spLocks/>
          </xdr:cNvSpPr>
        </xdr:nvSpPr>
        <xdr:spPr>
          <a:xfrm>
            <a:off x="390" y="1532"/>
            <a:ext cx="0" cy="33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7" name="Line 65"/>
          <xdr:cNvSpPr>
            <a:spLocks/>
          </xdr:cNvSpPr>
        </xdr:nvSpPr>
        <xdr:spPr>
          <a:xfrm>
            <a:off x="597" y="1528"/>
            <a:ext cx="0" cy="33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Line 66"/>
          <xdr:cNvSpPr>
            <a:spLocks/>
          </xdr:cNvSpPr>
        </xdr:nvSpPr>
        <xdr:spPr>
          <a:xfrm>
            <a:off x="676" y="1518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9" name="Line 67"/>
          <xdr:cNvSpPr>
            <a:spLocks/>
          </xdr:cNvSpPr>
        </xdr:nvSpPr>
        <xdr:spPr>
          <a:xfrm>
            <a:off x="468" y="1584"/>
            <a:ext cx="0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0" name="Line 68"/>
          <xdr:cNvSpPr>
            <a:spLocks/>
          </xdr:cNvSpPr>
        </xdr:nvSpPr>
        <xdr:spPr>
          <a:xfrm>
            <a:off x="520" y="1584"/>
            <a:ext cx="0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Line 69"/>
          <xdr:cNvSpPr>
            <a:spLocks/>
          </xdr:cNvSpPr>
        </xdr:nvSpPr>
        <xdr:spPr>
          <a:xfrm>
            <a:off x="536" y="158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Line 70"/>
          <xdr:cNvSpPr>
            <a:spLocks/>
          </xdr:cNvSpPr>
        </xdr:nvSpPr>
        <xdr:spPr>
          <a:xfrm>
            <a:off x="536" y="158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Line 71"/>
          <xdr:cNvSpPr>
            <a:spLocks/>
          </xdr:cNvSpPr>
        </xdr:nvSpPr>
        <xdr:spPr>
          <a:xfrm>
            <a:off x="572" y="1551"/>
            <a:ext cx="0" cy="6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Line 72"/>
          <xdr:cNvSpPr>
            <a:spLocks/>
          </xdr:cNvSpPr>
        </xdr:nvSpPr>
        <xdr:spPr>
          <a:xfrm>
            <a:off x="468" y="1598"/>
            <a:ext cx="0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Line 73"/>
          <xdr:cNvSpPr>
            <a:spLocks/>
          </xdr:cNvSpPr>
        </xdr:nvSpPr>
        <xdr:spPr>
          <a:xfrm>
            <a:off x="520" y="1598"/>
            <a:ext cx="0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Line 74"/>
          <xdr:cNvSpPr>
            <a:spLocks/>
          </xdr:cNvSpPr>
        </xdr:nvSpPr>
        <xdr:spPr>
          <a:xfrm>
            <a:off x="468" y="1617"/>
            <a:ext cx="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7" name="Oval 75"/>
          <xdr:cNvSpPr>
            <a:spLocks/>
          </xdr:cNvSpPr>
        </xdr:nvSpPr>
        <xdr:spPr>
          <a:xfrm>
            <a:off x="570" y="1587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Oval 76"/>
          <xdr:cNvSpPr>
            <a:spLocks/>
          </xdr:cNvSpPr>
        </xdr:nvSpPr>
        <xdr:spPr>
          <a:xfrm>
            <a:off x="490" y="1584"/>
            <a:ext cx="4" cy="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Oval 77"/>
          <xdr:cNvSpPr>
            <a:spLocks/>
          </xdr:cNvSpPr>
        </xdr:nvSpPr>
        <xdr:spPr>
          <a:xfrm>
            <a:off x="674" y="154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0" name="Line 78"/>
          <xdr:cNvSpPr>
            <a:spLocks/>
          </xdr:cNvSpPr>
        </xdr:nvSpPr>
        <xdr:spPr>
          <a:xfrm>
            <a:off x="451" y="1576"/>
            <a:ext cx="7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Oval 79"/>
          <xdr:cNvSpPr>
            <a:spLocks/>
          </xdr:cNvSpPr>
        </xdr:nvSpPr>
        <xdr:spPr>
          <a:xfrm>
            <a:off x="496" y="1584"/>
            <a:ext cx="4" cy="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Oval 80"/>
          <xdr:cNvSpPr>
            <a:spLocks/>
          </xdr:cNvSpPr>
        </xdr:nvSpPr>
        <xdr:spPr>
          <a:xfrm>
            <a:off x="674" y="1549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Oval 81"/>
          <xdr:cNvSpPr>
            <a:spLocks/>
          </xdr:cNvSpPr>
        </xdr:nvSpPr>
        <xdr:spPr>
          <a:xfrm>
            <a:off x="570" y="158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Oval 82"/>
          <xdr:cNvSpPr>
            <a:spLocks/>
          </xdr:cNvSpPr>
        </xdr:nvSpPr>
        <xdr:spPr>
          <a:xfrm>
            <a:off x="466" y="161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Oval 83"/>
          <xdr:cNvSpPr>
            <a:spLocks/>
          </xdr:cNvSpPr>
        </xdr:nvSpPr>
        <xdr:spPr>
          <a:xfrm>
            <a:off x="490" y="157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6" name="Oval 84"/>
          <xdr:cNvSpPr>
            <a:spLocks/>
          </xdr:cNvSpPr>
        </xdr:nvSpPr>
        <xdr:spPr>
          <a:xfrm>
            <a:off x="518" y="1615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7" name="Oval 85"/>
          <xdr:cNvSpPr>
            <a:spLocks/>
          </xdr:cNvSpPr>
        </xdr:nvSpPr>
        <xdr:spPr>
          <a:xfrm>
            <a:off x="496" y="157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23</xdr:row>
      <xdr:rowOff>0</xdr:rowOff>
    </xdr:from>
    <xdr:to>
      <xdr:col>10</xdr:col>
      <xdr:colOff>228600</xdr:colOff>
      <xdr:row>25</xdr:row>
      <xdr:rowOff>57150</xdr:rowOff>
    </xdr:to>
    <xdr:grpSp>
      <xdr:nvGrpSpPr>
        <xdr:cNvPr id="78" name="Group 86"/>
        <xdr:cNvGrpSpPr>
          <a:grpSpLocks/>
        </xdr:cNvGrpSpPr>
      </xdr:nvGrpSpPr>
      <xdr:grpSpPr>
        <a:xfrm>
          <a:off x="1790700" y="7229475"/>
          <a:ext cx="914400" cy="685800"/>
          <a:chOff x="509" y="768"/>
          <a:chExt cx="124" cy="76"/>
        </a:xfrm>
        <a:solidFill>
          <a:srgbClr val="FFFFFF"/>
        </a:solidFill>
      </xdr:grpSpPr>
      <xdr:sp>
        <xdr:nvSpPr>
          <xdr:cNvPr id="79" name="AutoShape 87"/>
          <xdr:cNvSpPr>
            <a:spLocks/>
          </xdr:cNvSpPr>
        </xdr:nvSpPr>
        <xdr:spPr>
          <a:xfrm>
            <a:off x="566" y="819"/>
            <a:ext cx="2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
</a:t>
            </a:r>
          </a:p>
        </xdr:txBody>
      </xdr:sp>
      <xdr:grpSp>
        <xdr:nvGrpSpPr>
          <xdr:cNvPr id="80" name="Group 88"/>
          <xdr:cNvGrpSpPr>
            <a:grpSpLocks/>
          </xdr:cNvGrpSpPr>
        </xdr:nvGrpSpPr>
        <xdr:grpSpPr>
          <a:xfrm>
            <a:off x="509" y="768"/>
            <a:ext cx="124" cy="76"/>
            <a:chOff x="509" y="768"/>
            <a:chExt cx="124" cy="76"/>
          </a:xfrm>
          <a:solidFill>
            <a:srgbClr val="FFFFFF"/>
          </a:solidFill>
        </xdr:grpSpPr>
        <xdr:sp>
          <xdr:nvSpPr>
            <xdr:cNvPr id="81" name="AutoShape 89"/>
            <xdr:cNvSpPr>
              <a:spLocks/>
            </xdr:cNvSpPr>
          </xdr:nvSpPr>
          <xdr:spPr>
            <a:xfrm>
              <a:off x="509" y="779"/>
              <a:ext cx="22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1" u="none" baseline="0">
                  <a:solidFill>
                    <a:srgbClr val="000000"/>
                  </a:solidFill>
                </a:rPr>
                <a:t></a:t>
              </a:r>
            </a:p>
          </xdr:txBody>
        </xdr:sp>
        <xdr:sp>
          <xdr:nvSpPr>
            <xdr:cNvPr id="82" name="AutoShape 90"/>
            <xdr:cNvSpPr>
              <a:spLocks/>
            </xdr:cNvSpPr>
          </xdr:nvSpPr>
          <xdr:spPr>
            <a:xfrm>
              <a:off x="523" y="791"/>
              <a:ext cx="12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83" name="AutoShape 91"/>
            <xdr:cNvSpPr>
              <a:spLocks/>
            </xdr:cNvSpPr>
          </xdr:nvSpPr>
          <xdr:spPr>
            <a:xfrm>
              <a:off x="584" y="776"/>
              <a:ext cx="12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84" name="AutoShape 92"/>
            <xdr:cNvSpPr>
              <a:spLocks/>
            </xdr:cNvSpPr>
          </xdr:nvSpPr>
          <xdr:spPr>
            <a:xfrm>
              <a:off x="582" y="794"/>
              <a:ext cx="13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3</a:t>
              </a:r>
            </a:p>
          </xdr:txBody>
        </xdr:sp>
        <xdr:sp>
          <xdr:nvSpPr>
            <xdr:cNvPr id="85" name="AutoShape 93"/>
            <xdr:cNvSpPr>
              <a:spLocks/>
            </xdr:cNvSpPr>
          </xdr:nvSpPr>
          <xdr:spPr>
            <a:xfrm>
              <a:off x="584" y="806"/>
              <a:ext cx="4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86" name="AutoShape 94"/>
            <xdr:cNvSpPr>
              <a:spLocks/>
            </xdr:cNvSpPr>
          </xdr:nvSpPr>
          <xdr:spPr>
            <a:xfrm>
              <a:off x="537" y="781"/>
              <a:ext cx="16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</a:t>
              </a:r>
            </a:p>
          </xdr:txBody>
        </xdr:sp>
        <xdr:sp>
          <xdr:nvSpPr>
            <xdr:cNvPr id="87" name="AutoShape 95"/>
            <xdr:cNvSpPr>
              <a:spLocks/>
            </xdr:cNvSpPr>
          </xdr:nvSpPr>
          <xdr:spPr>
            <a:xfrm>
              <a:off x="617" y="782"/>
              <a:ext cx="16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</a:t>
              </a:r>
            </a:p>
          </xdr:txBody>
        </xdr:sp>
        <xdr:sp>
          <xdr:nvSpPr>
            <xdr:cNvPr id="88" name="AutoShape 96"/>
            <xdr:cNvSpPr>
              <a:spLocks/>
            </xdr:cNvSpPr>
          </xdr:nvSpPr>
          <xdr:spPr>
            <a:xfrm>
              <a:off x="576" y="768"/>
              <a:ext cx="18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1" u="none" baseline="0">
                  <a:solidFill>
                    <a:srgbClr val="000000"/>
                  </a:solidFill>
                </a:rPr>
                <a:t>I</a:t>
              </a:r>
            </a:p>
          </xdr:txBody>
        </xdr:sp>
        <xdr:sp>
          <xdr:nvSpPr>
            <xdr:cNvPr id="89" name="AutoShape 97"/>
            <xdr:cNvSpPr>
              <a:spLocks/>
            </xdr:cNvSpPr>
          </xdr:nvSpPr>
          <xdr:spPr>
            <a:xfrm>
              <a:off x="566" y="797"/>
              <a:ext cx="35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1" u="none" baseline="0">
                  <a:solidFill>
                    <a:srgbClr val="000000"/>
                  </a:solidFill>
                </a:rPr>
                <a:t>bt</a:t>
              </a:r>
            </a:p>
          </xdr:txBody>
        </xdr:sp>
        <xdr:sp>
          <xdr:nvSpPr>
            <xdr:cNvPr id="90" name="Line 98"/>
            <xdr:cNvSpPr>
              <a:spLocks/>
            </xdr:cNvSpPr>
          </xdr:nvSpPr>
          <xdr:spPr>
            <a:xfrm>
              <a:off x="556" y="791"/>
              <a:ext cx="4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91" name="Line 99"/>
            <xdr:cNvSpPr>
              <a:spLocks/>
            </xdr:cNvSpPr>
          </xdr:nvSpPr>
          <xdr:spPr>
            <a:xfrm>
              <a:off x="560" y="816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39</xdr:row>
      <xdr:rowOff>266700</xdr:rowOff>
    </xdr:from>
    <xdr:to>
      <xdr:col>7</xdr:col>
      <xdr:colOff>95250</xdr:colOff>
      <xdr:row>41</xdr:row>
      <xdr:rowOff>66675</xdr:rowOff>
    </xdr:to>
    <xdr:grpSp>
      <xdr:nvGrpSpPr>
        <xdr:cNvPr id="92" name="Group 100"/>
        <xdr:cNvGrpSpPr>
          <a:grpSpLocks/>
        </xdr:cNvGrpSpPr>
      </xdr:nvGrpSpPr>
      <xdr:grpSpPr>
        <a:xfrm>
          <a:off x="495300" y="12525375"/>
          <a:ext cx="1333500" cy="428625"/>
          <a:chOff x="469" y="1223"/>
          <a:chExt cx="140" cy="45"/>
        </a:xfrm>
        <a:solidFill>
          <a:srgbClr val="FFFFFF"/>
        </a:solidFill>
      </xdr:grpSpPr>
      <xdr:sp>
        <xdr:nvSpPr>
          <xdr:cNvPr id="93" name="AutoShape 101"/>
          <xdr:cNvSpPr>
            <a:spLocks/>
          </xdr:cNvSpPr>
        </xdr:nvSpPr>
        <xdr:spPr>
          <a:xfrm>
            <a:off x="469" y="1235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</a:t>
            </a:r>
          </a:p>
        </xdr:txBody>
      </xdr:sp>
      <xdr:sp>
        <xdr:nvSpPr>
          <xdr:cNvPr id="94" name="AutoShape 102"/>
          <xdr:cNvSpPr>
            <a:spLocks/>
          </xdr:cNvSpPr>
        </xdr:nvSpPr>
        <xdr:spPr>
          <a:xfrm>
            <a:off x="536" y="1225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bt</a:t>
            </a:r>
          </a:p>
        </xdr:txBody>
      </xdr:sp>
      <xdr:sp>
        <xdr:nvSpPr>
          <xdr:cNvPr id="95" name="AutoShape 103"/>
          <xdr:cNvSpPr>
            <a:spLocks/>
          </xdr:cNvSpPr>
        </xdr:nvSpPr>
        <xdr:spPr>
          <a:xfrm>
            <a:off x="483" y="1246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req</a:t>
            </a:r>
          </a:p>
        </xdr:txBody>
      </xdr:sp>
      <xdr:sp>
        <xdr:nvSpPr>
          <xdr:cNvPr id="96" name="AutoShape 104"/>
          <xdr:cNvSpPr>
            <a:spLocks/>
          </xdr:cNvSpPr>
        </xdr:nvSpPr>
        <xdr:spPr>
          <a:xfrm>
            <a:off x="475" y="1244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97" name="AutoShape 105"/>
          <xdr:cNvSpPr>
            <a:spLocks/>
          </xdr:cNvSpPr>
        </xdr:nvSpPr>
        <xdr:spPr>
          <a:xfrm>
            <a:off x="551" y="1223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98" name="AutoShape 106"/>
          <xdr:cNvSpPr>
            <a:spLocks/>
          </xdr:cNvSpPr>
        </xdr:nvSpPr>
        <xdr:spPr>
          <a:xfrm>
            <a:off x="577" y="1245"/>
            <a:ext cx="2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l req</a:t>
            </a:r>
          </a:p>
        </xdr:txBody>
      </xdr:sp>
      <xdr:sp>
        <xdr:nvSpPr>
          <xdr:cNvPr id="99" name="AutoShape 107"/>
          <xdr:cNvSpPr>
            <a:spLocks/>
          </xdr:cNvSpPr>
        </xdr:nvSpPr>
        <xdr:spPr>
          <a:xfrm>
            <a:off x="532" y="1247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100" name="AutoShape 108"/>
          <xdr:cNvSpPr>
            <a:spLocks/>
          </xdr:cNvSpPr>
        </xdr:nvSpPr>
        <xdr:spPr>
          <a:xfrm>
            <a:off x="479" y="1244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</a:p>
        </xdr:txBody>
      </xdr:sp>
      <xdr:sp>
        <xdr:nvSpPr>
          <xdr:cNvPr id="101" name="AutoShape 109"/>
          <xdr:cNvSpPr>
            <a:spLocks/>
          </xdr:cNvSpPr>
        </xdr:nvSpPr>
        <xdr:spPr>
          <a:xfrm>
            <a:off x="496" y="1244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102" name="AutoShape 110"/>
          <xdr:cNvSpPr>
            <a:spLocks/>
          </xdr:cNvSpPr>
        </xdr:nvSpPr>
        <xdr:spPr>
          <a:xfrm>
            <a:off x="505" y="1235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03" name="AutoShape 111"/>
          <xdr:cNvSpPr>
            <a:spLocks/>
          </xdr:cNvSpPr>
        </xdr:nvSpPr>
        <xdr:spPr>
          <a:xfrm>
            <a:off x="602" y="1233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04" name="AutoShape 112"/>
          <xdr:cNvSpPr>
            <a:spLocks/>
          </xdr:cNvSpPr>
        </xdr:nvSpPr>
        <xdr:spPr>
          <a:xfrm>
            <a:off x="566" y="1234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</a:t>
            </a:r>
          </a:p>
        </xdr:txBody>
      </xdr:sp>
      <xdr:sp>
        <xdr:nvSpPr>
          <xdr:cNvPr id="105" name="Line 113"/>
          <xdr:cNvSpPr>
            <a:spLocks/>
          </xdr:cNvSpPr>
        </xdr:nvSpPr>
        <xdr:spPr>
          <a:xfrm>
            <a:off x="527" y="124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73</xdr:row>
      <xdr:rowOff>0</xdr:rowOff>
    </xdr:from>
    <xdr:to>
      <xdr:col>7</xdr:col>
      <xdr:colOff>85725</xdr:colOff>
      <xdr:row>74</xdr:row>
      <xdr:rowOff>114300</xdr:rowOff>
    </xdr:to>
    <xdr:grpSp>
      <xdr:nvGrpSpPr>
        <xdr:cNvPr id="106" name="Group 114"/>
        <xdr:cNvGrpSpPr>
          <a:grpSpLocks/>
        </xdr:cNvGrpSpPr>
      </xdr:nvGrpSpPr>
      <xdr:grpSpPr>
        <a:xfrm>
          <a:off x="485775" y="22945725"/>
          <a:ext cx="1333500" cy="428625"/>
          <a:chOff x="499" y="2508"/>
          <a:chExt cx="140" cy="45"/>
        </a:xfrm>
        <a:solidFill>
          <a:srgbClr val="FFFFFF"/>
        </a:solidFill>
      </xdr:grpSpPr>
      <xdr:sp>
        <xdr:nvSpPr>
          <xdr:cNvPr id="107" name="AutoShape 115"/>
          <xdr:cNvSpPr>
            <a:spLocks/>
          </xdr:cNvSpPr>
        </xdr:nvSpPr>
        <xdr:spPr>
          <a:xfrm>
            <a:off x="499" y="2520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</a:t>
            </a:r>
          </a:p>
        </xdr:txBody>
      </xdr:sp>
      <xdr:sp>
        <xdr:nvSpPr>
          <xdr:cNvPr id="108" name="AutoShape 116"/>
          <xdr:cNvSpPr>
            <a:spLocks/>
          </xdr:cNvSpPr>
        </xdr:nvSpPr>
        <xdr:spPr>
          <a:xfrm>
            <a:off x="566" y="2510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bt</a:t>
            </a:r>
          </a:p>
        </xdr:txBody>
      </xdr:sp>
      <xdr:sp>
        <xdr:nvSpPr>
          <xdr:cNvPr id="109" name="AutoShape 117"/>
          <xdr:cNvSpPr>
            <a:spLocks/>
          </xdr:cNvSpPr>
        </xdr:nvSpPr>
        <xdr:spPr>
          <a:xfrm>
            <a:off x="513" y="2531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req</a:t>
            </a:r>
          </a:p>
        </xdr:txBody>
      </xdr:sp>
      <xdr:sp>
        <xdr:nvSpPr>
          <xdr:cNvPr id="110" name="AutoShape 118"/>
          <xdr:cNvSpPr>
            <a:spLocks/>
          </xdr:cNvSpPr>
        </xdr:nvSpPr>
        <xdr:spPr>
          <a:xfrm>
            <a:off x="505" y="2529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111" name="AutoShape 119"/>
          <xdr:cNvSpPr>
            <a:spLocks/>
          </xdr:cNvSpPr>
        </xdr:nvSpPr>
        <xdr:spPr>
          <a:xfrm>
            <a:off x="581" y="2508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12" name="AutoShape 120"/>
          <xdr:cNvSpPr>
            <a:spLocks/>
          </xdr:cNvSpPr>
        </xdr:nvSpPr>
        <xdr:spPr>
          <a:xfrm>
            <a:off x="607" y="2530"/>
            <a:ext cx="2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 req</a:t>
            </a:r>
          </a:p>
        </xdr:txBody>
      </xdr:sp>
      <xdr:sp>
        <xdr:nvSpPr>
          <xdr:cNvPr id="113" name="AutoShape 121"/>
          <xdr:cNvSpPr>
            <a:spLocks/>
          </xdr:cNvSpPr>
        </xdr:nvSpPr>
        <xdr:spPr>
          <a:xfrm>
            <a:off x="562" y="2532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114" name="AutoShape 122"/>
          <xdr:cNvSpPr>
            <a:spLocks/>
          </xdr:cNvSpPr>
        </xdr:nvSpPr>
        <xdr:spPr>
          <a:xfrm>
            <a:off x="509" y="2529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</a:p>
        </xdr:txBody>
      </xdr:sp>
      <xdr:sp>
        <xdr:nvSpPr>
          <xdr:cNvPr id="115" name="AutoShape 123"/>
          <xdr:cNvSpPr>
            <a:spLocks/>
          </xdr:cNvSpPr>
        </xdr:nvSpPr>
        <xdr:spPr>
          <a:xfrm>
            <a:off x="526" y="2529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116" name="AutoShape 124"/>
          <xdr:cNvSpPr>
            <a:spLocks/>
          </xdr:cNvSpPr>
        </xdr:nvSpPr>
        <xdr:spPr>
          <a:xfrm>
            <a:off x="535" y="2520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17" name="AutoShape 125"/>
          <xdr:cNvSpPr>
            <a:spLocks/>
          </xdr:cNvSpPr>
        </xdr:nvSpPr>
        <xdr:spPr>
          <a:xfrm>
            <a:off x="632" y="2518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18" name="AutoShape 126"/>
          <xdr:cNvSpPr>
            <a:spLocks/>
          </xdr:cNvSpPr>
        </xdr:nvSpPr>
        <xdr:spPr>
          <a:xfrm>
            <a:off x="596" y="2519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</a:t>
            </a:r>
          </a:p>
        </xdr:txBody>
      </xdr:sp>
      <xdr:sp>
        <xdr:nvSpPr>
          <xdr:cNvPr id="119" name="Line 127"/>
          <xdr:cNvSpPr>
            <a:spLocks/>
          </xdr:cNvSpPr>
        </xdr:nvSpPr>
        <xdr:spPr>
          <a:xfrm>
            <a:off x="557" y="253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90</xdr:row>
      <xdr:rowOff>295275</xdr:rowOff>
    </xdr:from>
    <xdr:to>
      <xdr:col>6</xdr:col>
      <xdr:colOff>219075</xdr:colOff>
      <xdr:row>92</xdr:row>
      <xdr:rowOff>95250</xdr:rowOff>
    </xdr:to>
    <xdr:grpSp>
      <xdr:nvGrpSpPr>
        <xdr:cNvPr id="120" name="Group 128"/>
        <xdr:cNvGrpSpPr>
          <a:grpSpLocks/>
        </xdr:cNvGrpSpPr>
      </xdr:nvGrpSpPr>
      <xdr:grpSpPr>
        <a:xfrm>
          <a:off x="495300" y="28584525"/>
          <a:ext cx="1209675" cy="428625"/>
          <a:chOff x="52" y="3001"/>
          <a:chExt cx="127" cy="45"/>
        </a:xfrm>
        <a:solidFill>
          <a:srgbClr val="FFFFFF"/>
        </a:solidFill>
      </xdr:grpSpPr>
      <xdr:sp>
        <xdr:nvSpPr>
          <xdr:cNvPr id="121" name="AutoShape 129"/>
          <xdr:cNvSpPr>
            <a:spLocks/>
          </xdr:cNvSpPr>
        </xdr:nvSpPr>
        <xdr:spPr>
          <a:xfrm>
            <a:off x="52" y="3015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</a:t>
            </a:r>
          </a:p>
        </xdr:txBody>
      </xdr:sp>
      <xdr:sp>
        <xdr:nvSpPr>
          <xdr:cNvPr id="122" name="AutoShape 130"/>
          <xdr:cNvSpPr>
            <a:spLocks/>
          </xdr:cNvSpPr>
        </xdr:nvSpPr>
        <xdr:spPr>
          <a:xfrm>
            <a:off x="115" y="3003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bt</a:t>
            </a:r>
          </a:p>
        </xdr:txBody>
      </xdr:sp>
      <xdr:sp>
        <xdr:nvSpPr>
          <xdr:cNvPr id="123" name="AutoShape 131"/>
          <xdr:cNvSpPr>
            <a:spLocks/>
          </xdr:cNvSpPr>
        </xdr:nvSpPr>
        <xdr:spPr>
          <a:xfrm>
            <a:off x="70" y="3024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req</a:t>
            </a:r>
          </a:p>
        </xdr:txBody>
      </xdr:sp>
      <xdr:sp>
        <xdr:nvSpPr>
          <xdr:cNvPr id="124" name="AutoShape 132"/>
          <xdr:cNvSpPr>
            <a:spLocks/>
          </xdr:cNvSpPr>
        </xdr:nvSpPr>
        <xdr:spPr>
          <a:xfrm>
            <a:off x="61" y="3022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25" name="AutoShape 133"/>
          <xdr:cNvSpPr>
            <a:spLocks/>
          </xdr:cNvSpPr>
        </xdr:nvSpPr>
        <xdr:spPr>
          <a:xfrm>
            <a:off x="128" y="3001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26" name="AutoShape 134"/>
          <xdr:cNvSpPr>
            <a:spLocks/>
          </xdr:cNvSpPr>
        </xdr:nvSpPr>
        <xdr:spPr>
          <a:xfrm>
            <a:off x="151" y="3023"/>
            <a:ext cx="1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h req</a:t>
            </a:r>
          </a:p>
        </xdr:txBody>
      </xdr:sp>
      <xdr:sp>
        <xdr:nvSpPr>
          <xdr:cNvPr id="127" name="AutoShape 135"/>
          <xdr:cNvSpPr>
            <a:spLocks/>
          </xdr:cNvSpPr>
        </xdr:nvSpPr>
        <xdr:spPr>
          <a:xfrm>
            <a:off x="112" y="3025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128" name="AutoShape 136"/>
          <xdr:cNvSpPr>
            <a:spLocks/>
          </xdr:cNvSpPr>
        </xdr:nvSpPr>
        <xdr:spPr>
          <a:xfrm>
            <a:off x="67" y="3022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</a:p>
        </xdr:txBody>
      </xdr:sp>
      <xdr:sp>
        <xdr:nvSpPr>
          <xdr:cNvPr id="129" name="AutoShape 137"/>
          <xdr:cNvSpPr>
            <a:spLocks/>
          </xdr:cNvSpPr>
        </xdr:nvSpPr>
        <xdr:spPr>
          <a:xfrm>
            <a:off x="81" y="3022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130" name="AutoShape 138"/>
          <xdr:cNvSpPr>
            <a:spLocks/>
          </xdr:cNvSpPr>
        </xdr:nvSpPr>
        <xdr:spPr>
          <a:xfrm>
            <a:off x="89" y="3013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31" name="AutoShape 139"/>
          <xdr:cNvSpPr>
            <a:spLocks/>
          </xdr:cNvSpPr>
        </xdr:nvSpPr>
        <xdr:spPr>
          <a:xfrm>
            <a:off x="172" y="3011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32" name="AutoShape 140"/>
          <xdr:cNvSpPr>
            <a:spLocks/>
          </xdr:cNvSpPr>
        </xdr:nvSpPr>
        <xdr:spPr>
          <a:xfrm>
            <a:off x="141" y="3012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</a:t>
            </a:r>
          </a:p>
        </xdr:txBody>
      </xdr:sp>
      <xdr:sp>
        <xdr:nvSpPr>
          <xdr:cNvPr id="133" name="Line 141"/>
          <xdr:cNvSpPr>
            <a:spLocks/>
          </xdr:cNvSpPr>
        </xdr:nvSpPr>
        <xdr:spPr>
          <a:xfrm>
            <a:off x="108" y="3023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200025</xdr:rowOff>
    </xdr:from>
    <xdr:to>
      <xdr:col>14</xdr:col>
      <xdr:colOff>19050</xdr:colOff>
      <xdr:row>12</xdr:row>
      <xdr:rowOff>247650</xdr:rowOff>
    </xdr:to>
    <xdr:grpSp>
      <xdr:nvGrpSpPr>
        <xdr:cNvPr id="1" name="Group 9"/>
        <xdr:cNvGrpSpPr>
          <a:grpSpLocks/>
        </xdr:cNvGrpSpPr>
      </xdr:nvGrpSpPr>
      <xdr:grpSpPr>
        <a:xfrm>
          <a:off x="1295400" y="1143000"/>
          <a:ext cx="2190750" cy="2876550"/>
          <a:chOff x="506" y="161"/>
          <a:chExt cx="227" cy="231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506" y="202"/>
            <a:ext cx="183" cy="190"/>
            <a:chOff x="897" y="181"/>
            <a:chExt cx="366" cy="470"/>
          </a:xfrm>
          <a:solidFill>
            <a:srgbClr val="FFFFFF"/>
          </a:solidFill>
        </xdr:grpSpPr>
        <xdr:sp>
          <xdr:nvSpPr>
            <xdr:cNvPr id="3" name="Rectangle 11"/>
            <xdr:cNvSpPr>
              <a:spLocks/>
            </xdr:cNvSpPr>
          </xdr:nvSpPr>
          <xdr:spPr>
            <a:xfrm>
              <a:off x="923" y="189"/>
              <a:ext cx="8" cy="1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4" name="Rectangle 12"/>
            <xdr:cNvSpPr>
              <a:spLocks/>
            </xdr:cNvSpPr>
          </xdr:nvSpPr>
          <xdr:spPr>
            <a:xfrm>
              <a:off x="976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5" name="Rectangle 13"/>
            <xdr:cNvSpPr>
              <a:spLocks/>
            </xdr:cNvSpPr>
          </xdr:nvSpPr>
          <xdr:spPr>
            <a:xfrm>
              <a:off x="1028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6" name="Rectangle 14"/>
            <xdr:cNvSpPr>
              <a:spLocks/>
            </xdr:cNvSpPr>
          </xdr:nvSpPr>
          <xdr:spPr>
            <a:xfrm>
              <a:off x="1080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1132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8" name="Rectangle 16"/>
            <xdr:cNvSpPr>
              <a:spLocks/>
            </xdr:cNvSpPr>
          </xdr:nvSpPr>
          <xdr:spPr>
            <a:xfrm>
              <a:off x="1184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9" name="Rectangle 17"/>
            <xdr:cNvSpPr>
              <a:spLocks/>
            </xdr:cNvSpPr>
          </xdr:nvSpPr>
          <xdr:spPr>
            <a:xfrm>
              <a:off x="1235" y="189"/>
              <a:ext cx="8" cy="1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0" name="Rectangle 18"/>
            <xdr:cNvSpPr>
              <a:spLocks/>
            </xdr:cNvSpPr>
          </xdr:nvSpPr>
          <xdr:spPr>
            <a:xfrm>
              <a:off x="909" y="181"/>
              <a:ext cx="347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1" name="Rectangle 19"/>
            <xdr:cNvSpPr>
              <a:spLocks/>
            </xdr:cNvSpPr>
          </xdr:nvSpPr>
          <xdr:spPr>
            <a:xfrm>
              <a:off x="975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2" name="Rectangle 20"/>
            <xdr:cNvSpPr>
              <a:spLocks/>
            </xdr:cNvSpPr>
          </xdr:nvSpPr>
          <xdr:spPr>
            <a:xfrm>
              <a:off x="1027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3" name="Rectangle 21"/>
            <xdr:cNvSpPr>
              <a:spLocks/>
            </xdr:cNvSpPr>
          </xdr:nvSpPr>
          <xdr:spPr>
            <a:xfrm>
              <a:off x="1079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4" name="Rectangle 22"/>
            <xdr:cNvSpPr>
              <a:spLocks/>
            </xdr:cNvSpPr>
          </xdr:nvSpPr>
          <xdr:spPr>
            <a:xfrm>
              <a:off x="1131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5" name="Rectangle 23"/>
            <xdr:cNvSpPr>
              <a:spLocks/>
            </xdr:cNvSpPr>
          </xdr:nvSpPr>
          <xdr:spPr>
            <a:xfrm>
              <a:off x="1183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6" name="Rectangle 24"/>
            <xdr:cNvSpPr>
              <a:spLocks/>
            </xdr:cNvSpPr>
          </xdr:nvSpPr>
          <xdr:spPr>
            <a:xfrm>
              <a:off x="1235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7" name="Rectangle 25"/>
            <xdr:cNvSpPr>
              <a:spLocks/>
            </xdr:cNvSpPr>
          </xdr:nvSpPr>
          <xdr:spPr>
            <a:xfrm>
              <a:off x="923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8" name="Rectangle 26"/>
            <xdr:cNvSpPr>
              <a:spLocks/>
            </xdr:cNvSpPr>
          </xdr:nvSpPr>
          <xdr:spPr>
            <a:xfrm>
              <a:off x="931" y="387"/>
              <a:ext cx="304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9" name="Rectangle 27"/>
            <xdr:cNvSpPr>
              <a:spLocks/>
            </xdr:cNvSpPr>
          </xdr:nvSpPr>
          <xdr:spPr>
            <a:xfrm>
              <a:off x="931" y="486"/>
              <a:ext cx="304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0" name="Rectangle 28"/>
            <xdr:cNvSpPr>
              <a:spLocks/>
            </xdr:cNvSpPr>
          </xdr:nvSpPr>
          <xdr:spPr>
            <a:xfrm>
              <a:off x="931" y="585"/>
              <a:ext cx="304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1" name="Line 29"/>
            <xdr:cNvSpPr>
              <a:spLocks/>
            </xdr:cNvSpPr>
          </xdr:nvSpPr>
          <xdr:spPr>
            <a:xfrm>
              <a:off x="897" y="321"/>
              <a:ext cx="1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2" name="Line 30"/>
            <xdr:cNvSpPr>
              <a:spLocks/>
            </xdr:cNvSpPr>
          </xdr:nvSpPr>
          <xdr:spPr>
            <a:xfrm>
              <a:off x="1088" y="321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3" name="Line 31"/>
            <xdr:cNvSpPr>
              <a:spLocks/>
            </xdr:cNvSpPr>
          </xdr:nvSpPr>
          <xdr:spPr>
            <a:xfrm>
              <a:off x="1118" y="321"/>
              <a:ext cx="1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4" name="Line 32"/>
            <xdr:cNvSpPr>
              <a:spLocks/>
            </xdr:cNvSpPr>
          </xdr:nvSpPr>
          <xdr:spPr>
            <a:xfrm>
              <a:off x="897" y="355"/>
              <a:ext cx="1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5" name="Line 33"/>
            <xdr:cNvSpPr>
              <a:spLocks/>
            </xdr:cNvSpPr>
          </xdr:nvSpPr>
          <xdr:spPr>
            <a:xfrm>
              <a:off x="1088" y="355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6" name="Line 34"/>
            <xdr:cNvSpPr>
              <a:spLocks/>
            </xdr:cNvSpPr>
          </xdr:nvSpPr>
          <xdr:spPr>
            <a:xfrm>
              <a:off x="1118" y="355"/>
              <a:ext cx="1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7" name="Line 35"/>
            <xdr:cNvSpPr>
              <a:spLocks/>
            </xdr:cNvSpPr>
          </xdr:nvSpPr>
          <xdr:spPr>
            <a:xfrm>
              <a:off x="897" y="651"/>
              <a:ext cx="1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8" name="Line 36"/>
            <xdr:cNvSpPr>
              <a:spLocks/>
            </xdr:cNvSpPr>
          </xdr:nvSpPr>
          <xdr:spPr>
            <a:xfrm>
              <a:off x="1088" y="651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9" name="Line 37"/>
            <xdr:cNvSpPr>
              <a:spLocks/>
            </xdr:cNvSpPr>
          </xdr:nvSpPr>
          <xdr:spPr>
            <a:xfrm>
              <a:off x="1118" y="651"/>
              <a:ext cx="1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sp>
        <xdr:nvSpPr>
          <xdr:cNvPr id="30" name="Line 38"/>
          <xdr:cNvSpPr>
            <a:spLocks/>
          </xdr:cNvSpPr>
        </xdr:nvSpPr>
        <xdr:spPr>
          <a:xfrm>
            <a:off x="687" y="28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9"/>
          <xdr:cNvSpPr>
            <a:spLocks/>
          </xdr:cNvSpPr>
        </xdr:nvSpPr>
        <xdr:spPr>
          <a:xfrm>
            <a:off x="687" y="32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Line 40"/>
          <xdr:cNvSpPr>
            <a:spLocks/>
          </xdr:cNvSpPr>
        </xdr:nvSpPr>
        <xdr:spPr>
          <a:xfrm>
            <a:off x="686" y="367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41"/>
          <xdr:cNvSpPr>
            <a:spLocks/>
          </xdr:cNvSpPr>
        </xdr:nvSpPr>
        <xdr:spPr>
          <a:xfrm>
            <a:off x="523" y="165"/>
            <a:ext cx="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Line 42"/>
          <xdr:cNvSpPr>
            <a:spLocks/>
          </xdr:cNvSpPr>
        </xdr:nvSpPr>
        <xdr:spPr>
          <a:xfrm>
            <a:off x="728" y="287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5" name="Line 43"/>
          <xdr:cNvSpPr>
            <a:spLocks/>
          </xdr:cNvSpPr>
        </xdr:nvSpPr>
        <xdr:spPr>
          <a:xfrm flipV="1">
            <a:off x="522" y="161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Line 44"/>
          <xdr:cNvSpPr>
            <a:spLocks/>
          </xdr:cNvSpPr>
        </xdr:nvSpPr>
        <xdr:spPr>
          <a:xfrm flipV="1">
            <a:off x="725" y="284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45"/>
          <xdr:cNvSpPr>
            <a:spLocks/>
          </xdr:cNvSpPr>
        </xdr:nvSpPr>
        <xdr:spPr>
          <a:xfrm flipV="1">
            <a:off x="725" y="324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46"/>
          <xdr:cNvSpPr>
            <a:spLocks/>
          </xdr:cNvSpPr>
        </xdr:nvSpPr>
        <xdr:spPr>
          <a:xfrm flipV="1">
            <a:off x="672" y="161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47"/>
          <xdr:cNvSpPr>
            <a:spLocks/>
          </xdr:cNvSpPr>
        </xdr:nvSpPr>
        <xdr:spPr>
          <a:xfrm flipV="1">
            <a:off x="726" y="364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8"/>
          <xdr:cNvSpPr>
            <a:spLocks/>
          </xdr:cNvSpPr>
        </xdr:nvSpPr>
        <xdr:spPr>
          <a:xfrm>
            <a:off x="690" y="202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9"/>
          <xdr:cNvSpPr>
            <a:spLocks/>
          </xdr:cNvSpPr>
        </xdr:nvSpPr>
        <xdr:spPr>
          <a:xfrm>
            <a:off x="690" y="205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50"/>
          <xdr:cNvSpPr>
            <a:spLocks/>
          </xdr:cNvSpPr>
        </xdr:nvSpPr>
        <xdr:spPr>
          <a:xfrm flipV="1">
            <a:off x="728" y="168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Line 51"/>
          <xdr:cNvSpPr>
            <a:spLocks/>
          </xdr:cNvSpPr>
        </xdr:nvSpPr>
        <xdr:spPr>
          <a:xfrm flipV="1">
            <a:off x="725" y="199"/>
            <a:ext cx="6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4" name="Line 52"/>
          <xdr:cNvSpPr>
            <a:spLocks/>
          </xdr:cNvSpPr>
        </xdr:nvSpPr>
        <xdr:spPr>
          <a:xfrm flipV="1">
            <a:off x="725" y="202"/>
            <a:ext cx="6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Line 53"/>
          <xdr:cNvSpPr>
            <a:spLocks/>
          </xdr:cNvSpPr>
        </xdr:nvSpPr>
        <xdr:spPr>
          <a:xfrm flipV="1">
            <a:off x="524" y="162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Line 54"/>
          <xdr:cNvSpPr>
            <a:spLocks/>
          </xdr:cNvSpPr>
        </xdr:nvSpPr>
        <xdr:spPr>
          <a:xfrm flipV="1">
            <a:off x="675" y="161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47</xdr:row>
      <xdr:rowOff>0</xdr:rowOff>
    </xdr:from>
    <xdr:to>
      <xdr:col>26</xdr:col>
      <xdr:colOff>19050</xdr:colOff>
      <xdr:row>50</xdr:row>
      <xdr:rowOff>19050</xdr:rowOff>
    </xdr:to>
    <xdr:grpSp>
      <xdr:nvGrpSpPr>
        <xdr:cNvPr id="47" name="Group 55"/>
        <xdr:cNvGrpSpPr>
          <a:grpSpLocks/>
        </xdr:cNvGrpSpPr>
      </xdr:nvGrpSpPr>
      <xdr:grpSpPr>
        <a:xfrm>
          <a:off x="3714750" y="14773275"/>
          <a:ext cx="2743200" cy="962025"/>
          <a:chOff x="390" y="1518"/>
          <a:chExt cx="288" cy="101"/>
        </a:xfrm>
        <a:solidFill>
          <a:srgbClr val="FFFFFF"/>
        </a:solidFill>
      </xdr:grpSpPr>
      <xdr:sp>
        <xdr:nvSpPr>
          <xdr:cNvPr id="48" name="Line 56"/>
          <xdr:cNvSpPr>
            <a:spLocks/>
          </xdr:cNvSpPr>
        </xdr:nvSpPr>
        <xdr:spPr>
          <a:xfrm>
            <a:off x="390" y="1543"/>
            <a:ext cx="2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Line 57"/>
          <xdr:cNvSpPr>
            <a:spLocks/>
          </xdr:cNvSpPr>
        </xdr:nvSpPr>
        <xdr:spPr>
          <a:xfrm>
            <a:off x="390" y="1551"/>
            <a:ext cx="2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Line 58"/>
          <xdr:cNvSpPr>
            <a:spLocks/>
          </xdr:cNvSpPr>
        </xdr:nvSpPr>
        <xdr:spPr>
          <a:xfrm>
            <a:off x="624" y="1542"/>
            <a:ext cx="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Line 59"/>
          <xdr:cNvSpPr>
            <a:spLocks/>
          </xdr:cNvSpPr>
        </xdr:nvSpPr>
        <xdr:spPr>
          <a:xfrm>
            <a:off x="624" y="1551"/>
            <a:ext cx="5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Line 60"/>
          <xdr:cNvSpPr>
            <a:spLocks/>
          </xdr:cNvSpPr>
        </xdr:nvSpPr>
        <xdr:spPr>
          <a:xfrm>
            <a:off x="492" y="1551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3" name="Line 61"/>
          <xdr:cNvSpPr>
            <a:spLocks/>
          </xdr:cNvSpPr>
        </xdr:nvSpPr>
        <xdr:spPr>
          <a:xfrm>
            <a:off x="498" y="1551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4" name="Line 62"/>
          <xdr:cNvSpPr>
            <a:spLocks/>
          </xdr:cNvSpPr>
        </xdr:nvSpPr>
        <xdr:spPr>
          <a:xfrm>
            <a:off x="468" y="1584"/>
            <a:ext cx="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Line 63"/>
          <xdr:cNvSpPr>
            <a:spLocks/>
          </xdr:cNvSpPr>
        </xdr:nvSpPr>
        <xdr:spPr>
          <a:xfrm>
            <a:off x="468" y="1589"/>
            <a:ext cx="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6" name="Line 64"/>
          <xdr:cNvSpPr>
            <a:spLocks/>
          </xdr:cNvSpPr>
        </xdr:nvSpPr>
        <xdr:spPr>
          <a:xfrm>
            <a:off x="390" y="1532"/>
            <a:ext cx="0" cy="33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7" name="Line 65"/>
          <xdr:cNvSpPr>
            <a:spLocks/>
          </xdr:cNvSpPr>
        </xdr:nvSpPr>
        <xdr:spPr>
          <a:xfrm>
            <a:off x="597" y="1528"/>
            <a:ext cx="0" cy="33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Line 66"/>
          <xdr:cNvSpPr>
            <a:spLocks/>
          </xdr:cNvSpPr>
        </xdr:nvSpPr>
        <xdr:spPr>
          <a:xfrm>
            <a:off x="676" y="1518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9" name="Line 67"/>
          <xdr:cNvSpPr>
            <a:spLocks/>
          </xdr:cNvSpPr>
        </xdr:nvSpPr>
        <xdr:spPr>
          <a:xfrm>
            <a:off x="468" y="1584"/>
            <a:ext cx="0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0" name="Line 68"/>
          <xdr:cNvSpPr>
            <a:spLocks/>
          </xdr:cNvSpPr>
        </xdr:nvSpPr>
        <xdr:spPr>
          <a:xfrm>
            <a:off x="520" y="1584"/>
            <a:ext cx="0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Line 69"/>
          <xdr:cNvSpPr>
            <a:spLocks/>
          </xdr:cNvSpPr>
        </xdr:nvSpPr>
        <xdr:spPr>
          <a:xfrm>
            <a:off x="536" y="158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Line 70"/>
          <xdr:cNvSpPr>
            <a:spLocks/>
          </xdr:cNvSpPr>
        </xdr:nvSpPr>
        <xdr:spPr>
          <a:xfrm>
            <a:off x="536" y="158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Line 71"/>
          <xdr:cNvSpPr>
            <a:spLocks/>
          </xdr:cNvSpPr>
        </xdr:nvSpPr>
        <xdr:spPr>
          <a:xfrm>
            <a:off x="572" y="1551"/>
            <a:ext cx="0" cy="6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Line 72"/>
          <xdr:cNvSpPr>
            <a:spLocks/>
          </xdr:cNvSpPr>
        </xdr:nvSpPr>
        <xdr:spPr>
          <a:xfrm>
            <a:off x="468" y="1598"/>
            <a:ext cx="0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Line 73"/>
          <xdr:cNvSpPr>
            <a:spLocks/>
          </xdr:cNvSpPr>
        </xdr:nvSpPr>
        <xdr:spPr>
          <a:xfrm>
            <a:off x="520" y="1598"/>
            <a:ext cx="0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Line 74"/>
          <xdr:cNvSpPr>
            <a:spLocks/>
          </xdr:cNvSpPr>
        </xdr:nvSpPr>
        <xdr:spPr>
          <a:xfrm>
            <a:off x="468" y="1617"/>
            <a:ext cx="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7" name="Oval 75"/>
          <xdr:cNvSpPr>
            <a:spLocks/>
          </xdr:cNvSpPr>
        </xdr:nvSpPr>
        <xdr:spPr>
          <a:xfrm>
            <a:off x="570" y="1587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Oval 76"/>
          <xdr:cNvSpPr>
            <a:spLocks/>
          </xdr:cNvSpPr>
        </xdr:nvSpPr>
        <xdr:spPr>
          <a:xfrm>
            <a:off x="490" y="1584"/>
            <a:ext cx="4" cy="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Oval 77"/>
          <xdr:cNvSpPr>
            <a:spLocks/>
          </xdr:cNvSpPr>
        </xdr:nvSpPr>
        <xdr:spPr>
          <a:xfrm>
            <a:off x="674" y="154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0" name="Line 78"/>
          <xdr:cNvSpPr>
            <a:spLocks/>
          </xdr:cNvSpPr>
        </xdr:nvSpPr>
        <xdr:spPr>
          <a:xfrm>
            <a:off x="451" y="1576"/>
            <a:ext cx="7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Oval 79"/>
          <xdr:cNvSpPr>
            <a:spLocks/>
          </xdr:cNvSpPr>
        </xdr:nvSpPr>
        <xdr:spPr>
          <a:xfrm>
            <a:off x="496" y="1584"/>
            <a:ext cx="4" cy="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Oval 80"/>
          <xdr:cNvSpPr>
            <a:spLocks/>
          </xdr:cNvSpPr>
        </xdr:nvSpPr>
        <xdr:spPr>
          <a:xfrm>
            <a:off x="674" y="1549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Oval 81"/>
          <xdr:cNvSpPr>
            <a:spLocks/>
          </xdr:cNvSpPr>
        </xdr:nvSpPr>
        <xdr:spPr>
          <a:xfrm>
            <a:off x="570" y="158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Oval 82"/>
          <xdr:cNvSpPr>
            <a:spLocks/>
          </xdr:cNvSpPr>
        </xdr:nvSpPr>
        <xdr:spPr>
          <a:xfrm>
            <a:off x="466" y="161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Oval 83"/>
          <xdr:cNvSpPr>
            <a:spLocks/>
          </xdr:cNvSpPr>
        </xdr:nvSpPr>
        <xdr:spPr>
          <a:xfrm>
            <a:off x="490" y="157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6" name="Oval 84"/>
          <xdr:cNvSpPr>
            <a:spLocks/>
          </xdr:cNvSpPr>
        </xdr:nvSpPr>
        <xdr:spPr>
          <a:xfrm>
            <a:off x="518" y="1615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7" name="Oval 85"/>
          <xdr:cNvSpPr>
            <a:spLocks/>
          </xdr:cNvSpPr>
        </xdr:nvSpPr>
        <xdr:spPr>
          <a:xfrm>
            <a:off x="496" y="157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23</xdr:row>
      <xdr:rowOff>0</xdr:rowOff>
    </xdr:from>
    <xdr:to>
      <xdr:col>10</xdr:col>
      <xdr:colOff>228600</xdr:colOff>
      <xdr:row>25</xdr:row>
      <xdr:rowOff>57150</xdr:rowOff>
    </xdr:to>
    <xdr:grpSp>
      <xdr:nvGrpSpPr>
        <xdr:cNvPr id="78" name="Group 86"/>
        <xdr:cNvGrpSpPr>
          <a:grpSpLocks/>
        </xdr:cNvGrpSpPr>
      </xdr:nvGrpSpPr>
      <xdr:grpSpPr>
        <a:xfrm>
          <a:off x="1790700" y="7229475"/>
          <a:ext cx="914400" cy="685800"/>
          <a:chOff x="509" y="768"/>
          <a:chExt cx="124" cy="76"/>
        </a:xfrm>
        <a:solidFill>
          <a:srgbClr val="FFFFFF"/>
        </a:solidFill>
      </xdr:grpSpPr>
      <xdr:sp>
        <xdr:nvSpPr>
          <xdr:cNvPr id="79" name="AutoShape 87"/>
          <xdr:cNvSpPr>
            <a:spLocks/>
          </xdr:cNvSpPr>
        </xdr:nvSpPr>
        <xdr:spPr>
          <a:xfrm>
            <a:off x="566" y="819"/>
            <a:ext cx="2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
</a:t>
            </a:r>
          </a:p>
        </xdr:txBody>
      </xdr:sp>
      <xdr:grpSp>
        <xdr:nvGrpSpPr>
          <xdr:cNvPr id="80" name="Group 88"/>
          <xdr:cNvGrpSpPr>
            <a:grpSpLocks/>
          </xdr:cNvGrpSpPr>
        </xdr:nvGrpSpPr>
        <xdr:grpSpPr>
          <a:xfrm>
            <a:off x="509" y="768"/>
            <a:ext cx="124" cy="76"/>
            <a:chOff x="509" y="768"/>
            <a:chExt cx="124" cy="76"/>
          </a:xfrm>
          <a:solidFill>
            <a:srgbClr val="FFFFFF"/>
          </a:solidFill>
        </xdr:grpSpPr>
        <xdr:sp>
          <xdr:nvSpPr>
            <xdr:cNvPr id="81" name="AutoShape 89"/>
            <xdr:cNvSpPr>
              <a:spLocks/>
            </xdr:cNvSpPr>
          </xdr:nvSpPr>
          <xdr:spPr>
            <a:xfrm>
              <a:off x="509" y="779"/>
              <a:ext cx="22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1" u="none" baseline="0">
                  <a:solidFill>
                    <a:srgbClr val="000000"/>
                  </a:solidFill>
                </a:rPr>
                <a:t></a:t>
              </a:r>
            </a:p>
          </xdr:txBody>
        </xdr:sp>
        <xdr:sp>
          <xdr:nvSpPr>
            <xdr:cNvPr id="82" name="AutoShape 90"/>
            <xdr:cNvSpPr>
              <a:spLocks/>
            </xdr:cNvSpPr>
          </xdr:nvSpPr>
          <xdr:spPr>
            <a:xfrm>
              <a:off x="523" y="791"/>
              <a:ext cx="12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83" name="AutoShape 91"/>
            <xdr:cNvSpPr>
              <a:spLocks/>
            </xdr:cNvSpPr>
          </xdr:nvSpPr>
          <xdr:spPr>
            <a:xfrm>
              <a:off x="584" y="776"/>
              <a:ext cx="12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84" name="AutoShape 92"/>
            <xdr:cNvSpPr>
              <a:spLocks/>
            </xdr:cNvSpPr>
          </xdr:nvSpPr>
          <xdr:spPr>
            <a:xfrm>
              <a:off x="582" y="794"/>
              <a:ext cx="13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3</a:t>
              </a:r>
            </a:p>
          </xdr:txBody>
        </xdr:sp>
        <xdr:sp>
          <xdr:nvSpPr>
            <xdr:cNvPr id="85" name="AutoShape 93"/>
            <xdr:cNvSpPr>
              <a:spLocks/>
            </xdr:cNvSpPr>
          </xdr:nvSpPr>
          <xdr:spPr>
            <a:xfrm>
              <a:off x="584" y="806"/>
              <a:ext cx="4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86" name="AutoShape 94"/>
            <xdr:cNvSpPr>
              <a:spLocks/>
            </xdr:cNvSpPr>
          </xdr:nvSpPr>
          <xdr:spPr>
            <a:xfrm>
              <a:off x="537" y="781"/>
              <a:ext cx="16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</a:t>
              </a:r>
            </a:p>
          </xdr:txBody>
        </xdr:sp>
        <xdr:sp>
          <xdr:nvSpPr>
            <xdr:cNvPr id="87" name="AutoShape 95"/>
            <xdr:cNvSpPr>
              <a:spLocks/>
            </xdr:cNvSpPr>
          </xdr:nvSpPr>
          <xdr:spPr>
            <a:xfrm>
              <a:off x="617" y="782"/>
              <a:ext cx="16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</a:t>
              </a:r>
            </a:p>
          </xdr:txBody>
        </xdr:sp>
        <xdr:sp>
          <xdr:nvSpPr>
            <xdr:cNvPr id="88" name="AutoShape 96"/>
            <xdr:cNvSpPr>
              <a:spLocks/>
            </xdr:cNvSpPr>
          </xdr:nvSpPr>
          <xdr:spPr>
            <a:xfrm>
              <a:off x="576" y="768"/>
              <a:ext cx="18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1" u="none" baseline="0">
                  <a:solidFill>
                    <a:srgbClr val="000000"/>
                  </a:solidFill>
                </a:rPr>
                <a:t>I</a:t>
              </a:r>
            </a:p>
          </xdr:txBody>
        </xdr:sp>
        <xdr:sp>
          <xdr:nvSpPr>
            <xdr:cNvPr id="89" name="AutoShape 97"/>
            <xdr:cNvSpPr>
              <a:spLocks/>
            </xdr:cNvSpPr>
          </xdr:nvSpPr>
          <xdr:spPr>
            <a:xfrm>
              <a:off x="566" y="797"/>
              <a:ext cx="35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1" u="none" baseline="0">
                  <a:solidFill>
                    <a:srgbClr val="000000"/>
                  </a:solidFill>
                </a:rPr>
                <a:t>bt</a:t>
              </a:r>
            </a:p>
          </xdr:txBody>
        </xdr:sp>
        <xdr:sp>
          <xdr:nvSpPr>
            <xdr:cNvPr id="90" name="Line 98"/>
            <xdr:cNvSpPr>
              <a:spLocks/>
            </xdr:cNvSpPr>
          </xdr:nvSpPr>
          <xdr:spPr>
            <a:xfrm>
              <a:off x="556" y="791"/>
              <a:ext cx="4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91" name="Line 99"/>
            <xdr:cNvSpPr>
              <a:spLocks/>
            </xdr:cNvSpPr>
          </xdr:nvSpPr>
          <xdr:spPr>
            <a:xfrm>
              <a:off x="560" y="816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39</xdr:row>
      <xdr:rowOff>266700</xdr:rowOff>
    </xdr:from>
    <xdr:to>
      <xdr:col>7</xdr:col>
      <xdr:colOff>95250</xdr:colOff>
      <xdr:row>41</xdr:row>
      <xdr:rowOff>66675</xdr:rowOff>
    </xdr:to>
    <xdr:grpSp>
      <xdr:nvGrpSpPr>
        <xdr:cNvPr id="92" name="Group 100"/>
        <xdr:cNvGrpSpPr>
          <a:grpSpLocks/>
        </xdr:cNvGrpSpPr>
      </xdr:nvGrpSpPr>
      <xdr:grpSpPr>
        <a:xfrm>
          <a:off x="495300" y="12525375"/>
          <a:ext cx="1333500" cy="428625"/>
          <a:chOff x="469" y="1223"/>
          <a:chExt cx="140" cy="45"/>
        </a:xfrm>
        <a:solidFill>
          <a:srgbClr val="FFFFFF"/>
        </a:solidFill>
      </xdr:grpSpPr>
      <xdr:sp>
        <xdr:nvSpPr>
          <xdr:cNvPr id="93" name="AutoShape 101"/>
          <xdr:cNvSpPr>
            <a:spLocks/>
          </xdr:cNvSpPr>
        </xdr:nvSpPr>
        <xdr:spPr>
          <a:xfrm>
            <a:off x="469" y="1235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</a:t>
            </a:r>
          </a:p>
        </xdr:txBody>
      </xdr:sp>
      <xdr:sp>
        <xdr:nvSpPr>
          <xdr:cNvPr id="94" name="AutoShape 102"/>
          <xdr:cNvSpPr>
            <a:spLocks/>
          </xdr:cNvSpPr>
        </xdr:nvSpPr>
        <xdr:spPr>
          <a:xfrm>
            <a:off x="536" y="1225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bt</a:t>
            </a:r>
          </a:p>
        </xdr:txBody>
      </xdr:sp>
      <xdr:sp>
        <xdr:nvSpPr>
          <xdr:cNvPr id="95" name="AutoShape 103"/>
          <xdr:cNvSpPr>
            <a:spLocks/>
          </xdr:cNvSpPr>
        </xdr:nvSpPr>
        <xdr:spPr>
          <a:xfrm>
            <a:off x="483" y="1246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req</a:t>
            </a:r>
          </a:p>
        </xdr:txBody>
      </xdr:sp>
      <xdr:sp>
        <xdr:nvSpPr>
          <xdr:cNvPr id="96" name="AutoShape 104"/>
          <xdr:cNvSpPr>
            <a:spLocks/>
          </xdr:cNvSpPr>
        </xdr:nvSpPr>
        <xdr:spPr>
          <a:xfrm>
            <a:off x="475" y="1244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97" name="AutoShape 105"/>
          <xdr:cNvSpPr>
            <a:spLocks/>
          </xdr:cNvSpPr>
        </xdr:nvSpPr>
        <xdr:spPr>
          <a:xfrm>
            <a:off x="551" y="1223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98" name="AutoShape 106"/>
          <xdr:cNvSpPr>
            <a:spLocks/>
          </xdr:cNvSpPr>
        </xdr:nvSpPr>
        <xdr:spPr>
          <a:xfrm>
            <a:off x="577" y="1245"/>
            <a:ext cx="2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l req</a:t>
            </a:r>
          </a:p>
        </xdr:txBody>
      </xdr:sp>
      <xdr:sp>
        <xdr:nvSpPr>
          <xdr:cNvPr id="99" name="AutoShape 107"/>
          <xdr:cNvSpPr>
            <a:spLocks/>
          </xdr:cNvSpPr>
        </xdr:nvSpPr>
        <xdr:spPr>
          <a:xfrm>
            <a:off x="532" y="1247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100" name="AutoShape 108"/>
          <xdr:cNvSpPr>
            <a:spLocks/>
          </xdr:cNvSpPr>
        </xdr:nvSpPr>
        <xdr:spPr>
          <a:xfrm>
            <a:off x="479" y="1244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</a:p>
        </xdr:txBody>
      </xdr:sp>
      <xdr:sp>
        <xdr:nvSpPr>
          <xdr:cNvPr id="101" name="AutoShape 109"/>
          <xdr:cNvSpPr>
            <a:spLocks/>
          </xdr:cNvSpPr>
        </xdr:nvSpPr>
        <xdr:spPr>
          <a:xfrm>
            <a:off x="496" y="1244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102" name="AutoShape 110"/>
          <xdr:cNvSpPr>
            <a:spLocks/>
          </xdr:cNvSpPr>
        </xdr:nvSpPr>
        <xdr:spPr>
          <a:xfrm>
            <a:off x="505" y="1235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03" name="AutoShape 111"/>
          <xdr:cNvSpPr>
            <a:spLocks/>
          </xdr:cNvSpPr>
        </xdr:nvSpPr>
        <xdr:spPr>
          <a:xfrm>
            <a:off x="602" y="1233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04" name="AutoShape 112"/>
          <xdr:cNvSpPr>
            <a:spLocks/>
          </xdr:cNvSpPr>
        </xdr:nvSpPr>
        <xdr:spPr>
          <a:xfrm>
            <a:off x="566" y="1234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</a:t>
            </a:r>
          </a:p>
        </xdr:txBody>
      </xdr:sp>
      <xdr:sp>
        <xdr:nvSpPr>
          <xdr:cNvPr id="105" name="Line 113"/>
          <xdr:cNvSpPr>
            <a:spLocks/>
          </xdr:cNvSpPr>
        </xdr:nvSpPr>
        <xdr:spPr>
          <a:xfrm>
            <a:off x="527" y="124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73</xdr:row>
      <xdr:rowOff>0</xdr:rowOff>
    </xdr:from>
    <xdr:to>
      <xdr:col>7</xdr:col>
      <xdr:colOff>85725</xdr:colOff>
      <xdr:row>74</xdr:row>
      <xdr:rowOff>114300</xdr:rowOff>
    </xdr:to>
    <xdr:grpSp>
      <xdr:nvGrpSpPr>
        <xdr:cNvPr id="106" name="Group 114"/>
        <xdr:cNvGrpSpPr>
          <a:grpSpLocks/>
        </xdr:cNvGrpSpPr>
      </xdr:nvGrpSpPr>
      <xdr:grpSpPr>
        <a:xfrm>
          <a:off x="485775" y="22945725"/>
          <a:ext cx="1333500" cy="428625"/>
          <a:chOff x="499" y="2508"/>
          <a:chExt cx="140" cy="45"/>
        </a:xfrm>
        <a:solidFill>
          <a:srgbClr val="FFFFFF"/>
        </a:solidFill>
      </xdr:grpSpPr>
      <xdr:sp>
        <xdr:nvSpPr>
          <xdr:cNvPr id="107" name="AutoShape 115"/>
          <xdr:cNvSpPr>
            <a:spLocks/>
          </xdr:cNvSpPr>
        </xdr:nvSpPr>
        <xdr:spPr>
          <a:xfrm>
            <a:off x="499" y="2520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</a:t>
            </a:r>
          </a:p>
        </xdr:txBody>
      </xdr:sp>
      <xdr:sp>
        <xdr:nvSpPr>
          <xdr:cNvPr id="108" name="AutoShape 116"/>
          <xdr:cNvSpPr>
            <a:spLocks/>
          </xdr:cNvSpPr>
        </xdr:nvSpPr>
        <xdr:spPr>
          <a:xfrm>
            <a:off x="566" y="2510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bt</a:t>
            </a:r>
          </a:p>
        </xdr:txBody>
      </xdr:sp>
      <xdr:sp>
        <xdr:nvSpPr>
          <xdr:cNvPr id="109" name="AutoShape 117"/>
          <xdr:cNvSpPr>
            <a:spLocks/>
          </xdr:cNvSpPr>
        </xdr:nvSpPr>
        <xdr:spPr>
          <a:xfrm>
            <a:off x="513" y="2531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req</a:t>
            </a:r>
          </a:p>
        </xdr:txBody>
      </xdr:sp>
      <xdr:sp>
        <xdr:nvSpPr>
          <xdr:cNvPr id="110" name="AutoShape 118"/>
          <xdr:cNvSpPr>
            <a:spLocks/>
          </xdr:cNvSpPr>
        </xdr:nvSpPr>
        <xdr:spPr>
          <a:xfrm>
            <a:off x="505" y="2529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111" name="AutoShape 119"/>
          <xdr:cNvSpPr>
            <a:spLocks/>
          </xdr:cNvSpPr>
        </xdr:nvSpPr>
        <xdr:spPr>
          <a:xfrm>
            <a:off x="581" y="2508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12" name="AutoShape 120"/>
          <xdr:cNvSpPr>
            <a:spLocks/>
          </xdr:cNvSpPr>
        </xdr:nvSpPr>
        <xdr:spPr>
          <a:xfrm>
            <a:off x="607" y="2530"/>
            <a:ext cx="2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 req</a:t>
            </a:r>
          </a:p>
        </xdr:txBody>
      </xdr:sp>
      <xdr:sp>
        <xdr:nvSpPr>
          <xdr:cNvPr id="113" name="AutoShape 121"/>
          <xdr:cNvSpPr>
            <a:spLocks/>
          </xdr:cNvSpPr>
        </xdr:nvSpPr>
        <xdr:spPr>
          <a:xfrm>
            <a:off x="562" y="2532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114" name="AutoShape 122"/>
          <xdr:cNvSpPr>
            <a:spLocks/>
          </xdr:cNvSpPr>
        </xdr:nvSpPr>
        <xdr:spPr>
          <a:xfrm>
            <a:off x="509" y="2529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</a:p>
        </xdr:txBody>
      </xdr:sp>
      <xdr:sp>
        <xdr:nvSpPr>
          <xdr:cNvPr id="115" name="AutoShape 123"/>
          <xdr:cNvSpPr>
            <a:spLocks/>
          </xdr:cNvSpPr>
        </xdr:nvSpPr>
        <xdr:spPr>
          <a:xfrm>
            <a:off x="526" y="2529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116" name="AutoShape 124"/>
          <xdr:cNvSpPr>
            <a:spLocks/>
          </xdr:cNvSpPr>
        </xdr:nvSpPr>
        <xdr:spPr>
          <a:xfrm>
            <a:off x="535" y="2520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17" name="AutoShape 125"/>
          <xdr:cNvSpPr>
            <a:spLocks/>
          </xdr:cNvSpPr>
        </xdr:nvSpPr>
        <xdr:spPr>
          <a:xfrm>
            <a:off x="632" y="2518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18" name="AutoShape 126"/>
          <xdr:cNvSpPr>
            <a:spLocks/>
          </xdr:cNvSpPr>
        </xdr:nvSpPr>
        <xdr:spPr>
          <a:xfrm>
            <a:off x="596" y="2519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</a:t>
            </a:r>
          </a:p>
        </xdr:txBody>
      </xdr:sp>
      <xdr:sp>
        <xdr:nvSpPr>
          <xdr:cNvPr id="119" name="Line 127"/>
          <xdr:cNvSpPr>
            <a:spLocks/>
          </xdr:cNvSpPr>
        </xdr:nvSpPr>
        <xdr:spPr>
          <a:xfrm>
            <a:off x="557" y="253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90</xdr:row>
      <xdr:rowOff>295275</xdr:rowOff>
    </xdr:from>
    <xdr:to>
      <xdr:col>6</xdr:col>
      <xdr:colOff>219075</xdr:colOff>
      <xdr:row>92</xdr:row>
      <xdr:rowOff>95250</xdr:rowOff>
    </xdr:to>
    <xdr:grpSp>
      <xdr:nvGrpSpPr>
        <xdr:cNvPr id="120" name="Group 128"/>
        <xdr:cNvGrpSpPr>
          <a:grpSpLocks/>
        </xdr:cNvGrpSpPr>
      </xdr:nvGrpSpPr>
      <xdr:grpSpPr>
        <a:xfrm>
          <a:off x="495300" y="28584525"/>
          <a:ext cx="1209675" cy="428625"/>
          <a:chOff x="52" y="3001"/>
          <a:chExt cx="127" cy="45"/>
        </a:xfrm>
        <a:solidFill>
          <a:srgbClr val="FFFFFF"/>
        </a:solidFill>
      </xdr:grpSpPr>
      <xdr:sp>
        <xdr:nvSpPr>
          <xdr:cNvPr id="121" name="AutoShape 129"/>
          <xdr:cNvSpPr>
            <a:spLocks/>
          </xdr:cNvSpPr>
        </xdr:nvSpPr>
        <xdr:spPr>
          <a:xfrm>
            <a:off x="52" y="3015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</a:t>
            </a:r>
          </a:p>
        </xdr:txBody>
      </xdr:sp>
      <xdr:sp>
        <xdr:nvSpPr>
          <xdr:cNvPr id="122" name="AutoShape 130"/>
          <xdr:cNvSpPr>
            <a:spLocks/>
          </xdr:cNvSpPr>
        </xdr:nvSpPr>
        <xdr:spPr>
          <a:xfrm>
            <a:off x="115" y="3003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bt</a:t>
            </a:r>
          </a:p>
        </xdr:txBody>
      </xdr:sp>
      <xdr:sp>
        <xdr:nvSpPr>
          <xdr:cNvPr id="123" name="AutoShape 131"/>
          <xdr:cNvSpPr>
            <a:spLocks/>
          </xdr:cNvSpPr>
        </xdr:nvSpPr>
        <xdr:spPr>
          <a:xfrm>
            <a:off x="70" y="3024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req</a:t>
            </a:r>
          </a:p>
        </xdr:txBody>
      </xdr:sp>
      <xdr:sp>
        <xdr:nvSpPr>
          <xdr:cNvPr id="124" name="AutoShape 132"/>
          <xdr:cNvSpPr>
            <a:spLocks/>
          </xdr:cNvSpPr>
        </xdr:nvSpPr>
        <xdr:spPr>
          <a:xfrm>
            <a:off x="61" y="3022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25" name="AutoShape 133"/>
          <xdr:cNvSpPr>
            <a:spLocks/>
          </xdr:cNvSpPr>
        </xdr:nvSpPr>
        <xdr:spPr>
          <a:xfrm>
            <a:off x="128" y="3001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26" name="AutoShape 134"/>
          <xdr:cNvSpPr>
            <a:spLocks/>
          </xdr:cNvSpPr>
        </xdr:nvSpPr>
        <xdr:spPr>
          <a:xfrm>
            <a:off x="151" y="3023"/>
            <a:ext cx="1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h req</a:t>
            </a:r>
          </a:p>
        </xdr:txBody>
      </xdr:sp>
      <xdr:sp>
        <xdr:nvSpPr>
          <xdr:cNvPr id="127" name="AutoShape 135"/>
          <xdr:cNvSpPr>
            <a:spLocks/>
          </xdr:cNvSpPr>
        </xdr:nvSpPr>
        <xdr:spPr>
          <a:xfrm>
            <a:off x="112" y="3025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128" name="AutoShape 136"/>
          <xdr:cNvSpPr>
            <a:spLocks/>
          </xdr:cNvSpPr>
        </xdr:nvSpPr>
        <xdr:spPr>
          <a:xfrm>
            <a:off x="67" y="3022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</a:p>
        </xdr:txBody>
      </xdr:sp>
      <xdr:sp>
        <xdr:nvSpPr>
          <xdr:cNvPr id="129" name="AutoShape 137"/>
          <xdr:cNvSpPr>
            <a:spLocks/>
          </xdr:cNvSpPr>
        </xdr:nvSpPr>
        <xdr:spPr>
          <a:xfrm>
            <a:off x="81" y="3022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130" name="AutoShape 138"/>
          <xdr:cNvSpPr>
            <a:spLocks/>
          </xdr:cNvSpPr>
        </xdr:nvSpPr>
        <xdr:spPr>
          <a:xfrm>
            <a:off x="89" y="3013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31" name="AutoShape 139"/>
          <xdr:cNvSpPr>
            <a:spLocks/>
          </xdr:cNvSpPr>
        </xdr:nvSpPr>
        <xdr:spPr>
          <a:xfrm>
            <a:off x="172" y="3011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32" name="AutoShape 140"/>
          <xdr:cNvSpPr>
            <a:spLocks/>
          </xdr:cNvSpPr>
        </xdr:nvSpPr>
        <xdr:spPr>
          <a:xfrm>
            <a:off x="141" y="3012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</a:t>
            </a:r>
          </a:p>
        </xdr:txBody>
      </xdr:sp>
      <xdr:sp>
        <xdr:nvSpPr>
          <xdr:cNvPr id="133" name="Line 141"/>
          <xdr:cNvSpPr>
            <a:spLocks/>
          </xdr:cNvSpPr>
        </xdr:nvSpPr>
        <xdr:spPr>
          <a:xfrm>
            <a:off x="108" y="3023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200025</xdr:rowOff>
    </xdr:from>
    <xdr:to>
      <xdr:col>14</xdr:col>
      <xdr:colOff>19050</xdr:colOff>
      <xdr:row>12</xdr:row>
      <xdr:rowOff>247650</xdr:rowOff>
    </xdr:to>
    <xdr:grpSp>
      <xdr:nvGrpSpPr>
        <xdr:cNvPr id="1" name="Group 9"/>
        <xdr:cNvGrpSpPr>
          <a:grpSpLocks/>
        </xdr:cNvGrpSpPr>
      </xdr:nvGrpSpPr>
      <xdr:grpSpPr>
        <a:xfrm>
          <a:off x="1295400" y="1143000"/>
          <a:ext cx="2190750" cy="2876550"/>
          <a:chOff x="506" y="161"/>
          <a:chExt cx="227" cy="231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506" y="202"/>
            <a:ext cx="183" cy="190"/>
            <a:chOff x="897" y="181"/>
            <a:chExt cx="366" cy="470"/>
          </a:xfrm>
          <a:solidFill>
            <a:srgbClr val="FFFFFF"/>
          </a:solidFill>
        </xdr:grpSpPr>
        <xdr:sp>
          <xdr:nvSpPr>
            <xdr:cNvPr id="3" name="Rectangle 11"/>
            <xdr:cNvSpPr>
              <a:spLocks/>
            </xdr:cNvSpPr>
          </xdr:nvSpPr>
          <xdr:spPr>
            <a:xfrm>
              <a:off x="923" y="189"/>
              <a:ext cx="8" cy="1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4" name="Rectangle 12"/>
            <xdr:cNvSpPr>
              <a:spLocks/>
            </xdr:cNvSpPr>
          </xdr:nvSpPr>
          <xdr:spPr>
            <a:xfrm>
              <a:off x="976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5" name="Rectangle 13"/>
            <xdr:cNvSpPr>
              <a:spLocks/>
            </xdr:cNvSpPr>
          </xdr:nvSpPr>
          <xdr:spPr>
            <a:xfrm>
              <a:off x="1028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6" name="Rectangle 14"/>
            <xdr:cNvSpPr>
              <a:spLocks/>
            </xdr:cNvSpPr>
          </xdr:nvSpPr>
          <xdr:spPr>
            <a:xfrm>
              <a:off x="1080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1132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8" name="Rectangle 16"/>
            <xdr:cNvSpPr>
              <a:spLocks/>
            </xdr:cNvSpPr>
          </xdr:nvSpPr>
          <xdr:spPr>
            <a:xfrm>
              <a:off x="1184" y="190"/>
              <a:ext cx="8" cy="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9" name="Rectangle 17"/>
            <xdr:cNvSpPr>
              <a:spLocks/>
            </xdr:cNvSpPr>
          </xdr:nvSpPr>
          <xdr:spPr>
            <a:xfrm>
              <a:off x="1235" y="189"/>
              <a:ext cx="8" cy="1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0" name="Rectangle 18"/>
            <xdr:cNvSpPr>
              <a:spLocks/>
            </xdr:cNvSpPr>
          </xdr:nvSpPr>
          <xdr:spPr>
            <a:xfrm>
              <a:off x="909" y="181"/>
              <a:ext cx="347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1" name="Rectangle 19"/>
            <xdr:cNvSpPr>
              <a:spLocks/>
            </xdr:cNvSpPr>
          </xdr:nvSpPr>
          <xdr:spPr>
            <a:xfrm>
              <a:off x="975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2" name="Rectangle 20"/>
            <xdr:cNvSpPr>
              <a:spLocks/>
            </xdr:cNvSpPr>
          </xdr:nvSpPr>
          <xdr:spPr>
            <a:xfrm>
              <a:off x="1027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3" name="Rectangle 21"/>
            <xdr:cNvSpPr>
              <a:spLocks/>
            </xdr:cNvSpPr>
          </xdr:nvSpPr>
          <xdr:spPr>
            <a:xfrm>
              <a:off x="1079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4" name="Rectangle 22"/>
            <xdr:cNvSpPr>
              <a:spLocks/>
            </xdr:cNvSpPr>
          </xdr:nvSpPr>
          <xdr:spPr>
            <a:xfrm>
              <a:off x="1131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5" name="Rectangle 23"/>
            <xdr:cNvSpPr>
              <a:spLocks/>
            </xdr:cNvSpPr>
          </xdr:nvSpPr>
          <xdr:spPr>
            <a:xfrm>
              <a:off x="1183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6" name="Rectangle 24"/>
            <xdr:cNvSpPr>
              <a:spLocks/>
            </xdr:cNvSpPr>
          </xdr:nvSpPr>
          <xdr:spPr>
            <a:xfrm>
              <a:off x="1235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7" name="Rectangle 25"/>
            <xdr:cNvSpPr>
              <a:spLocks/>
            </xdr:cNvSpPr>
          </xdr:nvSpPr>
          <xdr:spPr>
            <a:xfrm>
              <a:off x="923" y="355"/>
              <a:ext cx="8" cy="29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8" name="Rectangle 26"/>
            <xdr:cNvSpPr>
              <a:spLocks/>
            </xdr:cNvSpPr>
          </xdr:nvSpPr>
          <xdr:spPr>
            <a:xfrm>
              <a:off x="931" y="387"/>
              <a:ext cx="304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19" name="Rectangle 27"/>
            <xdr:cNvSpPr>
              <a:spLocks/>
            </xdr:cNvSpPr>
          </xdr:nvSpPr>
          <xdr:spPr>
            <a:xfrm>
              <a:off x="931" y="486"/>
              <a:ext cx="304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0" name="Rectangle 28"/>
            <xdr:cNvSpPr>
              <a:spLocks/>
            </xdr:cNvSpPr>
          </xdr:nvSpPr>
          <xdr:spPr>
            <a:xfrm>
              <a:off x="931" y="585"/>
              <a:ext cx="304" cy="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1" name="Line 29"/>
            <xdr:cNvSpPr>
              <a:spLocks/>
            </xdr:cNvSpPr>
          </xdr:nvSpPr>
          <xdr:spPr>
            <a:xfrm>
              <a:off x="897" y="321"/>
              <a:ext cx="1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2" name="Line 30"/>
            <xdr:cNvSpPr>
              <a:spLocks/>
            </xdr:cNvSpPr>
          </xdr:nvSpPr>
          <xdr:spPr>
            <a:xfrm>
              <a:off x="1088" y="321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3" name="Line 31"/>
            <xdr:cNvSpPr>
              <a:spLocks/>
            </xdr:cNvSpPr>
          </xdr:nvSpPr>
          <xdr:spPr>
            <a:xfrm>
              <a:off x="1118" y="321"/>
              <a:ext cx="1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4" name="Line 32"/>
            <xdr:cNvSpPr>
              <a:spLocks/>
            </xdr:cNvSpPr>
          </xdr:nvSpPr>
          <xdr:spPr>
            <a:xfrm>
              <a:off x="897" y="355"/>
              <a:ext cx="1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5" name="Line 33"/>
            <xdr:cNvSpPr>
              <a:spLocks/>
            </xdr:cNvSpPr>
          </xdr:nvSpPr>
          <xdr:spPr>
            <a:xfrm>
              <a:off x="1088" y="355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6" name="Line 34"/>
            <xdr:cNvSpPr>
              <a:spLocks/>
            </xdr:cNvSpPr>
          </xdr:nvSpPr>
          <xdr:spPr>
            <a:xfrm>
              <a:off x="1118" y="355"/>
              <a:ext cx="1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7" name="Line 35"/>
            <xdr:cNvSpPr>
              <a:spLocks/>
            </xdr:cNvSpPr>
          </xdr:nvSpPr>
          <xdr:spPr>
            <a:xfrm>
              <a:off x="897" y="651"/>
              <a:ext cx="1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8" name="Line 36"/>
            <xdr:cNvSpPr>
              <a:spLocks/>
            </xdr:cNvSpPr>
          </xdr:nvSpPr>
          <xdr:spPr>
            <a:xfrm>
              <a:off x="1088" y="651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29" name="Line 37"/>
            <xdr:cNvSpPr>
              <a:spLocks/>
            </xdr:cNvSpPr>
          </xdr:nvSpPr>
          <xdr:spPr>
            <a:xfrm>
              <a:off x="1118" y="651"/>
              <a:ext cx="1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sp>
        <xdr:nvSpPr>
          <xdr:cNvPr id="30" name="Line 38"/>
          <xdr:cNvSpPr>
            <a:spLocks/>
          </xdr:cNvSpPr>
        </xdr:nvSpPr>
        <xdr:spPr>
          <a:xfrm>
            <a:off x="687" y="28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9"/>
          <xdr:cNvSpPr>
            <a:spLocks/>
          </xdr:cNvSpPr>
        </xdr:nvSpPr>
        <xdr:spPr>
          <a:xfrm>
            <a:off x="687" y="327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Line 40"/>
          <xdr:cNvSpPr>
            <a:spLocks/>
          </xdr:cNvSpPr>
        </xdr:nvSpPr>
        <xdr:spPr>
          <a:xfrm>
            <a:off x="686" y="367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41"/>
          <xdr:cNvSpPr>
            <a:spLocks/>
          </xdr:cNvSpPr>
        </xdr:nvSpPr>
        <xdr:spPr>
          <a:xfrm>
            <a:off x="523" y="165"/>
            <a:ext cx="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Line 42"/>
          <xdr:cNvSpPr>
            <a:spLocks/>
          </xdr:cNvSpPr>
        </xdr:nvSpPr>
        <xdr:spPr>
          <a:xfrm>
            <a:off x="728" y="287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5" name="Line 43"/>
          <xdr:cNvSpPr>
            <a:spLocks/>
          </xdr:cNvSpPr>
        </xdr:nvSpPr>
        <xdr:spPr>
          <a:xfrm flipV="1">
            <a:off x="522" y="161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Line 44"/>
          <xdr:cNvSpPr>
            <a:spLocks/>
          </xdr:cNvSpPr>
        </xdr:nvSpPr>
        <xdr:spPr>
          <a:xfrm flipV="1">
            <a:off x="725" y="284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45"/>
          <xdr:cNvSpPr>
            <a:spLocks/>
          </xdr:cNvSpPr>
        </xdr:nvSpPr>
        <xdr:spPr>
          <a:xfrm flipV="1">
            <a:off x="725" y="324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46"/>
          <xdr:cNvSpPr>
            <a:spLocks/>
          </xdr:cNvSpPr>
        </xdr:nvSpPr>
        <xdr:spPr>
          <a:xfrm flipV="1">
            <a:off x="672" y="161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47"/>
          <xdr:cNvSpPr>
            <a:spLocks/>
          </xdr:cNvSpPr>
        </xdr:nvSpPr>
        <xdr:spPr>
          <a:xfrm flipV="1">
            <a:off x="726" y="364"/>
            <a:ext cx="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8"/>
          <xdr:cNvSpPr>
            <a:spLocks/>
          </xdr:cNvSpPr>
        </xdr:nvSpPr>
        <xdr:spPr>
          <a:xfrm>
            <a:off x="690" y="202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49"/>
          <xdr:cNvSpPr>
            <a:spLocks/>
          </xdr:cNvSpPr>
        </xdr:nvSpPr>
        <xdr:spPr>
          <a:xfrm>
            <a:off x="690" y="205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50"/>
          <xdr:cNvSpPr>
            <a:spLocks/>
          </xdr:cNvSpPr>
        </xdr:nvSpPr>
        <xdr:spPr>
          <a:xfrm flipV="1">
            <a:off x="728" y="168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Line 51"/>
          <xdr:cNvSpPr>
            <a:spLocks/>
          </xdr:cNvSpPr>
        </xdr:nvSpPr>
        <xdr:spPr>
          <a:xfrm flipV="1">
            <a:off x="725" y="199"/>
            <a:ext cx="6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4" name="Line 52"/>
          <xdr:cNvSpPr>
            <a:spLocks/>
          </xdr:cNvSpPr>
        </xdr:nvSpPr>
        <xdr:spPr>
          <a:xfrm flipV="1">
            <a:off x="725" y="202"/>
            <a:ext cx="6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Line 53"/>
          <xdr:cNvSpPr>
            <a:spLocks/>
          </xdr:cNvSpPr>
        </xdr:nvSpPr>
        <xdr:spPr>
          <a:xfrm flipV="1">
            <a:off x="524" y="162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Line 54"/>
          <xdr:cNvSpPr>
            <a:spLocks/>
          </xdr:cNvSpPr>
        </xdr:nvSpPr>
        <xdr:spPr>
          <a:xfrm flipV="1">
            <a:off x="675" y="161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47</xdr:row>
      <xdr:rowOff>0</xdr:rowOff>
    </xdr:from>
    <xdr:to>
      <xdr:col>26</xdr:col>
      <xdr:colOff>19050</xdr:colOff>
      <xdr:row>50</xdr:row>
      <xdr:rowOff>19050</xdr:rowOff>
    </xdr:to>
    <xdr:grpSp>
      <xdr:nvGrpSpPr>
        <xdr:cNvPr id="47" name="Group 55"/>
        <xdr:cNvGrpSpPr>
          <a:grpSpLocks/>
        </xdr:cNvGrpSpPr>
      </xdr:nvGrpSpPr>
      <xdr:grpSpPr>
        <a:xfrm>
          <a:off x="3714750" y="14773275"/>
          <a:ext cx="2743200" cy="962025"/>
          <a:chOff x="390" y="1518"/>
          <a:chExt cx="288" cy="101"/>
        </a:xfrm>
        <a:solidFill>
          <a:srgbClr val="FFFFFF"/>
        </a:solidFill>
      </xdr:grpSpPr>
      <xdr:sp>
        <xdr:nvSpPr>
          <xdr:cNvPr id="48" name="Line 56"/>
          <xdr:cNvSpPr>
            <a:spLocks/>
          </xdr:cNvSpPr>
        </xdr:nvSpPr>
        <xdr:spPr>
          <a:xfrm>
            <a:off x="390" y="1543"/>
            <a:ext cx="2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Line 57"/>
          <xdr:cNvSpPr>
            <a:spLocks/>
          </xdr:cNvSpPr>
        </xdr:nvSpPr>
        <xdr:spPr>
          <a:xfrm>
            <a:off x="390" y="1551"/>
            <a:ext cx="2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0" name="Line 58"/>
          <xdr:cNvSpPr>
            <a:spLocks/>
          </xdr:cNvSpPr>
        </xdr:nvSpPr>
        <xdr:spPr>
          <a:xfrm>
            <a:off x="624" y="1542"/>
            <a:ext cx="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1" name="Line 59"/>
          <xdr:cNvSpPr>
            <a:spLocks/>
          </xdr:cNvSpPr>
        </xdr:nvSpPr>
        <xdr:spPr>
          <a:xfrm>
            <a:off x="624" y="1551"/>
            <a:ext cx="5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Line 60"/>
          <xdr:cNvSpPr>
            <a:spLocks/>
          </xdr:cNvSpPr>
        </xdr:nvSpPr>
        <xdr:spPr>
          <a:xfrm>
            <a:off x="492" y="1551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3" name="Line 61"/>
          <xdr:cNvSpPr>
            <a:spLocks/>
          </xdr:cNvSpPr>
        </xdr:nvSpPr>
        <xdr:spPr>
          <a:xfrm>
            <a:off x="498" y="1551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4" name="Line 62"/>
          <xdr:cNvSpPr>
            <a:spLocks/>
          </xdr:cNvSpPr>
        </xdr:nvSpPr>
        <xdr:spPr>
          <a:xfrm>
            <a:off x="468" y="1584"/>
            <a:ext cx="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Line 63"/>
          <xdr:cNvSpPr>
            <a:spLocks/>
          </xdr:cNvSpPr>
        </xdr:nvSpPr>
        <xdr:spPr>
          <a:xfrm>
            <a:off x="468" y="1589"/>
            <a:ext cx="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6" name="Line 64"/>
          <xdr:cNvSpPr>
            <a:spLocks/>
          </xdr:cNvSpPr>
        </xdr:nvSpPr>
        <xdr:spPr>
          <a:xfrm>
            <a:off x="390" y="1532"/>
            <a:ext cx="0" cy="33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7" name="Line 65"/>
          <xdr:cNvSpPr>
            <a:spLocks/>
          </xdr:cNvSpPr>
        </xdr:nvSpPr>
        <xdr:spPr>
          <a:xfrm>
            <a:off x="597" y="1528"/>
            <a:ext cx="0" cy="33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Line 66"/>
          <xdr:cNvSpPr>
            <a:spLocks/>
          </xdr:cNvSpPr>
        </xdr:nvSpPr>
        <xdr:spPr>
          <a:xfrm>
            <a:off x="676" y="1518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9" name="Line 67"/>
          <xdr:cNvSpPr>
            <a:spLocks/>
          </xdr:cNvSpPr>
        </xdr:nvSpPr>
        <xdr:spPr>
          <a:xfrm>
            <a:off x="468" y="1584"/>
            <a:ext cx="0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0" name="Line 68"/>
          <xdr:cNvSpPr>
            <a:spLocks/>
          </xdr:cNvSpPr>
        </xdr:nvSpPr>
        <xdr:spPr>
          <a:xfrm>
            <a:off x="520" y="1584"/>
            <a:ext cx="0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Line 69"/>
          <xdr:cNvSpPr>
            <a:spLocks/>
          </xdr:cNvSpPr>
        </xdr:nvSpPr>
        <xdr:spPr>
          <a:xfrm>
            <a:off x="536" y="158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2" name="Line 70"/>
          <xdr:cNvSpPr>
            <a:spLocks/>
          </xdr:cNvSpPr>
        </xdr:nvSpPr>
        <xdr:spPr>
          <a:xfrm>
            <a:off x="536" y="158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3" name="Line 71"/>
          <xdr:cNvSpPr>
            <a:spLocks/>
          </xdr:cNvSpPr>
        </xdr:nvSpPr>
        <xdr:spPr>
          <a:xfrm>
            <a:off x="572" y="1551"/>
            <a:ext cx="0" cy="6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4" name="Line 72"/>
          <xdr:cNvSpPr>
            <a:spLocks/>
          </xdr:cNvSpPr>
        </xdr:nvSpPr>
        <xdr:spPr>
          <a:xfrm>
            <a:off x="468" y="1598"/>
            <a:ext cx="0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5" name="Line 73"/>
          <xdr:cNvSpPr>
            <a:spLocks/>
          </xdr:cNvSpPr>
        </xdr:nvSpPr>
        <xdr:spPr>
          <a:xfrm>
            <a:off x="520" y="1598"/>
            <a:ext cx="0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6" name="Line 74"/>
          <xdr:cNvSpPr>
            <a:spLocks/>
          </xdr:cNvSpPr>
        </xdr:nvSpPr>
        <xdr:spPr>
          <a:xfrm>
            <a:off x="468" y="1617"/>
            <a:ext cx="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7" name="Oval 75"/>
          <xdr:cNvSpPr>
            <a:spLocks/>
          </xdr:cNvSpPr>
        </xdr:nvSpPr>
        <xdr:spPr>
          <a:xfrm>
            <a:off x="570" y="1587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8" name="Oval 76"/>
          <xdr:cNvSpPr>
            <a:spLocks/>
          </xdr:cNvSpPr>
        </xdr:nvSpPr>
        <xdr:spPr>
          <a:xfrm>
            <a:off x="490" y="1584"/>
            <a:ext cx="4" cy="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9" name="Oval 77"/>
          <xdr:cNvSpPr>
            <a:spLocks/>
          </xdr:cNvSpPr>
        </xdr:nvSpPr>
        <xdr:spPr>
          <a:xfrm>
            <a:off x="674" y="154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0" name="Line 78"/>
          <xdr:cNvSpPr>
            <a:spLocks/>
          </xdr:cNvSpPr>
        </xdr:nvSpPr>
        <xdr:spPr>
          <a:xfrm>
            <a:off x="451" y="1576"/>
            <a:ext cx="7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1" name="Oval 79"/>
          <xdr:cNvSpPr>
            <a:spLocks/>
          </xdr:cNvSpPr>
        </xdr:nvSpPr>
        <xdr:spPr>
          <a:xfrm>
            <a:off x="496" y="1584"/>
            <a:ext cx="4" cy="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2" name="Oval 80"/>
          <xdr:cNvSpPr>
            <a:spLocks/>
          </xdr:cNvSpPr>
        </xdr:nvSpPr>
        <xdr:spPr>
          <a:xfrm>
            <a:off x="674" y="1549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3" name="Oval 81"/>
          <xdr:cNvSpPr>
            <a:spLocks/>
          </xdr:cNvSpPr>
        </xdr:nvSpPr>
        <xdr:spPr>
          <a:xfrm>
            <a:off x="570" y="158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4" name="Oval 82"/>
          <xdr:cNvSpPr>
            <a:spLocks/>
          </xdr:cNvSpPr>
        </xdr:nvSpPr>
        <xdr:spPr>
          <a:xfrm>
            <a:off x="466" y="161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5" name="Oval 83"/>
          <xdr:cNvSpPr>
            <a:spLocks/>
          </xdr:cNvSpPr>
        </xdr:nvSpPr>
        <xdr:spPr>
          <a:xfrm>
            <a:off x="490" y="157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6" name="Oval 84"/>
          <xdr:cNvSpPr>
            <a:spLocks/>
          </xdr:cNvSpPr>
        </xdr:nvSpPr>
        <xdr:spPr>
          <a:xfrm>
            <a:off x="518" y="1615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7" name="Oval 85"/>
          <xdr:cNvSpPr>
            <a:spLocks/>
          </xdr:cNvSpPr>
        </xdr:nvSpPr>
        <xdr:spPr>
          <a:xfrm>
            <a:off x="496" y="1574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7</xdr:col>
      <xdr:colOff>123825</xdr:colOff>
      <xdr:row>22</xdr:row>
      <xdr:rowOff>295275</xdr:rowOff>
    </xdr:from>
    <xdr:to>
      <xdr:col>11</xdr:col>
      <xdr:colOff>95250</xdr:colOff>
      <xdr:row>25</xdr:row>
      <xdr:rowOff>76200</xdr:rowOff>
    </xdr:to>
    <xdr:grpSp>
      <xdr:nvGrpSpPr>
        <xdr:cNvPr id="78" name="Group 86"/>
        <xdr:cNvGrpSpPr>
          <a:grpSpLocks/>
        </xdr:cNvGrpSpPr>
      </xdr:nvGrpSpPr>
      <xdr:grpSpPr>
        <a:xfrm>
          <a:off x="1857375" y="7210425"/>
          <a:ext cx="962025" cy="723900"/>
          <a:chOff x="509" y="768"/>
          <a:chExt cx="124" cy="76"/>
        </a:xfrm>
        <a:solidFill>
          <a:srgbClr val="FFFFFF"/>
        </a:solidFill>
      </xdr:grpSpPr>
      <xdr:sp>
        <xdr:nvSpPr>
          <xdr:cNvPr id="79" name="AutoShape 87"/>
          <xdr:cNvSpPr>
            <a:spLocks/>
          </xdr:cNvSpPr>
        </xdr:nvSpPr>
        <xdr:spPr>
          <a:xfrm>
            <a:off x="566" y="819"/>
            <a:ext cx="2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
</a:t>
            </a:r>
          </a:p>
        </xdr:txBody>
      </xdr:sp>
      <xdr:grpSp>
        <xdr:nvGrpSpPr>
          <xdr:cNvPr id="80" name="Group 88"/>
          <xdr:cNvGrpSpPr>
            <a:grpSpLocks/>
          </xdr:cNvGrpSpPr>
        </xdr:nvGrpSpPr>
        <xdr:grpSpPr>
          <a:xfrm>
            <a:off x="509" y="768"/>
            <a:ext cx="124" cy="76"/>
            <a:chOff x="509" y="768"/>
            <a:chExt cx="124" cy="76"/>
          </a:xfrm>
          <a:solidFill>
            <a:srgbClr val="FFFFFF"/>
          </a:solidFill>
        </xdr:grpSpPr>
        <xdr:sp>
          <xdr:nvSpPr>
            <xdr:cNvPr id="81" name="AutoShape 89"/>
            <xdr:cNvSpPr>
              <a:spLocks/>
            </xdr:cNvSpPr>
          </xdr:nvSpPr>
          <xdr:spPr>
            <a:xfrm>
              <a:off x="509" y="779"/>
              <a:ext cx="22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1" u="none" baseline="0">
                  <a:solidFill>
                    <a:srgbClr val="000000"/>
                  </a:solidFill>
                </a:rPr>
                <a:t></a:t>
              </a:r>
            </a:p>
          </xdr:txBody>
        </xdr:sp>
        <xdr:sp>
          <xdr:nvSpPr>
            <xdr:cNvPr id="82" name="AutoShape 90"/>
            <xdr:cNvSpPr>
              <a:spLocks/>
            </xdr:cNvSpPr>
          </xdr:nvSpPr>
          <xdr:spPr>
            <a:xfrm>
              <a:off x="523" y="791"/>
              <a:ext cx="12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83" name="AutoShape 91"/>
            <xdr:cNvSpPr>
              <a:spLocks/>
            </xdr:cNvSpPr>
          </xdr:nvSpPr>
          <xdr:spPr>
            <a:xfrm>
              <a:off x="584" y="776"/>
              <a:ext cx="12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84" name="AutoShape 92"/>
            <xdr:cNvSpPr>
              <a:spLocks/>
            </xdr:cNvSpPr>
          </xdr:nvSpPr>
          <xdr:spPr>
            <a:xfrm>
              <a:off x="582" y="794"/>
              <a:ext cx="13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</a:rPr>
                <a:t>3</a:t>
              </a:r>
            </a:p>
          </xdr:txBody>
        </xdr:sp>
        <xdr:sp>
          <xdr:nvSpPr>
            <xdr:cNvPr id="85" name="AutoShape 93"/>
            <xdr:cNvSpPr>
              <a:spLocks/>
            </xdr:cNvSpPr>
          </xdr:nvSpPr>
          <xdr:spPr>
            <a:xfrm>
              <a:off x="584" y="806"/>
              <a:ext cx="4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86" name="AutoShape 94"/>
            <xdr:cNvSpPr>
              <a:spLocks/>
            </xdr:cNvSpPr>
          </xdr:nvSpPr>
          <xdr:spPr>
            <a:xfrm>
              <a:off x="537" y="781"/>
              <a:ext cx="16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</a:t>
              </a:r>
            </a:p>
          </xdr:txBody>
        </xdr:sp>
        <xdr:sp>
          <xdr:nvSpPr>
            <xdr:cNvPr id="87" name="AutoShape 95"/>
            <xdr:cNvSpPr>
              <a:spLocks/>
            </xdr:cNvSpPr>
          </xdr:nvSpPr>
          <xdr:spPr>
            <a:xfrm>
              <a:off x="617" y="782"/>
              <a:ext cx="16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</a:t>
              </a:r>
            </a:p>
          </xdr:txBody>
        </xdr:sp>
        <xdr:sp>
          <xdr:nvSpPr>
            <xdr:cNvPr id="88" name="AutoShape 96"/>
            <xdr:cNvSpPr>
              <a:spLocks/>
            </xdr:cNvSpPr>
          </xdr:nvSpPr>
          <xdr:spPr>
            <a:xfrm>
              <a:off x="576" y="768"/>
              <a:ext cx="18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1" u="none" baseline="0">
                  <a:solidFill>
                    <a:srgbClr val="000000"/>
                  </a:solidFill>
                </a:rPr>
                <a:t>I</a:t>
              </a:r>
            </a:p>
          </xdr:txBody>
        </xdr:sp>
        <xdr:sp>
          <xdr:nvSpPr>
            <xdr:cNvPr id="89" name="AutoShape 97"/>
            <xdr:cNvSpPr>
              <a:spLocks/>
            </xdr:cNvSpPr>
          </xdr:nvSpPr>
          <xdr:spPr>
            <a:xfrm>
              <a:off x="566" y="797"/>
              <a:ext cx="35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200" b="0" i="1" u="none" baseline="0">
                  <a:solidFill>
                    <a:srgbClr val="000000"/>
                  </a:solidFill>
                </a:rPr>
                <a:t>bt</a:t>
              </a:r>
            </a:p>
          </xdr:txBody>
        </xdr:sp>
        <xdr:sp>
          <xdr:nvSpPr>
            <xdr:cNvPr id="90" name="Line 98"/>
            <xdr:cNvSpPr>
              <a:spLocks/>
            </xdr:cNvSpPr>
          </xdr:nvSpPr>
          <xdr:spPr>
            <a:xfrm>
              <a:off x="556" y="791"/>
              <a:ext cx="4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91" name="Line 99"/>
            <xdr:cNvSpPr>
              <a:spLocks/>
            </xdr:cNvSpPr>
          </xdr:nvSpPr>
          <xdr:spPr>
            <a:xfrm>
              <a:off x="560" y="816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39</xdr:row>
      <xdr:rowOff>266700</xdr:rowOff>
    </xdr:from>
    <xdr:to>
      <xdr:col>7</xdr:col>
      <xdr:colOff>95250</xdr:colOff>
      <xdr:row>41</xdr:row>
      <xdr:rowOff>66675</xdr:rowOff>
    </xdr:to>
    <xdr:grpSp>
      <xdr:nvGrpSpPr>
        <xdr:cNvPr id="92" name="Group 100"/>
        <xdr:cNvGrpSpPr>
          <a:grpSpLocks/>
        </xdr:cNvGrpSpPr>
      </xdr:nvGrpSpPr>
      <xdr:grpSpPr>
        <a:xfrm>
          <a:off x="495300" y="12525375"/>
          <a:ext cx="1333500" cy="428625"/>
          <a:chOff x="469" y="1223"/>
          <a:chExt cx="140" cy="45"/>
        </a:xfrm>
        <a:solidFill>
          <a:srgbClr val="FFFFFF"/>
        </a:solidFill>
      </xdr:grpSpPr>
      <xdr:sp>
        <xdr:nvSpPr>
          <xdr:cNvPr id="93" name="AutoShape 101"/>
          <xdr:cNvSpPr>
            <a:spLocks/>
          </xdr:cNvSpPr>
        </xdr:nvSpPr>
        <xdr:spPr>
          <a:xfrm>
            <a:off x="469" y="1235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</a:t>
            </a:r>
          </a:p>
        </xdr:txBody>
      </xdr:sp>
      <xdr:sp>
        <xdr:nvSpPr>
          <xdr:cNvPr id="94" name="AutoShape 102"/>
          <xdr:cNvSpPr>
            <a:spLocks/>
          </xdr:cNvSpPr>
        </xdr:nvSpPr>
        <xdr:spPr>
          <a:xfrm>
            <a:off x="536" y="1225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bt</a:t>
            </a:r>
          </a:p>
        </xdr:txBody>
      </xdr:sp>
      <xdr:sp>
        <xdr:nvSpPr>
          <xdr:cNvPr id="95" name="AutoShape 103"/>
          <xdr:cNvSpPr>
            <a:spLocks/>
          </xdr:cNvSpPr>
        </xdr:nvSpPr>
        <xdr:spPr>
          <a:xfrm>
            <a:off x="483" y="1246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req</a:t>
            </a:r>
          </a:p>
        </xdr:txBody>
      </xdr:sp>
      <xdr:sp>
        <xdr:nvSpPr>
          <xdr:cNvPr id="96" name="AutoShape 104"/>
          <xdr:cNvSpPr>
            <a:spLocks/>
          </xdr:cNvSpPr>
        </xdr:nvSpPr>
        <xdr:spPr>
          <a:xfrm>
            <a:off x="475" y="1244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97" name="AutoShape 105"/>
          <xdr:cNvSpPr>
            <a:spLocks/>
          </xdr:cNvSpPr>
        </xdr:nvSpPr>
        <xdr:spPr>
          <a:xfrm>
            <a:off x="551" y="1223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98" name="AutoShape 106"/>
          <xdr:cNvSpPr>
            <a:spLocks/>
          </xdr:cNvSpPr>
        </xdr:nvSpPr>
        <xdr:spPr>
          <a:xfrm>
            <a:off x="577" y="1245"/>
            <a:ext cx="2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l req</a:t>
            </a:r>
          </a:p>
        </xdr:txBody>
      </xdr:sp>
      <xdr:sp>
        <xdr:nvSpPr>
          <xdr:cNvPr id="99" name="AutoShape 107"/>
          <xdr:cNvSpPr>
            <a:spLocks/>
          </xdr:cNvSpPr>
        </xdr:nvSpPr>
        <xdr:spPr>
          <a:xfrm>
            <a:off x="532" y="1247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100" name="AutoShape 108"/>
          <xdr:cNvSpPr>
            <a:spLocks/>
          </xdr:cNvSpPr>
        </xdr:nvSpPr>
        <xdr:spPr>
          <a:xfrm>
            <a:off x="479" y="1244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</a:p>
        </xdr:txBody>
      </xdr:sp>
      <xdr:sp>
        <xdr:nvSpPr>
          <xdr:cNvPr id="101" name="AutoShape 109"/>
          <xdr:cNvSpPr>
            <a:spLocks/>
          </xdr:cNvSpPr>
        </xdr:nvSpPr>
        <xdr:spPr>
          <a:xfrm>
            <a:off x="496" y="1244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102" name="AutoShape 110"/>
          <xdr:cNvSpPr>
            <a:spLocks/>
          </xdr:cNvSpPr>
        </xdr:nvSpPr>
        <xdr:spPr>
          <a:xfrm>
            <a:off x="505" y="1235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03" name="AutoShape 111"/>
          <xdr:cNvSpPr>
            <a:spLocks/>
          </xdr:cNvSpPr>
        </xdr:nvSpPr>
        <xdr:spPr>
          <a:xfrm>
            <a:off x="602" y="1233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04" name="AutoShape 112"/>
          <xdr:cNvSpPr>
            <a:spLocks/>
          </xdr:cNvSpPr>
        </xdr:nvSpPr>
        <xdr:spPr>
          <a:xfrm>
            <a:off x="566" y="1234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</a:t>
            </a:r>
          </a:p>
        </xdr:txBody>
      </xdr:sp>
      <xdr:sp>
        <xdr:nvSpPr>
          <xdr:cNvPr id="105" name="Line 113"/>
          <xdr:cNvSpPr>
            <a:spLocks/>
          </xdr:cNvSpPr>
        </xdr:nvSpPr>
        <xdr:spPr>
          <a:xfrm>
            <a:off x="527" y="124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74</xdr:row>
      <xdr:rowOff>0</xdr:rowOff>
    </xdr:from>
    <xdr:to>
      <xdr:col>7</xdr:col>
      <xdr:colOff>85725</xdr:colOff>
      <xdr:row>75</xdr:row>
      <xdr:rowOff>114300</xdr:rowOff>
    </xdr:to>
    <xdr:grpSp>
      <xdr:nvGrpSpPr>
        <xdr:cNvPr id="106" name="Group 114"/>
        <xdr:cNvGrpSpPr>
          <a:grpSpLocks/>
        </xdr:cNvGrpSpPr>
      </xdr:nvGrpSpPr>
      <xdr:grpSpPr>
        <a:xfrm>
          <a:off x="485775" y="23260050"/>
          <a:ext cx="1333500" cy="428625"/>
          <a:chOff x="499" y="2508"/>
          <a:chExt cx="140" cy="45"/>
        </a:xfrm>
        <a:solidFill>
          <a:srgbClr val="FFFFFF"/>
        </a:solidFill>
      </xdr:grpSpPr>
      <xdr:sp>
        <xdr:nvSpPr>
          <xdr:cNvPr id="107" name="AutoShape 115"/>
          <xdr:cNvSpPr>
            <a:spLocks/>
          </xdr:cNvSpPr>
        </xdr:nvSpPr>
        <xdr:spPr>
          <a:xfrm>
            <a:off x="499" y="2520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</a:t>
            </a:r>
          </a:p>
        </xdr:txBody>
      </xdr:sp>
      <xdr:sp>
        <xdr:nvSpPr>
          <xdr:cNvPr id="108" name="AutoShape 116"/>
          <xdr:cNvSpPr>
            <a:spLocks/>
          </xdr:cNvSpPr>
        </xdr:nvSpPr>
        <xdr:spPr>
          <a:xfrm>
            <a:off x="566" y="2510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bt</a:t>
            </a:r>
          </a:p>
        </xdr:txBody>
      </xdr:sp>
      <xdr:sp>
        <xdr:nvSpPr>
          <xdr:cNvPr id="109" name="AutoShape 117"/>
          <xdr:cNvSpPr>
            <a:spLocks/>
          </xdr:cNvSpPr>
        </xdr:nvSpPr>
        <xdr:spPr>
          <a:xfrm>
            <a:off x="513" y="2531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req</a:t>
            </a:r>
          </a:p>
        </xdr:txBody>
      </xdr:sp>
      <xdr:sp>
        <xdr:nvSpPr>
          <xdr:cNvPr id="110" name="AutoShape 118"/>
          <xdr:cNvSpPr>
            <a:spLocks/>
          </xdr:cNvSpPr>
        </xdr:nvSpPr>
        <xdr:spPr>
          <a:xfrm>
            <a:off x="505" y="2529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111" name="AutoShape 119"/>
          <xdr:cNvSpPr>
            <a:spLocks/>
          </xdr:cNvSpPr>
        </xdr:nvSpPr>
        <xdr:spPr>
          <a:xfrm>
            <a:off x="581" y="2508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12" name="AutoShape 120"/>
          <xdr:cNvSpPr>
            <a:spLocks/>
          </xdr:cNvSpPr>
        </xdr:nvSpPr>
        <xdr:spPr>
          <a:xfrm>
            <a:off x="607" y="2530"/>
            <a:ext cx="2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v req</a:t>
            </a:r>
          </a:p>
        </xdr:txBody>
      </xdr:sp>
      <xdr:sp>
        <xdr:nvSpPr>
          <xdr:cNvPr id="113" name="AutoShape 121"/>
          <xdr:cNvSpPr>
            <a:spLocks/>
          </xdr:cNvSpPr>
        </xdr:nvSpPr>
        <xdr:spPr>
          <a:xfrm>
            <a:off x="562" y="2532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114" name="AutoShape 122"/>
          <xdr:cNvSpPr>
            <a:spLocks/>
          </xdr:cNvSpPr>
        </xdr:nvSpPr>
        <xdr:spPr>
          <a:xfrm>
            <a:off x="509" y="2529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</a:p>
        </xdr:txBody>
      </xdr:sp>
      <xdr:sp>
        <xdr:nvSpPr>
          <xdr:cNvPr id="115" name="AutoShape 123"/>
          <xdr:cNvSpPr>
            <a:spLocks/>
          </xdr:cNvSpPr>
        </xdr:nvSpPr>
        <xdr:spPr>
          <a:xfrm>
            <a:off x="526" y="2529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116" name="AutoShape 124"/>
          <xdr:cNvSpPr>
            <a:spLocks/>
          </xdr:cNvSpPr>
        </xdr:nvSpPr>
        <xdr:spPr>
          <a:xfrm>
            <a:off x="535" y="2520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17" name="AutoShape 125"/>
          <xdr:cNvSpPr>
            <a:spLocks/>
          </xdr:cNvSpPr>
        </xdr:nvSpPr>
        <xdr:spPr>
          <a:xfrm>
            <a:off x="632" y="2518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18" name="AutoShape 126"/>
          <xdr:cNvSpPr>
            <a:spLocks/>
          </xdr:cNvSpPr>
        </xdr:nvSpPr>
        <xdr:spPr>
          <a:xfrm>
            <a:off x="596" y="2519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</a:t>
            </a:r>
          </a:p>
        </xdr:txBody>
      </xdr:sp>
      <xdr:sp>
        <xdr:nvSpPr>
          <xdr:cNvPr id="119" name="Line 127"/>
          <xdr:cNvSpPr>
            <a:spLocks/>
          </xdr:cNvSpPr>
        </xdr:nvSpPr>
        <xdr:spPr>
          <a:xfrm>
            <a:off x="557" y="253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91</xdr:row>
      <xdr:rowOff>295275</xdr:rowOff>
    </xdr:from>
    <xdr:to>
      <xdr:col>6</xdr:col>
      <xdr:colOff>219075</xdr:colOff>
      <xdr:row>93</xdr:row>
      <xdr:rowOff>95250</xdr:rowOff>
    </xdr:to>
    <xdr:grpSp>
      <xdr:nvGrpSpPr>
        <xdr:cNvPr id="120" name="Group 128"/>
        <xdr:cNvGrpSpPr>
          <a:grpSpLocks/>
        </xdr:cNvGrpSpPr>
      </xdr:nvGrpSpPr>
      <xdr:grpSpPr>
        <a:xfrm>
          <a:off x="495300" y="28898850"/>
          <a:ext cx="1209675" cy="428625"/>
          <a:chOff x="52" y="3001"/>
          <a:chExt cx="127" cy="45"/>
        </a:xfrm>
        <a:solidFill>
          <a:srgbClr val="FFFFFF"/>
        </a:solidFill>
      </xdr:grpSpPr>
      <xdr:sp>
        <xdr:nvSpPr>
          <xdr:cNvPr id="121" name="AutoShape 129"/>
          <xdr:cNvSpPr>
            <a:spLocks/>
          </xdr:cNvSpPr>
        </xdr:nvSpPr>
        <xdr:spPr>
          <a:xfrm>
            <a:off x="52" y="3015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I</a:t>
            </a:r>
          </a:p>
        </xdr:txBody>
      </xdr:sp>
      <xdr:sp>
        <xdr:nvSpPr>
          <xdr:cNvPr id="122" name="AutoShape 130"/>
          <xdr:cNvSpPr>
            <a:spLocks/>
          </xdr:cNvSpPr>
        </xdr:nvSpPr>
        <xdr:spPr>
          <a:xfrm>
            <a:off x="115" y="3003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bt</a:t>
            </a:r>
          </a:p>
        </xdr:txBody>
      </xdr:sp>
      <xdr:sp>
        <xdr:nvSpPr>
          <xdr:cNvPr id="123" name="AutoShape 131"/>
          <xdr:cNvSpPr>
            <a:spLocks/>
          </xdr:cNvSpPr>
        </xdr:nvSpPr>
        <xdr:spPr>
          <a:xfrm>
            <a:off x="70" y="3024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1" u="none" baseline="0">
                <a:solidFill>
                  <a:srgbClr val="000000"/>
                </a:solidFill>
              </a:rPr>
              <a:t>req</a:t>
            </a:r>
          </a:p>
        </xdr:txBody>
      </xdr:sp>
      <xdr:sp>
        <xdr:nvSpPr>
          <xdr:cNvPr id="124" name="AutoShape 132"/>
          <xdr:cNvSpPr>
            <a:spLocks/>
          </xdr:cNvSpPr>
        </xdr:nvSpPr>
        <xdr:spPr>
          <a:xfrm>
            <a:off x="61" y="3022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25" name="AutoShape 133"/>
          <xdr:cNvSpPr>
            <a:spLocks/>
          </xdr:cNvSpPr>
        </xdr:nvSpPr>
        <xdr:spPr>
          <a:xfrm>
            <a:off x="128" y="3001"/>
            <a:ext cx="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26" name="AutoShape 134"/>
          <xdr:cNvSpPr>
            <a:spLocks/>
          </xdr:cNvSpPr>
        </xdr:nvSpPr>
        <xdr:spPr>
          <a:xfrm>
            <a:off x="151" y="3023"/>
            <a:ext cx="1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h req</a:t>
            </a:r>
          </a:p>
        </xdr:txBody>
      </xdr:sp>
      <xdr:sp>
        <xdr:nvSpPr>
          <xdr:cNvPr id="127" name="AutoShape 135"/>
          <xdr:cNvSpPr>
            <a:spLocks/>
          </xdr:cNvSpPr>
        </xdr:nvSpPr>
        <xdr:spPr>
          <a:xfrm>
            <a:off x="112" y="3025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128" name="AutoShape 136"/>
          <xdr:cNvSpPr>
            <a:spLocks/>
          </xdr:cNvSpPr>
        </xdr:nvSpPr>
        <xdr:spPr>
          <a:xfrm>
            <a:off x="67" y="3022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</a:p>
        </xdr:txBody>
      </xdr:sp>
      <xdr:sp>
        <xdr:nvSpPr>
          <xdr:cNvPr id="129" name="AutoShape 137"/>
          <xdr:cNvSpPr>
            <a:spLocks/>
          </xdr:cNvSpPr>
        </xdr:nvSpPr>
        <xdr:spPr>
          <a:xfrm>
            <a:off x="81" y="3022"/>
            <a:ext cx="3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130" name="AutoShape 138"/>
          <xdr:cNvSpPr>
            <a:spLocks/>
          </xdr:cNvSpPr>
        </xdr:nvSpPr>
        <xdr:spPr>
          <a:xfrm>
            <a:off x="89" y="3013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31" name="AutoShape 139"/>
          <xdr:cNvSpPr>
            <a:spLocks/>
          </xdr:cNvSpPr>
        </xdr:nvSpPr>
        <xdr:spPr>
          <a:xfrm>
            <a:off x="172" y="3011"/>
            <a:ext cx="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</a:t>
            </a:r>
          </a:p>
        </xdr:txBody>
      </xdr:sp>
      <xdr:sp>
        <xdr:nvSpPr>
          <xdr:cNvPr id="132" name="AutoShape 140"/>
          <xdr:cNvSpPr>
            <a:spLocks/>
          </xdr:cNvSpPr>
        </xdr:nvSpPr>
        <xdr:spPr>
          <a:xfrm>
            <a:off x="141" y="3012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</a:t>
            </a:r>
          </a:p>
        </xdr:txBody>
      </xdr:sp>
      <xdr:sp>
        <xdr:nvSpPr>
          <xdr:cNvPr id="133" name="Line 141"/>
          <xdr:cNvSpPr>
            <a:spLocks/>
          </xdr:cNvSpPr>
        </xdr:nvSpPr>
        <xdr:spPr>
          <a:xfrm>
            <a:off x="108" y="3023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8</xdr:col>
      <xdr:colOff>114300</xdr:colOff>
      <xdr:row>128</xdr:row>
      <xdr:rowOff>123825</xdr:rowOff>
    </xdr:from>
    <xdr:to>
      <xdr:col>20</xdr:col>
      <xdr:colOff>38100</xdr:colOff>
      <xdr:row>129</xdr:row>
      <xdr:rowOff>190500</xdr:rowOff>
    </xdr:to>
    <xdr:sp>
      <xdr:nvSpPr>
        <xdr:cNvPr id="134" name="AutoShape 142"/>
        <xdr:cNvSpPr>
          <a:spLocks/>
        </xdr:cNvSpPr>
      </xdr:nvSpPr>
      <xdr:spPr>
        <a:xfrm>
          <a:off x="2095500" y="40357425"/>
          <a:ext cx="2895600" cy="381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161925</xdr:colOff>
      <xdr:row>128</xdr:row>
      <xdr:rowOff>171450</xdr:rowOff>
    </xdr:from>
    <xdr:to>
      <xdr:col>15</xdr:col>
      <xdr:colOff>85725</xdr:colOff>
      <xdr:row>129</xdr:row>
      <xdr:rowOff>152400</xdr:rowOff>
    </xdr:to>
    <xdr:sp>
      <xdr:nvSpPr>
        <xdr:cNvPr id="135" name="AutoShape 143"/>
        <xdr:cNvSpPr>
          <a:spLocks/>
        </xdr:cNvSpPr>
      </xdr:nvSpPr>
      <xdr:spPr>
        <a:xfrm>
          <a:off x="3133725" y="40405050"/>
          <a:ext cx="6667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22</xdr:col>
      <xdr:colOff>200025</xdr:colOff>
      <xdr:row>130</xdr:row>
      <xdr:rowOff>161925</xdr:rowOff>
    </xdr:from>
    <xdr:to>
      <xdr:col>25</xdr:col>
      <xdr:colOff>57150</xdr:colOff>
      <xdr:row>131</xdr:row>
      <xdr:rowOff>142875</xdr:rowOff>
    </xdr:to>
    <xdr:sp>
      <xdr:nvSpPr>
        <xdr:cNvPr id="136" name="AutoShape 144"/>
        <xdr:cNvSpPr>
          <a:spLocks/>
        </xdr:cNvSpPr>
      </xdr:nvSpPr>
      <xdr:spPr>
        <a:xfrm>
          <a:off x="5648325" y="41024175"/>
          <a:ext cx="6000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28575</xdr:colOff>
      <xdr:row>128</xdr:row>
      <xdr:rowOff>76200</xdr:rowOff>
    </xdr:from>
    <xdr:to>
      <xdr:col>19</xdr:col>
      <xdr:colOff>142875</xdr:colOff>
      <xdr:row>129</xdr:row>
      <xdr:rowOff>190500</xdr:rowOff>
    </xdr:to>
    <xdr:grpSp>
      <xdr:nvGrpSpPr>
        <xdr:cNvPr id="137" name="Group 145"/>
        <xdr:cNvGrpSpPr>
          <a:grpSpLocks/>
        </xdr:cNvGrpSpPr>
      </xdr:nvGrpSpPr>
      <xdr:grpSpPr>
        <a:xfrm>
          <a:off x="3000375" y="40309800"/>
          <a:ext cx="1847850" cy="428625"/>
          <a:chOff x="212" y="3340"/>
          <a:chExt cx="194" cy="45"/>
        </a:xfrm>
        <a:solidFill>
          <a:srgbClr val="FFFFFF"/>
        </a:solidFill>
      </xdr:grpSpPr>
      <xdr:sp>
        <xdr:nvSpPr>
          <xdr:cNvPr id="138" name="Line 146"/>
          <xdr:cNvSpPr>
            <a:spLocks/>
          </xdr:cNvSpPr>
        </xdr:nvSpPr>
        <xdr:spPr>
          <a:xfrm>
            <a:off x="221" y="3341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9" name="Line 147"/>
          <xdr:cNvSpPr>
            <a:spLocks/>
          </xdr:cNvSpPr>
        </xdr:nvSpPr>
        <xdr:spPr>
          <a:xfrm flipH="1">
            <a:off x="217" y="3340"/>
            <a:ext cx="4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0" name="Line 148"/>
          <xdr:cNvSpPr>
            <a:spLocks/>
          </xdr:cNvSpPr>
        </xdr:nvSpPr>
        <xdr:spPr>
          <a:xfrm flipH="1" flipV="1">
            <a:off x="215" y="3371"/>
            <a:ext cx="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1" name="Line 149"/>
          <xdr:cNvSpPr>
            <a:spLocks/>
          </xdr:cNvSpPr>
        </xdr:nvSpPr>
        <xdr:spPr>
          <a:xfrm flipH="1">
            <a:off x="212" y="3371"/>
            <a:ext cx="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17</xdr:col>
      <xdr:colOff>180975</xdr:colOff>
      <xdr:row>130</xdr:row>
      <xdr:rowOff>161925</xdr:rowOff>
    </xdr:from>
    <xdr:to>
      <xdr:col>21</xdr:col>
      <xdr:colOff>66675</xdr:colOff>
      <xdr:row>131</xdr:row>
      <xdr:rowOff>142875</xdr:rowOff>
    </xdr:to>
    <xdr:sp>
      <xdr:nvSpPr>
        <xdr:cNvPr id="142" name="AutoShape 150"/>
        <xdr:cNvSpPr>
          <a:spLocks/>
        </xdr:cNvSpPr>
      </xdr:nvSpPr>
      <xdr:spPr>
        <a:xfrm>
          <a:off x="4391025" y="41024175"/>
          <a:ext cx="8763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133350</xdr:colOff>
      <xdr:row>128</xdr:row>
      <xdr:rowOff>190500</xdr:rowOff>
    </xdr:from>
    <xdr:to>
      <xdr:col>19</xdr:col>
      <xdr:colOff>76200</xdr:colOff>
      <xdr:row>129</xdr:row>
      <xdr:rowOff>171450</xdr:rowOff>
    </xdr:to>
    <xdr:sp>
      <xdr:nvSpPr>
        <xdr:cNvPr id="143" name="AutoShape 151"/>
        <xdr:cNvSpPr>
          <a:spLocks/>
        </xdr:cNvSpPr>
      </xdr:nvSpPr>
      <xdr:spPr>
        <a:xfrm>
          <a:off x="4343400" y="40424100"/>
          <a:ext cx="4381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133350</xdr:colOff>
      <xdr:row>130</xdr:row>
      <xdr:rowOff>123825</xdr:rowOff>
    </xdr:from>
    <xdr:to>
      <xdr:col>26</xdr:col>
      <xdr:colOff>28575</xdr:colOff>
      <xdr:row>131</xdr:row>
      <xdr:rowOff>190500</xdr:rowOff>
    </xdr:to>
    <xdr:sp>
      <xdr:nvSpPr>
        <xdr:cNvPr id="144" name="AutoShape 152"/>
        <xdr:cNvSpPr>
          <a:spLocks/>
        </xdr:cNvSpPr>
      </xdr:nvSpPr>
      <xdr:spPr>
        <a:xfrm>
          <a:off x="3105150" y="40986075"/>
          <a:ext cx="3362325" cy="381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66675</xdr:colOff>
      <xdr:row>130</xdr:row>
      <xdr:rowOff>57150</xdr:rowOff>
    </xdr:from>
    <xdr:to>
      <xdr:col>25</xdr:col>
      <xdr:colOff>171450</xdr:colOff>
      <xdr:row>131</xdr:row>
      <xdr:rowOff>171450</xdr:rowOff>
    </xdr:to>
    <xdr:grpSp>
      <xdr:nvGrpSpPr>
        <xdr:cNvPr id="145" name="Group 153"/>
        <xdr:cNvGrpSpPr>
          <a:grpSpLocks/>
        </xdr:cNvGrpSpPr>
      </xdr:nvGrpSpPr>
      <xdr:grpSpPr>
        <a:xfrm>
          <a:off x="4276725" y="40919400"/>
          <a:ext cx="2085975" cy="428625"/>
          <a:chOff x="291" y="3404"/>
          <a:chExt cx="219" cy="45"/>
        </a:xfrm>
        <a:solidFill>
          <a:srgbClr val="FFFFFF"/>
        </a:solidFill>
      </xdr:grpSpPr>
      <xdr:sp>
        <xdr:nvSpPr>
          <xdr:cNvPr id="146" name="Line 154"/>
          <xdr:cNvSpPr>
            <a:spLocks/>
          </xdr:cNvSpPr>
        </xdr:nvSpPr>
        <xdr:spPr>
          <a:xfrm flipH="1">
            <a:off x="296" y="3404"/>
            <a:ext cx="4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7" name="Line 155"/>
          <xdr:cNvSpPr>
            <a:spLocks/>
          </xdr:cNvSpPr>
        </xdr:nvSpPr>
        <xdr:spPr>
          <a:xfrm flipH="1" flipV="1">
            <a:off x="294" y="3435"/>
            <a:ext cx="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8" name="Line 156"/>
          <xdr:cNvSpPr>
            <a:spLocks/>
          </xdr:cNvSpPr>
        </xdr:nvSpPr>
        <xdr:spPr>
          <a:xfrm flipH="1">
            <a:off x="291" y="3435"/>
            <a:ext cx="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9" name="Line 157"/>
          <xdr:cNvSpPr>
            <a:spLocks/>
          </xdr:cNvSpPr>
        </xdr:nvSpPr>
        <xdr:spPr>
          <a:xfrm>
            <a:off x="300" y="3404"/>
            <a:ext cx="2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101</xdr:row>
      <xdr:rowOff>285750</xdr:rowOff>
    </xdr:from>
    <xdr:to>
      <xdr:col>24</xdr:col>
      <xdr:colOff>47625</xdr:colOff>
      <xdr:row>108</xdr:row>
      <xdr:rowOff>142875</xdr:rowOff>
    </xdr:to>
    <xdr:grpSp>
      <xdr:nvGrpSpPr>
        <xdr:cNvPr id="150" name="Group 158"/>
        <xdr:cNvGrpSpPr>
          <a:grpSpLocks/>
        </xdr:cNvGrpSpPr>
      </xdr:nvGrpSpPr>
      <xdr:grpSpPr>
        <a:xfrm>
          <a:off x="514350" y="32032575"/>
          <a:ext cx="5476875" cy="2057400"/>
          <a:chOff x="54" y="3033"/>
          <a:chExt cx="575" cy="216"/>
        </a:xfrm>
        <a:solidFill>
          <a:srgbClr val="FFFFFF"/>
        </a:solidFill>
      </xdr:grpSpPr>
      <xdr:sp>
        <xdr:nvSpPr>
          <xdr:cNvPr id="151" name="AutoShape 159"/>
          <xdr:cNvSpPr>
            <a:spLocks/>
          </xdr:cNvSpPr>
        </xdr:nvSpPr>
        <xdr:spPr>
          <a:xfrm>
            <a:off x="54" y="3033"/>
            <a:ext cx="131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2" name="AutoShape 160"/>
          <xdr:cNvSpPr>
            <a:spLocks/>
          </xdr:cNvSpPr>
        </xdr:nvSpPr>
        <xdr:spPr>
          <a:xfrm>
            <a:off x="146" y="3038"/>
            <a:ext cx="4" cy="1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3" name="AutoShape 161"/>
          <xdr:cNvSpPr>
            <a:spLocks/>
          </xdr:cNvSpPr>
        </xdr:nvSpPr>
        <xdr:spPr>
          <a:xfrm>
            <a:off x="54" y="3208"/>
            <a:ext cx="131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4" name="AutoShape 162"/>
          <xdr:cNvSpPr>
            <a:spLocks/>
          </xdr:cNvSpPr>
        </xdr:nvSpPr>
        <xdr:spPr>
          <a:xfrm>
            <a:off x="192" y="3207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5" name="AutoShape 163"/>
          <xdr:cNvSpPr>
            <a:spLocks/>
          </xdr:cNvSpPr>
        </xdr:nvSpPr>
        <xdr:spPr>
          <a:xfrm flipH="1">
            <a:off x="243" y="3038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6" name="AutoShape 164"/>
          <xdr:cNvSpPr>
            <a:spLocks/>
          </xdr:cNvSpPr>
        </xdr:nvSpPr>
        <xdr:spPr>
          <a:xfrm>
            <a:off x="289" y="3038"/>
            <a:ext cx="0" cy="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7" name="AutoShape 165"/>
          <xdr:cNvSpPr>
            <a:spLocks/>
          </xdr:cNvSpPr>
        </xdr:nvSpPr>
        <xdr:spPr>
          <a:xfrm>
            <a:off x="289" y="3207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8" name="AutoShape 166"/>
          <xdr:cNvSpPr>
            <a:spLocks/>
          </xdr:cNvSpPr>
        </xdr:nvSpPr>
        <xdr:spPr>
          <a:xfrm>
            <a:off x="243" y="3038"/>
            <a:ext cx="91" cy="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9" name="AutoShape 167"/>
          <xdr:cNvSpPr>
            <a:spLocks/>
          </xdr:cNvSpPr>
        </xdr:nvSpPr>
        <xdr:spPr>
          <a:xfrm>
            <a:off x="367" y="3033"/>
            <a:ext cx="208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0" name="AutoShape 168"/>
          <xdr:cNvSpPr>
            <a:spLocks/>
          </xdr:cNvSpPr>
        </xdr:nvSpPr>
        <xdr:spPr>
          <a:xfrm>
            <a:off x="367" y="3207"/>
            <a:ext cx="208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1" name="AutoShape 169"/>
          <xdr:cNvSpPr>
            <a:spLocks/>
          </xdr:cNvSpPr>
        </xdr:nvSpPr>
        <xdr:spPr>
          <a:xfrm>
            <a:off x="401" y="3038"/>
            <a:ext cx="5" cy="1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2" name="AutoShape 170"/>
          <xdr:cNvSpPr>
            <a:spLocks/>
          </xdr:cNvSpPr>
        </xdr:nvSpPr>
        <xdr:spPr>
          <a:xfrm>
            <a:off x="549" y="3038"/>
            <a:ext cx="5" cy="1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3" name="AutoShape 171"/>
          <xdr:cNvSpPr>
            <a:spLocks/>
          </xdr:cNvSpPr>
        </xdr:nvSpPr>
        <xdr:spPr>
          <a:xfrm>
            <a:off x="403" y="3218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4" name="AutoShape 172"/>
          <xdr:cNvSpPr>
            <a:spLocks/>
          </xdr:cNvSpPr>
        </xdr:nvSpPr>
        <xdr:spPr>
          <a:xfrm>
            <a:off x="552" y="3221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5" name="AutoShape 173"/>
          <xdr:cNvSpPr>
            <a:spLocks/>
          </xdr:cNvSpPr>
        </xdr:nvSpPr>
        <xdr:spPr>
          <a:xfrm>
            <a:off x="403" y="3246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6" name="AutoShape 174"/>
          <xdr:cNvSpPr>
            <a:spLocks/>
          </xdr:cNvSpPr>
        </xdr:nvSpPr>
        <xdr:spPr>
          <a:xfrm>
            <a:off x="461" y="3229"/>
            <a:ext cx="2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67" name="Line 175"/>
          <xdr:cNvSpPr>
            <a:spLocks/>
          </xdr:cNvSpPr>
        </xdr:nvSpPr>
        <xdr:spPr>
          <a:xfrm>
            <a:off x="581" y="3040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8" name="Line 176"/>
          <xdr:cNvSpPr>
            <a:spLocks/>
          </xdr:cNvSpPr>
        </xdr:nvSpPr>
        <xdr:spPr>
          <a:xfrm>
            <a:off x="581" y="3207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9" name="Line 177"/>
          <xdr:cNvSpPr>
            <a:spLocks/>
          </xdr:cNvSpPr>
        </xdr:nvSpPr>
        <xdr:spPr>
          <a:xfrm>
            <a:off x="624" y="3040"/>
            <a:ext cx="0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0" name="Rectangle 178"/>
          <xdr:cNvSpPr>
            <a:spLocks/>
          </xdr:cNvSpPr>
        </xdr:nvSpPr>
        <xdr:spPr>
          <a:xfrm>
            <a:off x="410" y="3069"/>
            <a:ext cx="135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1" name="Rectangle 179"/>
          <xdr:cNvSpPr>
            <a:spLocks/>
          </xdr:cNvSpPr>
        </xdr:nvSpPr>
        <xdr:spPr>
          <a:xfrm>
            <a:off x="117" y="3069"/>
            <a:ext cx="28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2" name="Line 180"/>
          <xdr:cNvSpPr>
            <a:spLocks/>
          </xdr:cNvSpPr>
        </xdr:nvSpPr>
        <xdr:spPr>
          <a:xfrm>
            <a:off x="156" y="307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3" name="Line 181"/>
          <xdr:cNvSpPr>
            <a:spLocks/>
          </xdr:cNvSpPr>
        </xdr:nvSpPr>
        <xdr:spPr>
          <a:xfrm flipV="1">
            <a:off x="228" y="3071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109</xdr:row>
      <xdr:rowOff>285750</xdr:rowOff>
    </xdr:from>
    <xdr:to>
      <xdr:col>24</xdr:col>
      <xdr:colOff>47625</xdr:colOff>
      <xdr:row>116</xdr:row>
      <xdr:rowOff>142875</xdr:rowOff>
    </xdr:to>
    <xdr:grpSp>
      <xdr:nvGrpSpPr>
        <xdr:cNvPr id="174" name="Group 182"/>
        <xdr:cNvGrpSpPr>
          <a:grpSpLocks/>
        </xdr:cNvGrpSpPr>
      </xdr:nvGrpSpPr>
      <xdr:grpSpPr>
        <a:xfrm>
          <a:off x="514350" y="34547175"/>
          <a:ext cx="5476875" cy="2057400"/>
          <a:chOff x="54" y="3297"/>
          <a:chExt cx="575" cy="216"/>
        </a:xfrm>
        <a:solidFill>
          <a:srgbClr val="FFFFFF"/>
        </a:solidFill>
      </xdr:grpSpPr>
      <xdr:sp>
        <xdr:nvSpPr>
          <xdr:cNvPr id="175" name="AutoShape 183"/>
          <xdr:cNvSpPr>
            <a:spLocks/>
          </xdr:cNvSpPr>
        </xdr:nvSpPr>
        <xdr:spPr>
          <a:xfrm>
            <a:off x="54" y="3297"/>
            <a:ext cx="131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6" name="AutoShape 184"/>
          <xdr:cNvSpPr>
            <a:spLocks/>
          </xdr:cNvSpPr>
        </xdr:nvSpPr>
        <xdr:spPr>
          <a:xfrm>
            <a:off x="146" y="3302"/>
            <a:ext cx="4" cy="1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7" name="AutoShape 185"/>
          <xdr:cNvSpPr>
            <a:spLocks/>
          </xdr:cNvSpPr>
        </xdr:nvSpPr>
        <xdr:spPr>
          <a:xfrm>
            <a:off x="54" y="3472"/>
            <a:ext cx="131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8" name="AutoShape 186"/>
          <xdr:cNvSpPr>
            <a:spLocks/>
          </xdr:cNvSpPr>
        </xdr:nvSpPr>
        <xdr:spPr>
          <a:xfrm flipH="1">
            <a:off x="243" y="3302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9" name="AutoShape 187"/>
          <xdr:cNvSpPr>
            <a:spLocks/>
          </xdr:cNvSpPr>
        </xdr:nvSpPr>
        <xdr:spPr>
          <a:xfrm>
            <a:off x="289" y="3302"/>
            <a:ext cx="0" cy="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0" name="AutoShape 188"/>
          <xdr:cNvSpPr>
            <a:spLocks/>
          </xdr:cNvSpPr>
        </xdr:nvSpPr>
        <xdr:spPr>
          <a:xfrm>
            <a:off x="289" y="3471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1" name="AutoShape 189"/>
          <xdr:cNvSpPr>
            <a:spLocks/>
          </xdr:cNvSpPr>
        </xdr:nvSpPr>
        <xdr:spPr>
          <a:xfrm>
            <a:off x="243" y="3302"/>
            <a:ext cx="91" cy="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2" name="AutoShape 190"/>
          <xdr:cNvSpPr>
            <a:spLocks/>
          </xdr:cNvSpPr>
        </xdr:nvSpPr>
        <xdr:spPr>
          <a:xfrm>
            <a:off x="367" y="3297"/>
            <a:ext cx="208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3" name="AutoShape 191"/>
          <xdr:cNvSpPr>
            <a:spLocks/>
          </xdr:cNvSpPr>
        </xdr:nvSpPr>
        <xdr:spPr>
          <a:xfrm>
            <a:off x="367" y="3471"/>
            <a:ext cx="208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4" name="AutoShape 192"/>
          <xdr:cNvSpPr>
            <a:spLocks/>
          </xdr:cNvSpPr>
        </xdr:nvSpPr>
        <xdr:spPr>
          <a:xfrm>
            <a:off x="401" y="3302"/>
            <a:ext cx="5" cy="1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5" name="AutoShape 193"/>
          <xdr:cNvSpPr>
            <a:spLocks/>
          </xdr:cNvSpPr>
        </xdr:nvSpPr>
        <xdr:spPr>
          <a:xfrm>
            <a:off x="549" y="3302"/>
            <a:ext cx="5" cy="1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6" name="AutoShape 194"/>
          <xdr:cNvSpPr>
            <a:spLocks/>
          </xdr:cNvSpPr>
        </xdr:nvSpPr>
        <xdr:spPr>
          <a:xfrm>
            <a:off x="403" y="3482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7" name="AutoShape 195"/>
          <xdr:cNvSpPr>
            <a:spLocks/>
          </xdr:cNvSpPr>
        </xdr:nvSpPr>
        <xdr:spPr>
          <a:xfrm>
            <a:off x="552" y="3485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8" name="AutoShape 196"/>
          <xdr:cNvSpPr>
            <a:spLocks/>
          </xdr:cNvSpPr>
        </xdr:nvSpPr>
        <xdr:spPr>
          <a:xfrm>
            <a:off x="403" y="3510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9" name="AutoShape 197"/>
          <xdr:cNvSpPr>
            <a:spLocks/>
          </xdr:cNvSpPr>
        </xdr:nvSpPr>
        <xdr:spPr>
          <a:xfrm>
            <a:off x="461" y="3493"/>
            <a:ext cx="2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8890" rIns="18000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90" name="Line 198"/>
          <xdr:cNvSpPr>
            <a:spLocks/>
          </xdr:cNvSpPr>
        </xdr:nvSpPr>
        <xdr:spPr>
          <a:xfrm>
            <a:off x="581" y="3304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1" name="Line 199"/>
          <xdr:cNvSpPr>
            <a:spLocks/>
          </xdr:cNvSpPr>
        </xdr:nvSpPr>
        <xdr:spPr>
          <a:xfrm>
            <a:off x="581" y="347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2" name="Line 200"/>
          <xdr:cNvSpPr>
            <a:spLocks/>
          </xdr:cNvSpPr>
        </xdr:nvSpPr>
        <xdr:spPr>
          <a:xfrm>
            <a:off x="624" y="3304"/>
            <a:ext cx="0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3" name="Rectangle 201"/>
          <xdr:cNvSpPr>
            <a:spLocks/>
          </xdr:cNvSpPr>
        </xdr:nvSpPr>
        <xdr:spPr>
          <a:xfrm>
            <a:off x="410" y="3427"/>
            <a:ext cx="135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4" name="Rectangle 202"/>
          <xdr:cNvSpPr>
            <a:spLocks/>
          </xdr:cNvSpPr>
        </xdr:nvSpPr>
        <xdr:spPr>
          <a:xfrm>
            <a:off x="117" y="3427"/>
            <a:ext cx="28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5" name="Line 203"/>
          <xdr:cNvSpPr>
            <a:spLocks/>
          </xdr:cNvSpPr>
        </xdr:nvSpPr>
        <xdr:spPr>
          <a:xfrm>
            <a:off x="179" y="3430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6" name="Line 204"/>
          <xdr:cNvSpPr>
            <a:spLocks/>
          </xdr:cNvSpPr>
        </xdr:nvSpPr>
        <xdr:spPr>
          <a:xfrm>
            <a:off x="193" y="3302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7" name="Line 205"/>
          <xdr:cNvSpPr>
            <a:spLocks/>
          </xdr:cNvSpPr>
        </xdr:nvSpPr>
        <xdr:spPr>
          <a:xfrm>
            <a:off x="228" y="3302"/>
            <a:ext cx="0" cy="1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128</xdr:row>
      <xdr:rowOff>190500</xdr:rowOff>
    </xdr:from>
    <xdr:to>
      <xdr:col>4</xdr:col>
      <xdr:colOff>76200</xdr:colOff>
      <xdr:row>129</xdr:row>
      <xdr:rowOff>171450</xdr:rowOff>
    </xdr:to>
    <xdr:sp>
      <xdr:nvSpPr>
        <xdr:cNvPr id="198" name="AutoShape 206"/>
        <xdr:cNvSpPr>
          <a:spLocks/>
        </xdr:cNvSpPr>
      </xdr:nvSpPr>
      <xdr:spPr>
        <a:xfrm>
          <a:off x="323850" y="40424100"/>
          <a:ext cx="7429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76200</xdr:colOff>
      <xdr:row>130</xdr:row>
      <xdr:rowOff>190500</xdr:rowOff>
    </xdr:from>
    <xdr:to>
      <xdr:col>6</xdr:col>
      <xdr:colOff>85725</xdr:colOff>
      <xdr:row>131</xdr:row>
      <xdr:rowOff>171450</xdr:rowOff>
    </xdr:to>
    <xdr:sp>
      <xdr:nvSpPr>
        <xdr:cNvPr id="199" name="AutoShape 207"/>
        <xdr:cNvSpPr>
          <a:spLocks/>
        </xdr:cNvSpPr>
      </xdr:nvSpPr>
      <xdr:spPr>
        <a:xfrm>
          <a:off x="571500" y="41052750"/>
          <a:ext cx="10001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1</xdr:row>
      <xdr:rowOff>161925</xdr:rowOff>
    </xdr:from>
    <xdr:to>
      <xdr:col>16</xdr:col>
      <xdr:colOff>219075</xdr:colOff>
      <xdr:row>8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38150"/>
          <a:ext cx="28194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S97"/>
  <sheetViews>
    <sheetView zoomScaleSheetLayoutView="100" workbookViewId="0" topLeftCell="A1">
      <selection activeCell="Z1" sqref="Z1:Z3"/>
    </sheetView>
  </sheetViews>
  <sheetFormatPr defaultColWidth="8.88671875" defaultRowHeight="24.75" customHeight="1"/>
  <cols>
    <col min="1" max="27" width="2.88671875" style="8" customWidth="1"/>
    <col min="28" max="28" width="2.88671875" style="10" customWidth="1"/>
    <col min="29" max="67" width="1.77734375" style="10" customWidth="1"/>
    <col min="68" max="16384" width="2.88671875" style="10" customWidth="1"/>
  </cols>
  <sheetData>
    <row r="1" spans="1:27" s="5" customFormat="1" ht="24.75" customHeight="1">
      <c r="A1" s="3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5" customFormat="1" ht="24.75" customHeight="1">
      <c r="A2" s="6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9" ht="24.75" customHeight="1">
      <c r="A3" s="7" t="s">
        <v>96</v>
      </c>
      <c r="G3" s="9" t="s">
        <v>97</v>
      </c>
      <c r="H3" s="156" t="s">
        <v>200</v>
      </c>
      <c r="I3" s="156"/>
      <c r="J3" s="156"/>
      <c r="K3" s="156"/>
      <c r="L3" s="7" t="s">
        <v>98</v>
      </c>
      <c r="M3" s="9"/>
      <c r="P3" s="76" t="s">
        <v>99</v>
      </c>
      <c r="AC3" s="30"/>
    </row>
    <row r="4" spans="9:16" ht="24.75" customHeight="1">
      <c r="I4" s="191">
        <f>J16</f>
        <v>2100</v>
      </c>
      <c r="J4" s="189"/>
      <c r="P4" s="10"/>
    </row>
    <row r="5" ht="24.75" customHeight="1">
      <c r="N5" s="12">
        <f>J17</f>
        <v>28</v>
      </c>
    </row>
    <row r="9" ht="24.75" customHeight="1">
      <c r="N9" s="181">
        <f>J15</f>
        <v>1249.4</v>
      </c>
    </row>
    <row r="10" ht="24.75" customHeight="1">
      <c r="N10" s="181"/>
    </row>
    <row r="11" ht="24.75" customHeight="1">
      <c r="N11" s="192">
        <f>N9</f>
        <v>1249.4</v>
      </c>
    </row>
    <row r="12" ht="24.75" customHeight="1">
      <c r="N12" s="192"/>
    </row>
    <row r="14" spans="2:18" ht="24.75" customHeight="1">
      <c r="B14" s="72" t="s">
        <v>100</v>
      </c>
      <c r="L14" s="13" t="s">
        <v>12</v>
      </c>
      <c r="M14" s="14" t="s">
        <v>13</v>
      </c>
      <c r="N14" s="11" t="s">
        <v>9</v>
      </c>
      <c r="O14" s="15">
        <v>6</v>
      </c>
      <c r="R14" s="72"/>
    </row>
    <row r="15" spans="2:51" ht="24.75" customHeight="1">
      <c r="B15" s="8" t="s">
        <v>101</v>
      </c>
      <c r="G15" s="8" t="s">
        <v>12</v>
      </c>
      <c r="H15" s="14" t="s">
        <v>14</v>
      </c>
      <c r="I15" s="11" t="s">
        <v>9</v>
      </c>
      <c r="J15" s="16">
        <v>1249.4</v>
      </c>
      <c r="K15" s="17"/>
      <c r="L15" s="8" t="s">
        <v>102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2:51" ht="24.75" customHeight="1">
      <c r="B16" s="8" t="s">
        <v>74</v>
      </c>
      <c r="G16" s="13" t="s">
        <v>12</v>
      </c>
      <c r="H16" s="14" t="s">
        <v>8</v>
      </c>
      <c r="I16" s="11" t="s">
        <v>9</v>
      </c>
      <c r="J16" s="16">
        <v>2100</v>
      </c>
      <c r="K16" s="17"/>
      <c r="L16" s="8" t="s">
        <v>40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2:51" ht="24.75" customHeight="1">
      <c r="B17" s="8" t="s">
        <v>103</v>
      </c>
      <c r="G17" s="8" t="s">
        <v>12</v>
      </c>
      <c r="H17" s="14" t="s">
        <v>11</v>
      </c>
      <c r="I17" s="11" t="s">
        <v>9</v>
      </c>
      <c r="J17" s="18">
        <v>28</v>
      </c>
      <c r="K17" s="8" t="s">
        <v>40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2:51" ht="24.75" customHeight="1">
      <c r="B18" s="8" t="s">
        <v>85</v>
      </c>
      <c r="G18" s="8" t="s">
        <v>12</v>
      </c>
      <c r="H18" s="14" t="s">
        <v>41</v>
      </c>
      <c r="I18" s="11" t="s">
        <v>9</v>
      </c>
      <c r="J18" s="15">
        <v>150</v>
      </c>
      <c r="K18" s="8" t="s">
        <v>40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2:51" ht="24.75" customHeight="1">
      <c r="B19" s="72" t="s">
        <v>86</v>
      </c>
      <c r="G19" s="8" t="s">
        <v>12</v>
      </c>
      <c r="H19" s="14" t="s">
        <v>41</v>
      </c>
      <c r="I19" s="11" t="s">
        <v>6</v>
      </c>
      <c r="J19" s="17">
        <v>16</v>
      </c>
      <c r="K19" s="15"/>
      <c r="L19" s="8" t="s">
        <v>9</v>
      </c>
      <c r="M19" s="8" t="str">
        <f>J18&amp;" / "&amp;J19&amp;" = "&amp;ROUND(J18/J19,2)&amp;" mm"</f>
        <v>150 / 16 = 9.38 mm</v>
      </c>
      <c r="S19" s="8" t="s">
        <v>31</v>
      </c>
      <c r="U19" s="19">
        <v>14</v>
      </c>
      <c r="V19" s="20"/>
      <c r="W19" s="7" t="s">
        <v>104</v>
      </c>
      <c r="Z19" s="8" t="str">
        <f>IF(U19&gt;=J18/J19,"O.K","N.G")</f>
        <v>O.K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2:51" ht="24.75" customHeight="1">
      <c r="B20" s="72" t="s">
        <v>87</v>
      </c>
      <c r="H20" s="8" t="s">
        <v>12</v>
      </c>
      <c r="I20" s="7" t="s">
        <v>42</v>
      </c>
      <c r="L20" s="8" t="str">
        <f>"bt/10n = ("&amp;J16&amp;" ×"&amp;J17&amp;") / (10 ×"&amp;O14&amp;") ="</f>
        <v>bt/10n = (2100 ×28) / (10 ×6) =</v>
      </c>
      <c r="T20" s="21">
        <f>ROUND(J16*J17/(10*O14),3)</f>
        <v>980</v>
      </c>
      <c r="U20" s="22"/>
      <c r="V20" s="8" t="s">
        <v>32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2:51" ht="24.75" customHeight="1">
      <c r="B21" s="72" t="s">
        <v>88</v>
      </c>
      <c r="H21" s="8" t="s">
        <v>12</v>
      </c>
      <c r="I21" s="8" t="str">
        <f>"A₁= "&amp;J18&amp;" ×"&amp;U19&amp;" = "</f>
        <v>A₁= 150 ×14 = </v>
      </c>
      <c r="N21" s="21">
        <f>J18*U19</f>
        <v>2100</v>
      </c>
      <c r="O21" s="23"/>
      <c r="P21" s="8" t="s">
        <v>32</v>
      </c>
      <c r="S21" s="8" t="str">
        <f>IF(N21&gt;=T20,"≥","＜")</f>
        <v>≥</v>
      </c>
      <c r="U21" s="7" t="s">
        <v>43</v>
      </c>
      <c r="X21" s="7" t="s">
        <v>15</v>
      </c>
      <c r="Z21" s="8" t="str">
        <f>IF(N21&gt;=T20,"O.K","N.G")</f>
        <v>O.K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2:51" ht="24.75" customHeight="1">
      <c r="B22" s="7" t="s">
        <v>105</v>
      </c>
      <c r="K22" s="8" t="s">
        <v>12</v>
      </c>
      <c r="L22" s="8" t="str">
        <f>"I₁= ⅓ × "&amp;U19&amp;" × "&amp;J18&amp;"³="</f>
        <v>I₁= ⅓ × 14 × 150³=</v>
      </c>
      <c r="R22" s="17">
        <f>ROUND(U19*J18^3/3,3)</f>
        <v>15750000</v>
      </c>
      <c r="S22" s="23"/>
      <c r="T22" s="23"/>
      <c r="U22" s="7" t="s">
        <v>89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2:51" ht="24.75" customHeight="1">
      <c r="B23" s="8" t="s">
        <v>106</v>
      </c>
      <c r="G23" s="8" t="s">
        <v>107</v>
      </c>
      <c r="L23" s="23">
        <f>ROUND(J15/J16,3)</f>
        <v>0.595</v>
      </c>
      <c r="M23" s="23"/>
      <c r="N23" s="11" t="str">
        <f>IF(L23&lt;Q23,"＜","＞")</f>
        <v>＜</v>
      </c>
      <c r="O23" s="23" t="s">
        <v>45</v>
      </c>
      <c r="P23" s="23"/>
      <c r="Q23" s="24">
        <f>M26</f>
        <v>2.2028961882999347</v>
      </c>
      <c r="R23" s="23"/>
      <c r="S23" s="23"/>
      <c r="T23" s="23"/>
      <c r="U23" s="7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2:51" ht="24.75" customHeight="1">
      <c r="B24" s="7" t="s">
        <v>108</v>
      </c>
      <c r="G24" s="8" t="s">
        <v>107</v>
      </c>
      <c r="M24" s="8" t="str">
        <f>R22&amp;" / ("&amp;J16&amp;" × "&amp;J17&amp;"³/ 11 ) ="</f>
        <v>15750000 / (2100 × 28³/ 11 ) =</v>
      </c>
      <c r="V24" s="24">
        <f>R22/(J16*J17^3/11)</f>
        <v>3.75819970845481</v>
      </c>
      <c r="W24" s="23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2:51" ht="24.75" customHeight="1">
      <c r="B25" s="25"/>
      <c r="C25" s="25"/>
      <c r="D25" s="25"/>
      <c r="E25" s="25"/>
      <c r="F25" s="25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2:51" ht="24.75" customHeight="1">
      <c r="B26" s="8" t="s">
        <v>109</v>
      </c>
      <c r="G26" s="8" t="s">
        <v>107</v>
      </c>
      <c r="M26" s="24">
        <f>(1+(O14*V24))^(1/4)</f>
        <v>2.2028961882999347</v>
      </c>
      <c r="N26" s="23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2:51" ht="24.75" customHeight="1">
      <c r="B27" s="8" t="s">
        <v>110</v>
      </c>
      <c r="I27" s="8" t="s">
        <v>12</v>
      </c>
      <c r="M27" s="8" t="str">
        <f>N21&amp;" / ( "&amp;J16&amp;" × "&amp;J17&amp;" ) ="</f>
        <v>2100 / ( 2100 × 28 ) =</v>
      </c>
      <c r="S27" s="26">
        <f>N21/(J16*J17)</f>
        <v>0.03571428571428571</v>
      </c>
      <c r="T27" s="23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ht="24.75" customHeight="1">
      <c r="B28" s="72" t="s">
        <v>111</v>
      </c>
    </row>
    <row r="29" spans="3:5" ht="24.75" customHeight="1">
      <c r="C29" s="27" t="s">
        <v>112</v>
      </c>
      <c r="D29" s="11" t="s">
        <v>9</v>
      </c>
      <c r="E29" s="8" t="s">
        <v>46</v>
      </c>
    </row>
    <row r="30" spans="4:16" ht="24.75" customHeight="1">
      <c r="D30" s="11" t="s">
        <v>9</v>
      </c>
      <c r="E30" s="23" t="str">
        <f>0.65&amp;" (0/"&amp;O14&amp;")²+ 0.13 (0/"&amp;O14&amp;") + 1.0 ="</f>
        <v>0.65 (0/6)²+ 0.13 (0/6) + 1.0 =</v>
      </c>
      <c r="F30" s="23"/>
      <c r="G30" s="23"/>
      <c r="H30" s="23"/>
      <c r="I30" s="23"/>
      <c r="J30" s="23"/>
      <c r="K30" s="23"/>
      <c r="L30" s="23"/>
      <c r="M30" s="23"/>
      <c r="N30" s="22">
        <f>ROUND(0.65*(0/O14)^2+0.13*(0/O14)+1,3)</f>
        <v>1</v>
      </c>
      <c r="O30" s="28"/>
      <c r="P30" s="23" t="s">
        <v>7</v>
      </c>
    </row>
    <row r="31" spans="4:5" ht="24.75" customHeight="1">
      <c r="D31" s="7" t="s">
        <v>113</v>
      </c>
      <c r="E31" s="25"/>
    </row>
    <row r="32" ht="24.75" customHeight="1">
      <c r="C32" s="8" t="s">
        <v>90</v>
      </c>
    </row>
    <row r="33" spans="1:46" ht="24.75" customHeight="1">
      <c r="A33" s="25"/>
      <c r="B33" s="25"/>
      <c r="C33" s="25"/>
      <c r="D33" s="25"/>
      <c r="E33" s="25"/>
      <c r="F33" s="25"/>
      <c r="G33" s="7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:67" ht="24.75" customHeight="1">
      <c r="B34" s="72" t="s">
        <v>114</v>
      </c>
      <c r="I34" s="120" t="s">
        <v>115</v>
      </c>
      <c r="AB34" s="8"/>
      <c r="AC34" s="182" t="s">
        <v>116</v>
      </c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87"/>
      <c r="AO34" s="87"/>
      <c r="AP34" s="87"/>
      <c r="AQ34" s="87"/>
      <c r="AR34" s="87"/>
      <c r="AS34" s="87"/>
      <c r="AT34" s="87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3:70" ht="24.75" customHeight="1">
      <c r="C35" s="189" t="s">
        <v>117</v>
      </c>
      <c r="D35" s="189" t="s">
        <v>118</v>
      </c>
      <c r="E35" s="31"/>
      <c r="F35" s="32" t="s">
        <v>119</v>
      </c>
      <c r="G35" s="31"/>
      <c r="H35" s="189" t="s">
        <v>118</v>
      </c>
      <c r="I35" s="33">
        <f>J16</f>
        <v>2100</v>
      </c>
      <c r="J35" s="23"/>
      <c r="K35" s="33"/>
      <c r="L35" s="189" t="s">
        <v>118</v>
      </c>
      <c r="M35" s="193">
        <f>I35/(E36*N30*O14)</f>
        <v>15.909090909090908</v>
      </c>
      <c r="N35" s="193"/>
      <c r="O35" s="189" t="s">
        <v>33</v>
      </c>
      <c r="P35" s="189" t="str">
        <f>IF(M35&lt;R35,"＜","＞")</f>
        <v>＜</v>
      </c>
      <c r="Q35" s="189" t="s">
        <v>16</v>
      </c>
      <c r="R35" s="190">
        <f>J17</f>
        <v>28</v>
      </c>
      <c r="T35" s="189" t="str">
        <f>IF(L23&lt;=Q23,"であり、α ≤ αo なので","であり、α ＞αo なので")</f>
        <v>であり、α ≤ αo なので</v>
      </c>
      <c r="U35" s="189"/>
      <c r="V35" s="189"/>
      <c r="W35" s="189"/>
      <c r="X35" s="189"/>
      <c r="Y35" s="189"/>
      <c r="Z35" s="25"/>
      <c r="AA35" s="25"/>
      <c r="AB35" s="8"/>
      <c r="AC35" s="183">
        <v>2</v>
      </c>
      <c r="AD35" s="184"/>
      <c r="AE35" s="185"/>
      <c r="AF35" s="186" t="s">
        <v>120</v>
      </c>
      <c r="AG35" s="187"/>
      <c r="AH35" s="188"/>
      <c r="AI35" s="186" t="s">
        <v>121</v>
      </c>
      <c r="AJ35" s="187"/>
      <c r="AK35" s="188"/>
      <c r="AL35" s="186" t="s">
        <v>122</v>
      </c>
      <c r="AM35" s="187"/>
      <c r="AN35" s="188"/>
      <c r="AO35" s="143" t="s">
        <v>123</v>
      </c>
      <c r="AP35" s="144"/>
      <c r="AQ35" s="145"/>
      <c r="AR35" s="143" t="s">
        <v>35</v>
      </c>
      <c r="AS35" s="144"/>
      <c r="AT35" s="145"/>
      <c r="AU35" s="168" t="s">
        <v>124</v>
      </c>
      <c r="AV35" s="169"/>
      <c r="AW35" s="170"/>
      <c r="AX35" s="165" t="s">
        <v>125</v>
      </c>
      <c r="AY35" s="166"/>
      <c r="AZ35" s="167"/>
      <c r="BA35" s="165" t="s">
        <v>126</v>
      </c>
      <c r="BB35" s="166"/>
      <c r="BC35" s="167"/>
      <c r="BD35" s="165" t="s">
        <v>127</v>
      </c>
      <c r="BE35" s="166"/>
      <c r="BF35" s="167"/>
      <c r="BG35" s="168" t="s">
        <v>128</v>
      </c>
      <c r="BH35" s="169"/>
      <c r="BI35" s="170"/>
      <c r="BJ35" s="165" t="s">
        <v>129</v>
      </c>
      <c r="BK35" s="166"/>
      <c r="BL35" s="167"/>
      <c r="BM35" s="165" t="s">
        <v>130</v>
      </c>
      <c r="BN35" s="166"/>
      <c r="BO35" s="167"/>
      <c r="BP35" s="168" t="s">
        <v>131</v>
      </c>
      <c r="BQ35" s="169"/>
      <c r="BR35" s="170"/>
    </row>
    <row r="36" spans="3:70" ht="24.75" customHeight="1">
      <c r="C36" s="189"/>
      <c r="D36" s="189"/>
      <c r="E36" s="8">
        <f>HLOOKUP(H3,AF35:BR36,AC35,FALSE)</f>
        <v>22</v>
      </c>
      <c r="F36" s="189" t="s">
        <v>132</v>
      </c>
      <c r="G36" s="189"/>
      <c r="H36" s="189"/>
      <c r="I36" s="8" t="str">
        <f>E36&amp;" ×"&amp;N30&amp;" ×"&amp;O14</f>
        <v>22 ×1 ×6</v>
      </c>
      <c r="J36" s="35"/>
      <c r="L36" s="189"/>
      <c r="M36" s="193"/>
      <c r="N36" s="193"/>
      <c r="O36" s="189"/>
      <c r="P36" s="189"/>
      <c r="Q36" s="189"/>
      <c r="R36" s="190"/>
      <c r="T36" s="189"/>
      <c r="U36" s="189"/>
      <c r="V36" s="189"/>
      <c r="W36" s="189"/>
      <c r="X36" s="189"/>
      <c r="Y36" s="189"/>
      <c r="Z36" s="25"/>
      <c r="AA36" s="25"/>
      <c r="AB36" s="8"/>
      <c r="AC36" s="178" t="s">
        <v>133</v>
      </c>
      <c r="AD36" s="178"/>
      <c r="AE36" s="178"/>
      <c r="AF36" s="146">
        <v>28</v>
      </c>
      <c r="AG36" s="146"/>
      <c r="AH36" s="146"/>
      <c r="AI36" s="179">
        <f>AF36</f>
        <v>28</v>
      </c>
      <c r="AJ36" s="179"/>
      <c r="AK36" s="179"/>
      <c r="AL36" s="179">
        <f>AF36</f>
        <v>28</v>
      </c>
      <c r="AM36" s="179"/>
      <c r="AN36" s="179"/>
      <c r="AO36" s="146">
        <v>28</v>
      </c>
      <c r="AP36" s="146"/>
      <c r="AQ36" s="146"/>
      <c r="AR36" s="180">
        <v>24</v>
      </c>
      <c r="AS36" s="180"/>
      <c r="AT36" s="180"/>
      <c r="AU36" s="174">
        <f>AR36</f>
        <v>24</v>
      </c>
      <c r="AV36" s="174"/>
      <c r="AW36" s="174"/>
      <c r="AX36" s="138">
        <v>22</v>
      </c>
      <c r="AY36" s="138"/>
      <c r="AZ36" s="138"/>
      <c r="BA36" s="174">
        <f>AX36</f>
        <v>22</v>
      </c>
      <c r="BB36" s="174"/>
      <c r="BC36" s="174"/>
      <c r="BD36" s="174">
        <f>AX36</f>
        <v>22</v>
      </c>
      <c r="BE36" s="174"/>
      <c r="BF36" s="174"/>
      <c r="BG36" s="154">
        <f>AX36</f>
        <v>22</v>
      </c>
      <c r="BH36" s="154"/>
      <c r="BI36" s="154"/>
      <c r="BJ36" s="157">
        <v>22</v>
      </c>
      <c r="BK36" s="157"/>
      <c r="BL36" s="157"/>
      <c r="BM36" s="154">
        <f>BJ36</f>
        <v>22</v>
      </c>
      <c r="BN36" s="154"/>
      <c r="BO36" s="154"/>
      <c r="BP36" s="154">
        <f>BJ36</f>
        <v>22</v>
      </c>
      <c r="BQ36" s="154"/>
      <c r="BR36" s="154"/>
    </row>
    <row r="37" spans="2:70" ht="24.75" customHeight="1">
      <c r="B37" s="8" t="str">
        <f>IF(AND(L23&lt;=Q23,R35&gt;=M35),"α ≤ αo　及び　t ≥ to　より、",IF(AND(L23&lt;=Q23,R35&lt;M35),"α ≤ αo　及び　t ＜  to　より、",IF(AND(L23&gt;Q23,R35&gt;=M35),"α ＞αo　及び　t ≥ to　より、","α ＞αo　及び　t ＜ to　より、")))</f>
        <v>α ≤ αo　及び　t ≥ to　より、</v>
      </c>
      <c r="C37" s="11"/>
      <c r="D37" s="11"/>
      <c r="F37" s="11"/>
      <c r="G37" s="11"/>
      <c r="H37" s="11"/>
      <c r="J37" s="73"/>
      <c r="L37" s="11"/>
      <c r="M37" s="106"/>
      <c r="N37" s="106"/>
      <c r="O37" s="11"/>
      <c r="P37" s="11"/>
      <c r="Q37" s="11"/>
      <c r="R37" s="34"/>
      <c r="T37" s="11"/>
      <c r="U37" s="11"/>
      <c r="V37" s="11"/>
      <c r="W37" s="11"/>
      <c r="X37" s="11"/>
      <c r="Y37" s="11"/>
      <c r="Z37" s="25"/>
      <c r="AA37" s="25"/>
      <c r="AB37" s="8"/>
      <c r="AC37" s="123"/>
      <c r="AD37" s="135"/>
      <c r="AE37" s="123"/>
      <c r="AF37" s="124"/>
      <c r="AG37" s="124"/>
      <c r="AH37" s="124"/>
      <c r="AI37" s="114"/>
      <c r="AJ37" s="114"/>
      <c r="AK37" s="114"/>
      <c r="AL37" s="114"/>
      <c r="AM37" s="114"/>
      <c r="AN37" s="114"/>
      <c r="AO37" s="124"/>
      <c r="AP37" s="124"/>
      <c r="AQ37" s="124"/>
      <c r="AR37" s="124"/>
      <c r="AS37" s="124"/>
      <c r="AT37" s="124"/>
      <c r="AU37" s="113"/>
      <c r="AV37" s="113"/>
      <c r="AW37" s="113"/>
      <c r="AX37" s="112"/>
      <c r="AY37" s="112"/>
      <c r="AZ37" s="112"/>
      <c r="BA37" s="113"/>
      <c r="BB37" s="113"/>
      <c r="BC37" s="113"/>
      <c r="BD37" s="113"/>
      <c r="BE37" s="113"/>
      <c r="BF37" s="113"/>
      <c r="BG37" s="113"/>
      <c r="BH37" s="113"/>
      <c r="BI37" s="113"/>
      <c r="BJ37" s="112"/>
      <c r="BK37" s="112"/>
      <c r="BL37" s="112"/>
      <c r="BM37" s="113"/>
      <c r="BN37" s="113"/>
      <c r="BO37" s="113"/>
      <c r="BP37" s="113"/>
      <c r="BQ37" s="113"/>
      <c r="BR37" s="113"/>
    </row>
    <row r="38" spans="2:46" ht="24.75" customHeight="1">
      <c r="B38" s="7" t="s">
        <v>134</v>
      </c>
      <c r="E38" s="8" t="str">
        <f>IF(AND(L23&lt;=Q23,R35&gt;=M35),"4α²n (to/t)²( 1+nδ₁) - (α²+1)²/ n",IF(AND(L23&lt;=Q23,R35&lt;M35),"4α²n ( 1+nδ₁) - (α²+1)²/ n",IF(AND(L23&gt;Q23,R35&gt;=M35),"1/n[{2n²(to/t)²( 1+nδ₁) - 1}² - 1 ]","1/n[{2n²( 1+nδ₁)² - 1}² - 1 ]")))</f>
        <v>4α²n (to/t)²( 1+nδ₁) - (α²+1)²/ n</v>
      </c>
      <c r="O38" s="7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s="36" customFormat="1" ht="24.75" customHeight="1">
      <c r="A39" s="9"/>
      <c r="B39" s="9"/>
      <c r="C39" s="9"/>
      <c r="D39" s="37" t="s">
        <v>118</v>
      </c>
      <c r="E39" s="26">
        <f>IF(AND(L23&lt;=Q23,R35&gt;=M35),4*L23^2*O14*(M35/R35)^2*(1+O14*S27)-(L23^2+1)^2/O14,IF(AND(L23&lt;=Q23,R35&lt;M35),4*L23^2*O14*(1+O14*S27)-(L23^2+1)^2/O14,IF(AND(L23&gt;Q23,R35&gt;=M35),1/O14*((2*O14^2*(M35/R35)^2*(1+O14*S27)-1)^2-1),1/O14*((2*O14^2*(1+O14*S27)-1)^2-1))))</f>
        <v>3.025175977581782</v>
      </c>
      <c r="F39" s="23"/>
      <c r="G39" s="9"/>
      <c r="H39" s="9"/>
      <c r="I39" s="9"/>
      <c r="J39" s="9"/>
      <c r="K39" s="9"/>
      <c r="L39" s="9"/>
      <c r="M39" s="9"/>
      <c r="N39" s="9"/>
      <c r="O39" s="3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3:46" ht="24.75" customHeight="1">
      <c r="C40" s="7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3:46" ht="24.75" customHeight="1">
      <c r="C41" s="39"/>
      <c r="E41" s="40"/>
      <c r="F41" s="23"/>
      <c r="I41" s="41">
        <f>ROUND(J16*J17^3*E39/11,3)</f>
        <v>12678017.493</v>
      </c>
      <c r="J41" s="23"/>
      <c r="K41" s="23"/>
      <c r="M41" s="8" t="str">
        <f>IF(I41&lt;P41,"＜","＞")</f>
        <v>＜</v>
      </c>
      <c r="P41" s="42">
        <f>R22</f>
        <v>15750000</v>
      </c>
      <c r="Q41" s="23"/>
      <c r="R41" s="23"/>
      <c r="T41" s="8" t="str">
        <f>IF(I41&lt;P41,"O.K","N.G")</f>
        <v>O.K</v>
      </c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3:16" ht="24.75" customHeight="1">
      <c r="C42" s="39"/>
      <c r="E42" s="40"/>
      <c r="F42" s="23"/>
      <c r="H42" s="23"/>
      <c r="I42" s="23"/>
      <c r="J42" s="23"/>
      <c r="O42" s="40"/>
      <c r="P42" s="23"/>
    </row>
    <row r="43" spans="2:16" ht="24.75" customHeight="1">
      <c r="B43" s="8" t="s">
        <v>135</v>
      </c>
      <c r="H43" s="23"/>
      <c r="I43" s="120" t="s">
        <v>136</v>
      </c>
      <c r="J43" s="23"/>
      <c r="O43" s="40"/>
      <c r="P43" s="23"/>
    </row>
    <row r="44" spans="3:67" ht="24.75" customHeight="1">
      <c r="C44" s="8" t="s">
        <v>137</v>
      </c>
      <c r="E44" s="40"/>
      <c r="F44" s="23"/>
      <c r="H44" s="194">
        <f>J18</f>
        <v>150</v>
      </c>
      <c r="I44" s="194"/>
      <c r="J44" s="43" t="s">
        <v>138</v>
      </c>
      <c r="K44" s="21">
        <f>U19</f>
        <v>14</v>
      </c>
      <c r="L44" s="23"/>
      <c r="M44" s="11" t="s">
        <v>118</v>
      </c>
      <c r="N44" s="196">
        <f>H44/K44</f>
        <v>10.714285714285714</v>
      </c>
      <c r="O44" s="196"/>
      <c r="P44" s="23"/>
      <c r="R44" s="8" t="str">
        <f>IF(N44&gt;16,"鋼材厚さ確認要望",IF(N44&lt;=LOOKUP(AC46,AF46:BR46,AF48:BR48),"∴ b / t ≤ "&amp;LOOKUP(AC46,AF46:BR46,AF48:BR48),"∴ 16  &lt; b / t ≤ "&amp;LOOKUP(AC46,AF46:BR46,AF48:BR48)))</f>
        <v>∴ 16  &lt; b / t ≤ 10.5</v>
      </c>
      <c r="S44" s="23"/>
      <c r="T44" s="23"/>
      <c r="U44" s="23"/>
      <c r="V44" s="23"/>
      <c r="W44" s="23"/>
      <c r="X44" s="23"/>
      <c r="Y44" s="23"/>
      <c r="AC44" s="29" t="s">
        <v>139</v>
      </c>
      <c r="AD44" s="29"/>
      <c r="AE44" s="29"/>
      <c r="AF44" s="29"/>
      <c r="AG44" s="29"/>
      <c r="AH44" s="29"/>
      <c r="AI44" s="29"/>
      <c r="AJ44" s="29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3:70" ht="24.75" customHeight="1">
      <c r="C45" s="8" t="s">
        <v>140</v>
      </c>
      <c r="E45" s="50" t="str">
        <f>IF(N44&gt;16,"適用基準なし- リブの最小厚さ確認要望",IF(N44&lt;=LOOKUP(AC46,AF46:BR46,AF48:BR48),ROUND(LOOKUP(AC46,AF46:BR46,AF47:BR47),1)&amp;" N/㎟","23000 ×( t / b )² =  "&amp;ROUND(23000/N44^2,1)&amp;" N/㎟"))</f>
        <v>23000 ×( t / b )² =  200.4 N/㎟</v>
      </c>
      <c r="F45" s="26"/>
      <c r="G45" s="23"/>
      <c r="H45" s="23"/>
      <c r="I45" s="23"/>
      <c r="J45" s="23"/>
      <c r="K45" s="23"/>
      <c r="L45" s="23"/>
      <c r="M45" s="23"/>
      <c r="N45" s="23"/>
      <c r="O45" s="40"/>
      <c r="P45" s="23" t="str">
        <f>IF(N44&gt;16,"無効",IF(IF(N44&lt;=LOOKUP(AC46,AF46:BR46,AF48:BR48),ROUND(LOOKUP(AC46,AF46:BR46,AF47:BR47),1),ROUND(23000/N44^2,1))&lt;T45,"＜","＞"))</f>
        <v>＞</v>
      </c>
      <c r="R45" s="8" t="s">
        <v>141</v>
      </c>
      <c r="T45" s="195">
        <v>-96.8544</v>
      </c>
      <c r="U45" s="195"/>
      <c r="V45" s="195"/>
      <c r="W45" s="8" t="s">
        <v>91</v>
      </c>
      <c r="Z45" s="13" t="str">
        <f>IF(P45="＞","O.K","N.G")</f>
        <v>O.K</v>
      </c>
      <c r="AC45" s="163">
        <f>AC59</f>
        <v>2</v>
      </c>
      <c r="AD45" s="164"/>
      <c r="AE45" s="155"/>
      <c r="AF45" s="165" t="s">
        <v>120</v>
      </c>
      <c r="AG45" s="166"/>
      <c r="AH45" s="167"/>
      <c r="AI45" s="165" t="s">
        <v>121</v>
      </c>
      <c r="AJ45" s="166"/>
      <c r="AK45" s="167"/>
      <c r="AL45" s="165" t="s">
        <v>122</v>
      </c>
      <c r="AM45" s="166"/>
      <c r="AN45" s="167"/>
      <c r="AO45" s="147" t="s">
        <v>123</v>
      </c>
      <c r="AP45" s="148"/>
      <c r="AQ45" s="149"/>
      <c r="AR45" s="147" t="s">
        <v>35</v>
      </c>
      <c r="AS45" s="148"/>
      <c r="AT45" s="149"/>
      <c r="AU45" s="168" t="s">
        <v>124</v>
      </c>
      <c r="AV45" s="169"/>
      <c r="AW45" s="170"/>
      <c r="AX45" s="165" t="s">
        <v>125</v>
      </c>
      <c r="AY45" s="166"/>
      <c r="AZ45" s="167"/>
      <c r="BA45" s="165" t="s">
        <v>126</v>
      </c>
      <c r="BB45" s="166"/>
      <c r="BC45" s="167"/>
      <c r="BD45" s="165" t="s">
        <v>127</v>
      </c>
      <c r="BE45" s="166"/>
      <c r="BF45" s="167"/>
      <c r="BG45" s="168" t="s">
        <v>128</v>
      </c>
      <c r="BH45" s="169"/>
      <c r="BI45" s="170"/>
      <c r="BJ45" s="165" t="s">
        <v>129</v>
      </c>
      <c r="BK45" s="166"/>
      <c r="BL45" s="167"/>
      <c r="BM45" s="165" t="s">
        <v>130</v>
      </c>
      <c r="BN45" s="166"/>
      <c r="BO45" s="167"/>
      <c r="BP45" s="168" t="s">
        <v>131</v>
      </c>
      <c r="BQ45" s="169"/>
      <c r="BR45" s="170"/>
    </row>
    <row r="46" spans="3:70" ht="24.75" customHeight="1">
      <c r="C46" s="39"/>
      <c r="E46" s="40"/>
      <c r="F46" s="23"/>
      <c r="O46" s="40"/>
      <c r="P46" s="23"/>
      <c r="R46" s="44" t="s">
        <v>142</v>
      </c>
      <c r="S46" s="44"/>
      <c r="T46" s="197">
        <v>7</v>
      </c>
      <c r="U46" s="197"/>
      <c r="V46" s="77" t="s">
        <v>143</v>
      </c>
      <c r="W46" s="44"/>
      <c r="X46" s="44"/>
      <c r="Y46" s="44"/>
      <c r="AC46" s="175">
        <f>HLOOKUP(H3,AF45:BR46,2,FALSE)</f>
        <v>9</v>
      </c>
      <c r="AD46" s="175"/>
      <c r="AE46" s="175"/>
      <c r="AF46" s="153">
        <v>1</v>
      </c>
      <c r="AG46" s="153"/>
      <c r="AH46" s="153"/>
      <c r="AI46" s="153">
        <v>2</v>
      </c>
      <c r="AJ46" s="153"/>
      <c r="AK46" s="153"/>
      <c r="AL46" s="153">
        <v>3</v>
      </c>
      <c r="AM46" s="153"/>
      <c r="AN46" s="153"/>
      <c r="AO46" s="153">
        <v>4</v>
      </c>
      <c r="AP46" s="153"/>
      <c r="AQ46" s="153"/>
      <c r="AR46" s="153">
        <v>5</v>
      </c>
      <c r="AS46" s="153"/>
      <c r="AT46" s="153"/>
      <c r="AU46" s="153">
        <v>6</v>
      </c>
      <c r="AV46" s="153"/>
      <c r="AW46" s="153"/>
      <c r="AX46" s="153">
        <v>7</v>
      </c>
      <c r="AY46" s="153"/>
      <c r="AZ46" s="153"/>
      <c r="BA46" s="153">
        <v>8</v>
      </c>
      <c r="BB46" s="153"/>
      <c r="BC46" s="153"/>
      <c r="BD46" s="153">
        <v>9</v>
      </c>
      <c r="BE46" s="153"/>
      <c r="BF46" s="153"/>
      <c r="BG46" s="153">
        <v>10</v>
      </c>
      <c r="BH46" s="153"/>
      <c r="BI46" s="153"/>
      <c r="BJ46" s="153">
        <v>11</v>
      </c>
      <c r="BK46" s="153"/>
      <c r="BL46" s="153"/>
      <c r="BM46" s="153">
        <v>12</v>
      </c>
      <c r="BN46" s="153"/>
      <c r="BO46" s="153"/>
      <c r="BP46" s="153">
        <v>13</v>
      </c>
      <c r="BQ46" s="153"/>
      <c r="BR46" s="153"/>
    </row>
    <row r="47" spans="1:70" ht="24.75" customHeight="1">
      <c r="A47" s="7" t="s">
        <v>144</v>
      </c>
      <c r="H47" s="9" t="s">
        <v>145</v>
      </c>
      <c r="I47" s="156" t="s">
        <v>73</v>
      </c>
      <c r="J47" s="156"/>
      <c r="K47" s="156"/>
      <c r="L47" s="156"/>
      <c r="M47" s="7" t="s">
        <v>146</v>
      </c>
      <c r="N47" s="9"/>
      <c r="Q47" s="76"/>
      <c r="V47" s="25"/>
      <c r="W47" s="25"/>
      <c r="X47" s="25"/>
      <c r="Y47" s="25"/>
      <c r="Z47" s="25"/>
      <c r="AA47" s="25"/>
      <c r="AB47" s="45"/>
      <c r="AC47" s="141" t="s">
        <v>147</v>
      </c>
      <c r="AD47" s="136"/>
      <c r="AE47" s="137"/>
      <c r="AF47" s="152">
        <f>IF(AC45=2,140,125)</f>
        <v>140</v>
      </c>
      <c r="AG47" s="157"/>
      <c r="AH47" s="157"/>
      <c r="AI47" s="154">
        <f>AF47</f>
        <v>140</v>
      </c>
      <c r="AJ47" s="154"/>
      <c r="AK47" s="154"/>
      <c r="AL47" s="154">
        <f>AF47</f>
        <v>140</v>
      </c>
      <c r="AM47" s="154"/>
      <c r="AN47" s="154"/>
      <c r="AO47" s="154">
        <f>AI47</f>
        <v>140</v>
      </c>
      <c r="AP47" s="154"/>
      <c r="AQ47" s="154"/>
      <c r="AR47" s="138">
        <f>IF(AC45=2,185,175)</f>
        <v>185</v>
      </c>
      <c r="AS47" s="138"/>
      <c r="AT47" s="138"/>
      <c r="AU47" s="138">
        <v>185</v>
      </c>
      <c r="AV47" s="138"/>
      <c r="AW47" s="138"/>
      <c r="AX47" s="138">
        <f>IF(AC45=2,210,IF(AC45=3,195,190))</f>
        <v>210</v>
      </c>
      <c r="AY47" s="138"/>
      <c r="AZ47" s="138"/>
      <c r="BA47" s="155">
        <f>AX47</f>
        <v>210</v>
      </c>
      <c r="BB47" s="154"/>
      <c r="BC47" s="154"/>
      <c r="BD47" s="155">
        <f>AX47</f>
        <v>210</v>
      </c>
      <c r="BE47" s="154"/>
      <c r="BF47" s="154"/>
      <c r="BG47" s="152">
        <v>210</v>
      </c>
      <c r="BH47" s="157"/>
      <c r="BI47" s="157"/>
      <c r="BJ47" s="157">
        <f>IF(AC45=2,255,IF(AC45=3,245,240))</f>
        <v>255</v>
      </c>
      <c r="BK47" s="157"/>
      <c r="BL47" s="157"/>
      <c r="BM47" s="154">
        <f>BJ47</f>
        <v>255</v>
      </c>
      <c r="BN47" s="154"/>
      <c r="BO47" s="154"/>
      <c r="BP47" s="157">
        <v>255</v>
      </c>
      <c r="BQ47" s="157"/>
      <c r="BR47" s="157"/>
    </row>
    <row r="48" spans="1:70" ht="24.75" customHeight="1">
      <c r="A48" s="25"/>
      <c r="B48" s="8" t="s">
        <v>148</v>
      </c>
      <c r="H48" s="8" t="s">
        <v>62</v>
      </c>
      <c r="J48" s="46">
        <v>350</v>
      </c>
      <c r="K48" s="8" t="s">
        <v>33</v>
      </c>
      <c r="L48" s="25"/>
      <c r="Z48" s="47"/>
      <c r="AA48" s="48">
        <f>J17</f>
        <v>28</v>
      </c>
      <c r="AC48" s="158" t="str">
        <f>IF(AC45=2,"40",IF(AC45=3,"40-70","75-100"))</f>
        <v>40</v>
      </c>
      <c r="AD48" s="159"/>
      <c r="AE48" s="160"/>
      <c r="AF48" s="161">
        <f>IF(AC45=2,12.8,13.6)</f>
        <v>12.8</v>
      </c>
      <c r="AG48" s="162"/>
      <c r="AH48" s="162"/>
      <c r="AI48" s="139">
        <f>AF48</f>
        <v>12.8</v>
      </c>
      <c r="AJ48" s="140"/>
      <c r="AK48" s="140"/>
      <c r="AL48" s="139">
        <f>AF48</f>
        <v>12.8</v>
      </c>
      <c r="AM48" s="140"/>
      <c r="AN48" s="140"/>
      <c r="AO48" s="139">
        <f>AI48</f>
        <v>12.8</v>
      </c>
      <c r="AP48" s="140"/>
      <c r="AQ48" s="140"/>
      <c r="AR48" s="161">
        <f>IF(AC45=2,11.2,11.5)</f>
        <v>11.2</v>
      </c>
      <c r="AS48" s="162"/>
      <c r="AT48" s="162"/>
      <c r="AU48" s="161">
        <v>11.2</v>
      </c>
      <c r="AV48" s="162"/>
      <c r="AW48" s="162"/>
      <c r="AX48" s="161">
        <f>IF(AC45=2,10.5,IF(AC45=3,10.9,11))</f>
        <v>10.5</v>
      </c>
      <c r="AY48" s="162"/>
      <c r="AZ48" s="162"/>
      <c r="BA48" s="139">
        <f>AX48</f>
        <v>10.5</v>
      </c>
      <c r="BB48" s="140"/>
      <c r="BC48" s="140"/>
      <c r="BD48" s="139">
        <f>AX48</f>
        <v>10.5</v>
      </c>
      <c r="BE48" s="140"/>
      <c r="BF48" s="140"/>
      <c r="BG48" s="161">
        <v>10.5</v>
      </c>
      <c r="BH48" s="162"/>
      <c r="BI48" s="162"/>
      <c r="BJ48" s="161">
        <f>IF(AC45=2,9.5,IF(AC45=3,9.7,9.8))</f>
        <v>9.5</v>
      </c>
      <c r="BK48" s="162"/>
      <c r="BL48" s="162"/>
      <c r="BM48" s="139">
        <f>BJ48</f>
        <v>9.5</v>
      </c>
      <c r="BN48" s="140"/>
      <c r="BO48" s="140"/>
      <c r="BP48" s="161">
        <v>9.5</v>
      </c>
      <c r="BQ48" s="162"/>
      <c r="BR48" s="162"/>
    </row>
    <row r="49" spans="2:26" ht="24.75" customHeight="1">
      <c r="B49" s="8" t="s">
        <v>149</v>
      </c>
      <c r="H49" s="8" t="s">
        <v>63</v>
      </c>
      <c r="J49" s="49">
        <v>12</v>
      </c>
      <c r="K49" s="8" t="s">
        <v>33</v>
      </c>
      <c r="Q49" s="24"/>
      <c r="R49" s="50">
        <f>J49</f>
        <v>12</v>
      </c>
      <c r="S49" s="51"/>
      <c r="V49" s="52">
        <f>J48</f>
        <v>350</v>
      </c>
      <c r="Z49" s="53"/>
    </row>
    <row r="50" spans="2:22" ht="24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M50" s="11"/>
      <c r="N50" s="25"/>
      <c r="V50" s="54">
        <v>16</v>
      </c>
    </row>
    <row r="51" spans="2:28" ht="24.75" customHeight="1">
      <c r="B51" s="8" t="s">
        <v>92</v>
      </c>
      <c r="S51" s="55">
        <v>200</v>
      </c>
      <c r="T51" s="56"/>
      <c r="AB51" s="45"/>
    </row>
    <row r="52" spans="3:33" ht="24.75" customHeight="1">
      <c r="C52" s="8" t="s">
        <v>150</v>
      </c>
      <c r="E52" s="7" t="s">
        <v>151</v>
      </c>
      <c r="J52" s="25"/>
      <c r="K52" s="25"/>
      <c r="L52" s="25"/>
      <c r="M52" s="25"/>
      <c r="N52" s="25"/>
      <c r="P52" s="41">
        <f>ROUND((J16*J17^3/11)*((1+O14*E39)/(4*L23^3)),3)</f>
        <v>95253850.02</v>
      </c>
      <c r="Q52" s="23"/>
      <c r="R52" s="23"/>
      <c r="S52" s="23"/>
      <c r="T52" s="7" t="s">
        <v>89</v>
      </c>
      <c r="V52" s="25"/>
      <c r="W52" s="25"/>
      <c r="X52" s="25"/>
      <c r="Y52" s="25"/>
      <c r="AB52" s="45"/>
      <c r="AF52" s="57"/>
      <c r="AG52" s="57"/>
    </row>
    <row r="53" spans="2:28" ht="24.75" customHeight="1">
      <c r="B53" s="8" t="s">
        <v>93</v>
      </c>
      <c r="X53" s="25"/>
      <c r="Y53" s="25"/>
      <c r="Z53" s="25"/>
      <c r="AA53" s="25"/>
      <c r="AB53" s="45"/>
    </row>
    <row r="54" spans="3:23" ht="24.75" customHeight="1">
      <c r="C54" s="7" t="s">
        <v>152</v>
      </c>
      <c r="E54" s="58" t="s">
        <v>17</v>
      </c>
      <c r="F54" s="23" t="s">
        <v>5</v>
      </c>
      <c r="G54" s="34">
        <f>J49</f>
        <v>12</v>
      </c>
      <c r="H54" s="23" t="s">
        <v>5</v>
      </c>
      <c r="I54" s="59">
        <f>J48</f>
        <v>350</v>
      </c>
      <c r="J54" s="23"/>
      <c r="K54" s="21">
        <f>S51</f>
        <v>200</v>
      </c>
      <c r="L54" s="28"/>
      <c r="M54" s="23" t="s">
        <v>5</v>
      </c>
      <c r="N54" s="60">
        <f>V50</f>
        <v>16</v>
      </c>
      <c r="O54" s="23"/>
      <c r="P54" s="23"/>
      <c r="Q54" s="23"/>
      <c r="R54" s="21">
        <f>K54*N54</f>
        <v>3200</v>
      </c>
      <c r="S54" s="28"/>
      <c r="T54" s="23" t="s">
        <v>5</v>
      </c>
      <c r="U54" s="61">
        <f>V49+V50/2</f>
        <v>358</v>
      </c>
      <c r="V54" s="62"/>
      <c r="W54" s="23"/>
    </row>
    <row r="55" spans="4:19" ht="24.75" customHeight="1">
      <c r="D55" s="23" t="s">
        <v>9</v>
      </c>
      <c r="E55" s="41">
        <f>ROUND(1/3*G54*I54^3+K54*N54^3/12+R54*U54^2,3)</f>
        <v>581693066.667</v>
      </c>
      <c r="F55" s="23"/>
      <c r="G55" s="23"/>
      <c r="H55" s="23"/>
      <c r="I55" s="7" t="s">
        <v>89</v>
      </c>
      <c r="J55" s="25"/>
      <c r="K55" s="11" t="str">
        <f>IF(E55&gt;P52,"＞","＜")</f>
        <v>＞</v>
      </c>
      <c r="L55" s="8" t="s">
        <v>150</v>
      </c>
      <c r="P55" s="8" t="str">
        <f>IF(E55&gt;P52,"O.K","N.G")</f>
        <v>O.K</v>
      </c>
      <c r="R55" s="25"/>
      <c r="S55" s="25"/>
    </row>
    <row r="56" spans="4:19" ht="24.75" customHeight="1">
      <c r="D56" s="23"/>
      <c r="E56" s="23"/>
      <c r="F56" s="23"/>
      <c r="G56" s="23"/>
      <c r="H56" s="7"/>
      <c r="R56" s="25"/>
      <c r="S56" s="25"/>
    </row>
    <row r="57" spans="1:67" s="5" customFormat="1" ht="24.75" customHeight="1">
      <c r="A57" s="4" t="s">
        <v>153</v>
      </c>
      <c r="B57" s="4"/>
      <c r="C57" s="4"/>
      <c r="D57" s="63"/>
      <c r="E57" s="63"/>
      <c r="F57" s="63"/>
      <c r="G57" s="63"/>
      <c r="H57" s="4"/>
      <c r="I57" s="4"/>
      <c r="J57" s="4"/>
      <c r="K57" s="4"/>
      <c r="L57" s="4"/>
      <c r="M57" s="4"/>
      <c r="N57" s="4"/>
      <c r="O57" s="4"/>
      <c r="P57" s="4"/>
      <c r="Q57" s="4"/>
      <c r="R57" s="64"/>
      <c r="S57" s="64"/>
      <c r="T57" s="4"/>
      <c r="U57" s="4"/>
      <c r="V57" s="4"/>
      <c r="W57" s="4"/>
      <c r="X57" s="4"/>
      <c r="Y57" s="4"/>
      <c r="Z57" s="4"/>
      <c r="AA57" s="4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</row>
    <row r="58" spans="1:71" ht="24.75" customHeight="1">
      <c r="A58" s="37" t="s">
        <v>154</v>
      </c>
      <c r="H58" s="9" t="s">
        <v>145</v>
      </c>
      <c r="I58" s="156" t="s">
        <v>72</v>
      </c>
      <c r="J58" s="156"/>
      <c r="K58" s="156"/>
      <c r="L58" s="156"/>
      <c r="M58" s="7" t="s">
        <v>146</v>
      </c>
      <c r="N58" s="9"/>
      <c r="AC58" s="142" t="s">
        <v>155</v>
      </c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6"/>
      <c r="BQ58" s="36"/>
      <c r="BR58" s="36"/>
      <c r="BS58" s="36"/>
    </row>
    <row r="59" spans="2:70" ht="24.75" customHeight="1">
      <c r="B59" s="8" t="s">
        <v>156</v>
      </c>
      <c r="H59" s="8" t="s">
        <v>12</v>
      </c>
      <c r="I59" s="8" t="s">
        <v>18</v>
      </c>
      <c r="J59" s="65">
        <v>1</v>
      </c>
      <c r="P59" s="10"/>
      <c r="Q59" s="10"/>
      <c r="S59" s="10"/>
      <c r="T59" s="10"/>
      <c r="U59" s="10"/>
      <c r="V59" s="10"/>
      <c r="W59" s="10"/>
      <c r="X59" s="10"/>
      <c r="Y59" s="10"/>
      <c r="Z59" s="10"/>
      <c r="AC59" s="198">
        <f>IF(J66&lt;=40,2,IF(J66&lt;=75,3,4))</f>
        <v>2</v>
      </c>
      <c r="AD59" s="199"/>
      <c r="AE59" s="200"/>
      <c r="AF59" s="165" t="s">
        <v>120</v>
      </c>
      <c r="AG59" s="166"/>
      <c r="AH59" s="167"/>
      <c r="AI59" s="165" t="s">
        <v>121</v>
      </c>
      <c r="AJ59" s="166"/>
      <c r="AK59" s="167"/>
      <c r="AL59" s="165" t="s">
        <v>122</v>
      </c>
      <c r="AM59" s="166"/>
      <c r="AN59" s="167"/>
      <c r="AO59" s="147" t="s">
        <v>123</v>
      </c>
      <c r="AP59" s="148"/>
      <c r="AQ59" s="149"/>
      <c r="AR59" s="147" t="s">
        <v>35</v>
      </c>
      <c r="AS59" s="148"/>
      <c r="AT59" s="149"/>
      <c r="AU59" s="168" t="s">
        <v>124</v>
      </c>
      <c r="AV59" s="169"/>
      <c r="AW59" s="170"/>
      <c r="AX59" s="165" t="s">
        <v>125</v>
      </c>
      <c r="AY59" s="166"/>
      <c r="AZ59" s="167"/>
      <c r="BA59" s="165" t="s">
        <v>126</v>
      </c>
      <c r="BB59" s="166"/>
      <c r="BC59" s="167"/>
      <c r="BD59" s="165" t="s">
        <v>127</v>
      </c>
      <c r="BE59" s="166"/>
      <c r="BF59" s="167"/>
      <c r="BG59" s="168" t="s">
        <v>128</v>
      </c>
      <c r="BH59" s="169"/>
      <c r="BI59" s="170"/>
      <c r="BJ59" s="165" t="s">
        <v>129</v>
      </c>
      <c r="BK59" s="166"/>
      <c r="BL59" s="167"/>
      <c r="BM59" s="165" t="s">
        <v>130</v>
      </c>
      <c r="BN59" s="166"/>
      <c r="BO59" s="167"/>
      <c r="BP59" s="168" t="s">
        <v>131</v>
      </c>
      <c r="BQ59" s="169"/>
      <c r="BR59" s="170"/>
    </row>
    <row r="60" spans="2:70" ht="24.75" customHeight="1">
      <c r="B60" s="8" t="s">
        <v>157</v>
      </c>
      <c r="H60" s="8" t="s">
        <v>12</v>
      </c>
      <c r="I60" s="8" t="s">
        <v>158</v>
      </c>
      <c r="K60" s="15">
        <v>-96.8544</v>
      </c>
      <c r="L60" s="23"/>
      <c r="M60" s="23"/>
      <c r="N60" s="8" t="s">
        <v>91</v>
      </c>
      <c r="P60" s="10"/>
      <c r="Q60" s="10"/>
      <c r="S60" s="10"/>
      <c r="T60" s="10"/>
      <c r="U60" s="10"/>
      <c r="V60" s="10"/>
      <c r="W60" s="10"/>
      <c r="X60" s="10"/>
      <c r="Y60" s="10"/>
      <c r="Z60" s="10"/>
      <c r="AC60" s="177">
        <v>40</v>
      </c>
      <c r="AD60" s="177"/>
      <c r="AE60" s="177"/>
      <c r="AF60" s="150">
        <v>140</v>
      </c>
      <c r="AG60" s="151"/>
      <c r="AH60" s="152"/>
      <c r="AI60" s="163">
        <f>AF60</f>
        <v>140</v>
      </c>
      <c r="AJ60" s="164"/>
      <c r="AK60" s="155"/>
      <c r="AL60" s="163">
        <f>AF60</f>
        <v>140</v>
      </c>
      <c r="AM60" s="164"/>
      <c r="AN60" s="155"/>
      <c r="AO60" s="150">
        <v>140</v>
      </c>
      <c r="AP60" s="151"/>
      <c r="AQ60" s="152"/>
      <c r="AR60" s="150">
        <v>185</v>
      </c>
      <c r="AS60" s="151"/>
      <c r="AT60" s="152"/>
      <c r="AU60" s="163">
        <f>AR60</f>
        <v>185</v>
      </c>
      <c r="AV60" s="164"/>
      <c r="AW60" s="155"/>
      <c r="AX60" s="150">
        <v>210</v>
      </c>
      <c r="AY60" s="151"/>
      <c r="AZ60" s="152"/>
      <c r="BA60" s="163">
        <f>AX60</f>
        <v>210</v>
      </c>
      <c r="BB60" s="164"/>
      <c r="BC60" s="155"/>
      <c r="BD60" s="163">
        <f>AX60</f>
        <v>210</v>
      </c>
      <c r="BE60" s="164"/>
      <c r="BF60" s="155"/>
      <c r="BG60" s="150">
        <v>210</v>
      </c>
      <c r="BH60" s="151"/>
      <c r="BI60" s="152"/>
      <c r="BJ60" s="150">
        <v>255</v>
      </c>
      <c r="BK60" s="151"/>
      <c r="BL60" s="152"/>
      <c r="BM60" s="163">
        <f>BJ60</f>
        <v>255</v>
      </c>
      <c r="BN60" s="164"/>
      <c r="BO60" s="155"/>
      <c r="BP60" s="163">
        <f>BM60</f>
        <v>255</v>
      </c>
      <c r="BQ60" s="164"/>
      <c r="BR60" s="155"/>
    </row>
    <row r="61" spans="2:70" ht="24.75" customHeight="1">
      <c r="B61" s="8" t="s">
        <v>159</v>
      </c>
      <c r="H61" s="8" t="s">
        <v>12</v>
      </c>
      <c r="I61" s="8" t="s">
        <v>37</v>
      </c>
      <c r="K61" s="15">
        <v>51.3818</v>
      </c>
      <c r="L61" s="23"/>
      <c r="M61" s="23"/>
      <c r="N61" s="8" t="s">
        <v>91</v>
      </c>
      <c r="P61" s="10"/>
      <c r="Q61" s="10"/>
      <c r="S61" s="10"/>
      <c r="T61" s="10"/>
      <c r="U61" s="10"/>
      <c r="V61" s="10"/>
      <c r="W61" s="10"/>
      <c r="X61" s="10"/>
      <c r="Y61" s="10"/>
      <c r="Z61" s="10"/>
      <c r="AC61" s="176" t="s">
        <v>160</v>
      </c>
      <c r="AD61" s="176"/>
      <c r="AE61" s="176"/>
      <c r="AF61" s="150">
        <v>125</v>
      </c>
      <c r="AG61" s="151"/>
      <c r="AH61" s="152"/>
      <c r="AI61" s="163">
        <f>AF61</f>
        <v>125</v>
      </c>
      <c r="AJ61" s="164"/>
      <c r="AK61" s="155"/>
      <c r="AL61" s="163">
        <f>AF61</f>
        <v>125</v>
      </c>
      <c r="AM61" s="164"/>
      <c r="AN61" s="155"/>
      <c r="AO61" s="150">
        <v>140</v>
      </c>
      <c r="AP61" s="151"/>
      <c r="AQ61" s="152"/>
      <c r="AR61" s="150">
        <v>175</v>
      </c>
      <c r="AS61" s="151"/>
      <c r="AT61" s="152"/>
      <c r="AU61" s="163">
        <f>AU60</f>
        <v>185</v>
      </c>
      <c r="AV61" s="164"/>
      <c r="AW61" s="155"/>
      <c r="AX61" s="150">
        <v>195</v>
      </c>
      <c r="AY61" s="151"/>
      <c r="AZ61" s="152"/>
      <c r="BA61" s="163">
        <f>AX61</f>
        <v>195</v>
      </c>
      <c r="BB61" s="164"/>
      <c r="BC61" s="155"/>
      <c r="BD61" s="163">
        <f>AX61</f>
        <v>195</v>
      </c>
      <c r="BE61" s="164"/>
      <c r="BF61" s="155"/>
      <c r="BG61" s="150">
        <v>210</v>
      </c>
      <c r="BH61" s="151"/>
      <c r="BI61" s="152"/>
      <c r="BJ61" s="150">
        <v>245</v>
      </c>
      <c r="BK61" s="151"/>
      <c r="BL61" s="152"/>
      <c r="BM61" s="163">
        <f>BJ61</f>
        <v>245</v>
      </c>
      <c r="BN61" s="164"/>
      <c r="BO61" s="155"/>
      <c r="BP61" s="163">
        <f>BP60</f>
        <v>255</v>
      </c>
      <c r="BQ61" s="164"/>
      <c r="BR61" s="155"/>
    </row>
    <row r="62" spans="2:70" ht="24.75" customHeight="1">
      <c r="B62" s="8" t="s">
        <v>161</v>
      </c>
      <c r="H62" s="8" t="s">
        <v>12</v>
      </c>
      <c r="I62" s="8" t="s">
        <v>64</v>
      </c>
      <c r="K62" s="19">
        <v>200</v>
      </c>
      <c r="L62" s="21"/>
      <c r="M62" s="8" t="s">
        <v>33</v>
      </c>
      <c r="P62" s="10"/>
      <c r="Q62" s="10"/>
      <c r="S62" s="10"/>
      <c r="T62" s="10"/>
      <c r="U62" s="10"/>
      <c r="V62" s="10"/>
      <c r="W62" s="10"/>
      <c r="X62" s="10"/>
      <c r="Y62" s="10"/>
      <c r="Z62" s="10"/>
      <c r="AC62" s="176" t="s">
        <v>162</v>
      </c>
      <c r="AD62" s="176"/>
      <c r="AE62" s="176"/>
      <c r="AF62" s="150">
        <v>125</v>
      </c>
      <c r="AG62" s="151"/>
      <c r="AH62" s="152"/>
      <c r="AI62" s="163">
        <f>AF62</f>
        <v>125</v>
      </c>
      <c r="AJ62" s="164"/>
      <c r="AK62" s="155"/>
      <c r="AL62" s="163">
        <f>AF62</f>
        <v>125</v>
      </c>
      <c r="AM62" s="164"/>
      <c r="AN62" s="155"/>
      <c r="AO62" s="150">
        <v>140</v>
      </c>
      <c r="AP62" s="151"/>
      <c r="AQ62" s="152"/>
      <c r="AR62" s="150">
        <v>175</v>
      </c>
      <c r="AS62" s="151"/>
      <c r="AT62" s="152"/>
      <c r="AU62" s="163">
        <f>AU60</f>
        <v>185</v>
      </c>
      <c r="AV62" s="164"/>
      <c r="AW62" s="155"/>
      <c r="AX62" s="150">
        <v>190</v>
      </c>
      <c r="AY62" s="151"/>
      <c r="AZ62" s="152"/>
      <c r="BA62" s="163">
        <f>AX62</f>
        <v>190</v>
      </c>
      <c r="BB62" s="164"/>
      <c r="BC62" s="155"/>
      <c r="BD62" s="163">
        <f>AX62</f>
        <v>190</v>
      </c>
      <c r="BE62" s="164"/>
      <c r="BF62" s="155"/>
      <c r="BG62" s="150">
        <v>210</v>
      </c>
      <c r="BH62" s="151"/>
      <c r="BI62" s="152"/>
      <c r="BJ62" s="150">
        <v>240</v>
      </c>
      <c r="BK62" s="151"/>
      <c r="BL62" s="152"/>
      <c r="BM62" s="163">
        <f>BJ62</f>
        <v>240</v>
      </c>
      <c r="BN62" s="164"/>
      <c r="BO62" s="155"/>
      <c r="BP62" s="163">
        <f>BP60</f>
        <v>255</v>
      </c>
      <c r="BQ62" s="164"/>
      <c r="BR62" s="155"/>
    </row>
    <row r="63" spans="2:26" ht="24.75" customHeight="1">
      <c r="B63" s="8" t="s">
        <v>163</v>
      </c>
      <c r="H63" s="8" t="s">
        <v>12</v>
      </c>
      <c r="I63" s="8" t="s">
        <v>65</v>
      </c>
      <c r="K63" s="19">
        <v>16</v>
      </c>
      <c r="L63" s="21"/>
      <c r="M63" s="8" t="s">
        <v>33</v>
      </c>
      <c r="P63" s="10"/>
      <c r="Q63" s="10"/>
      <c r="S63" s="10"/>
      <c r="T63" s="10"/>
      <c r="U63" s="10"/>
      <c r="V63" s="10"/>
      <c r="W63" s="10"/>
      <c r="X63" s="10"/>
      <c r="Y63" s="10"/>
      <c r="Z63" s="10"/>
    </row>
    <row r="64" spans="2:12" ht="24.75" customHeight="1">
      <c r="B64" s="8" t="s">
        <v>164</v>
      </c>
      <c r="H64" s="8" t="s">
        <v>12</v>
      </c>
      <c r="I64" s="8" t="s">
        <v>19</v>
      </c>
      <c r="J64" s="23">
        <f>J15</f>
        <v>1249.4</v>
      </c>
      <c r="K64" s="23"/>
      <c r="L64" s="8" t="s">
        <v>33</v>
      </c>
    </row>
    <row r="65" spans="2:37" ht="24.75" customHeight="1">
      <c r="B65" s="8" t="s">
        <v>81</v>
      </c>
      <c r="H65" s="8" t="s">
        <v>12</v>
      </c>
      <c r="I65" s="8" t="s">
        <v>20</v>
      </c>
      <c r="J65" s="15">
        <v>2200</v>
      </c>
      <c r="K65" s="23"/>
      <c r="L65" s="8" t="s">
        <v>33</v>
      </c>
      <c r="U65" s="120" t="str">
        <f>IF(J59=3,"","[道路橋示方書 10.4.2]")</f>
        <v>[道路橋示方書 10.4.2]</v>
      </c>
      <c r="Y65" s="15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2:67" ht="24.75" customHeight="1">
      <c r="B66" s="72" t="s">
        <v>165</v>
      </c>
      <c r="G66" s="25"/>
      <c r="H66" s="8" t="s">
        <v>12</v>
      </c>
      <c r="I66" s="8" t="s">
        <v>16</v>
      </c>
      <c r="J66" s="15">
        <v>14</v>
      </c>
      <c r="K66" s="23"/>
      <c r="L66" s="8">
        <v>12</v>
      </c>
      <c r="M66" s="125" t="e">
        <f>IF(J59=3,"",IF(J66&gt;=W66," ≥","＜ "))</f>
        <v>#NUM!</v>
      </c>
      <c r="N66" s="66" t="str">
        <f>IF(J59=3,"","twmin = b /(")</f>
        <v>twmin = b /(</v>
      </c>
      <c r="O66" s="66"/>
      <c r="P66" s="66"/>
      <c r="Q66" s="66">
        <f>IF(J59=3,"",HLOOKUP(I58,AF67:BR70,AC67,FALSE))</f>
        <v>256</v>
      </c>
      <c r="R66" s="11" t="str">
        <f>IF(J59=3,"","×")</f>
        <v>×</v>
      </c>
      <c r="S66" s="26" t="e">
        <f>IF(J59=3,"",X67)</f>
        <v>#NUM!</v>
      </c>
      <c r="T66" s="26"/>
      <c r="U66" s="8" t="str">
        <f>IF(J59=3,"",")")</f>
        <v>)</v>
      </c>
      <c r="V66" s="67" t="str">
        <f>IF(J59=3,"","=")</f>
        <v>=</v>
      </c>
      <c r="W66" s="68" t="e">
        <f>IF(J59=3,"",J65/(Q66*S66))</f>
        <v>#NUM!</v>
      </c>
      <c r="X66" s="68"/>
      <c r="Y66" s="66" t="str">
        <f>IF(J59=3,"","mm")</f>
        <v>mm</v>
      </c>
      <c r="Z66" s="66" t="e">
        <f>IF(J59=3,"",IF(J66&gt;=W66,"O.K.","N.G."))</f>
        <v>#NUM!</v>
      </c>
      <c r="AA66" s="66"/>
      <c r="AB66" s="69"/>
      <c r="AC66" s="142" t="s">
        <v>166</v>
      </c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7:70" ht="24.75" customHeight="1">
      <c r="G67" s="25"/>
      <c r="I67" s="37" t="str">
        <f>IF(J59=3,"","ここに,")</f>
        <v>ここに,</v>
      </c>
      <c r="K67" s="8" t="str">
        <f>IF(J59=3,"","√(σca/σc) = √("&amp;HLOOKUP(I58,AF59:BR62,AC59,FALSE)&amp;"/"&amp;ROUND(K60,3)&amp;")")</f>
        <v>√(σca/σc) = √(140/-96.854)</v>
      </c>
      <c r="P67" s="14"/>
      <c r="Q67" s="11" t="str">
        <f>IF(J59=3,"","=")</f>
        <v>=</v>
      </c>
      <c r="R67" s="26" t="e">
        <f>IF(J59=3,"",SQRT(HLOOKUP(I58,AF59:BR62,AC59,FALSE)/K60))</f>
        <v>#NUM!</v>
      </c>
      <c r="S67" s="80"/>
      <c r="T67" s="8" t="e">
        <f>IF(J59=3,"",IF(R67&gt;1.2,"＞","＜"))</f>
        <v>#NUM!</v>
      </c>
      <c r="U67" s="8">
        <f>IF(J59=3,"",1.2)</f>
        <v>1.2</v>
      </c>
      <c r="W67" s="8" t="str">
        <f>IF(J59=3,"","⇒")</f>
        <v>⇒</v>
      </c>
      <c r="X67" s="23" t="e">
        <f>IF(J59=3,"",IF(R67&gt;1.2,1.2,ROUND(R67,3)))</f>
        <v>#NUM!</v>
      </c>
      <c r="Y67" s="23"/>
      <c r="AC67" s="163">
        <f>J59+2</f>
        <v>3</v>
      </c>
      <c r="AD67" s="164"/>
      <c r="AE67" s="155"/>
      <c r="AF67" s="165" t="s">
        <v>167</v>
      </c>
      <c r="AG67" s="166"/>
      <c r="AH67" s="167"/>
      <c r="AI67" s="165" t="s">
        <v>168</v>
      </c>
      <c r="AJ67" s="166"/>
      <c r="AK67" s="167"/>
      <c r="AL67" s="165" t="s">
        <v>169</v>
      </c>
      <c r="AM67" s="166"/>
      <c r="AN67" s="167"/>
      <c r="AO67" s="147" t="s">
        <v>170</v>
      </c>
      <c r="AP67" s="148"/>
      <c r="AQ67" s="149"/>
      <c r="AR67" s="147" t="s">
        <v>35</v>
      </c>
      <c r="AS67" s="148"/>
      <c r="AT67" s="149"/>
      <c r="AU67" s="168" t="s">
        <v>171</v>
      </c>
      <c r="AV67" s="169"/>
      <c r="AW67" s="170"/>
      <c r="AX67" s="165" t="s">
        <v>172</v>
      </c>
      <c r="AY67" s="166"/>
      <c r="AZ67" s="167"/>
      <c r="BA67" s="165" t="s">
        <v>173</v>
      </c>
      <c r="BB67" s="166"/>
      <c r="BC67" s="167"/>
      <c r="BD67" s="165" t="s">
        <v>174</v>
      </c>
      <c r="BE67" s="166"/>
      <c r="BF67" s="167"/>
      <c r="BG67" s="168" t="s">
        <v>175</v>
      </c>
      <c r="BH67" s="169"/>
      <c r="BI67" s="170"/>
      <c r="BJ67" s="165" t="s">
        <v>176</v>
      </c>
      <c r="BK67" s="166"/>
      <c r="BL67" s="167"/>
      <c r="BM67" s="165" t="s">
        <v>177</v>
      </c>
      <c r="BN67" s="166"/>
      <c r="BO67" s="167"/>
      <c r="BP67" s="168" t="s">
        <v>178</v>
      </c>
      <c r="BQ67" s="169"/>
      <c r="BR67" s="170"/>
    </row>
    <row r="68" spans="2:70" ht="24.75" customHeight="1">
      <c r="B68" s="8" t="s">
        <v>179</v>
      </c>
      <c r="H68" s="120" t="s">
        <v>180</v>
      </c>
      <c r="AC68" s="171" t="s">
        <v>181</v>
      </c>
      <c r="AD68" s="172"/>
      <c r="AE68" s="173"/>
      <c r="AF68" s="152">
        <v>152</v>
      </c>
      <c r="AG68" s="157"/>
      <c r="AH68" s="157"/>
      <c r="AI68" s="155">
        <f>AF68</f>
        <v>152</v>
      </c>
      <c r="AJ68" s="154"/>
      <c r="AK68" s="154"/>
      <c r="AL68" s="155">
        <f>AF68</f>
        <v>152</v>
      </c>
      <c r="AM68" s="154"/>
      <c r="AN68" s="154"/>
      <c r="AO68" s="152">
        <v>152</v>
      </c>
      <c r="AP68" s="157"/>
      <c r="AQ68" s="157"/>
      <c r="AR68" s="152">
        <v>130</v>
      </c>
      <c r="AS68" s="157"/>
      <c r="AT68" s="157"/>
      <c r="AU68" s="155">
        <f>AR68</f>
        <v>130</v>
      </c>
      <c r="AV68" s="154"/>
      <c r="AW68" s="154"/>
      <c r="AX68" s="152">
        <v>123</v>
      </c>
      <c r="AY68" s="157"/>
      <c r="AZ68" s="157"/>
      <c r="BA68" s="155">
        <f>AX68</f>
        <v>123</v>
      </c>
      <c r="BB68" s="154"/>
      <c r="BC68" s="154"/>
      <c r="BD68" s="155">
        <f>AX68</f>
        <v>123</v>
      </c>
      <c r="BE68" s="154"/>
      <c r="BF68" s="154"/>
      <c r="BG68" s="155">
        <f>AX68</f>
        <v>123</v>
      </c>
      <c r="BH68" s="154"/>
      <c r="BI68" s="154"/>
      <c r="BJ68" s="152">
        <v>110</v>
      </c>
      <c r="BK68" s="157"/>
      <c r="BL68" s="157"/>
      <c r="BM68" s="155">
        <f>BJ68</f>
        <v>110</v>
      </c>
      <c r="BN68" s="154"/>
      <c r="BO68" s="154"/>
      <c r="BP68" s="155">
        <f>BJ68</f>
        <v>110</v>
      </c>
      <c r="BQ68" s="154"/>
      <c r="BR68" s="154"/>
    </row>
    <row r="69" spans="3:70" ht="24.75" customHeight="1">
      <c r="C69" s="8" t="str">
        <f>"a / b = "&amp;J64&amp;" / "&amp;J65&amp;"  ="</f>
        <v>a / b = 1249.4 / 2200  =</v>
      </c>
      <c r="I69" s="24">
        <f>ROUND(J64/J65,3)</f>
        <v>0.568</v>
      </c>
      <c r="J69" s="23"/>
      <c r="K69" s="11" t="str">
        <f>IF(I69&lt;=M69,"≤","＞")</f>
        <v>≤</v>
      </c>
      <c r="M69" s="127">
        <v>1.5</v>
      </c>
      <c r="P69" s="8" t="str">
        <f>IF(I69&lt;=M69,"O.K","N.G")</f>
        <v>O.K</v>
      </c>
      <c r="AC69" s="165" t="s">
        <v>182</v>
      </c>
      <c r="AD69" s="166"/>
      <c r="AE69" s="167"/>
      <c r="AF69" s="152">
        <v>256</v>
      </c>
      <c r="AG69" s="157"/>
      <c r="AH69" s="157"/>
      <c r="AI69" s="154">
        <f>AF69</f>
        <v>256</v>
      </c>
      <c r="AJ69" s="154"/>
      <c r="AK69" s="154"/>
      <c r="AL69" s="154">
        <f>AF69</f>
        <v>256</v>
      </c>
      <c r="AM69" s="154"/>
      <c r="AN69" s="154"/>
      <c r="AO69" s="152">
        <v>256</v>
      </c>
      <c r="AP69" s="157"/>
      <c r="AQ69" s="157"/>
      <c r="AR69" s="138">
        <v>220</v>
      </c>
      <c r="AS69" s="138"/>
      <c r="AT69" s="138"/>
      <c r="AU69" s="174">
        <f>AR69</f>
        <v>220</v>
      </c>
      <c r="AV69" s="174"/>
      <c r="AW69" s="174"/>
      <c r="AX69" s="138">
        <v>209</v>
      </c>
      <c r="AY69" s="138"/>
      <c r="AZ69" s="138"/>
      <c r="BA69" s="155">
        <f>AX69</f>
        <v>209</v>
      </c>
      <c r="BB69" s="154"/>
      <c r="BC69" s="154"/>
      <c r="BD69" s="155">
        <f>AX69</f>
        <v>209</v>
      </c>
      <c r="BE69" s="154"/>
      <c r="BF69" s="154"/>
      <c r="BG69" s="155">
        <f>AX69</f>
        <v>209</v>
      </c>
      <c r="BH69" s="154"/>
      <c r="BI69" s="154"/>
      <c r="BJ69" s="157">
        <v>188</v>
      </c>
      <c r="BK69" s="157"/>
      <c r="BL69" s="157"/>
      <c r="BM69" s="154">
        <f>BJ69</f>
        <v>188</v>
      </c>
      <c r="BN69" s="154"/>
      <c r="BO69" s="154"/>
      <c r="BP69" s="154">
        <f>BJ69</f>
        <v>188</v>
      </c>
      <c r="BQ69" s="154"/>
      <c r="BR69" s="154"/>
    </row>
    <row r="70" spans="2:70" ht="24.75" customHeight="1">
      <c r="B70" s="72" t="s">
        <v>183</v>
      </c>
      <c r="E70" s="8">
        <f>IF(J59=0,"",J59)</f>
        <v>1</v>
      </c>
      <c r="F70" s="8" t="s">
        <v>184</v>
      </c>
      <c r="K70" s="8" t="s">
        <v>21</v>
      </c>
      <c r="L70" s="8" t="str">
        <f>IF(AND(J59=0,I69&gt;1),"＞ 1",IF(AND(J59=0,I69&lt;=1),"≤ 1",IF(AND(J59=1,I69&gt;0.8),"＞ 0.80",IF(AND(J59=1,I69&lt;=0.8),"≤ 0.80",IF(AND(J59=2,I69&gt;0.64),"＞ 0.64",IF(AND(J59=2,I69&lt;=0.64),"≤ 0.64"))))))</f>
        <v>≤ 0.80</v>
      </c>
      <c r="O70" s="8" t="s">
        <v>66</v>
      </c>
      <c r="AC70" s="158" t="s">
        <v>185</v>
      </c>
      <c r="AD70" s="159"/>
      <c r="AE70" s="160"/>
      <c r="AF70" s="152">
        <v>310</v>
      </c>
      <c r="AG70" s="157"/>
      <c r="AH70" s="157"/>
      <c r="AI70" s="155">
        <f>AF70</f>
        <v>310</v>
      </c>
      <c r="AJ70" s="154"/>
      <c r="AK70" s="154"/>
      <c r="AL70" s="155">
        <f>AF70</f>
        <v>310</v>
      </c>
      <c r="AM70" s="154"/>
      <c r="AN70" s="154"/>
      <c r="AO70" s="152">
        <v>310</v>
      </c>
      <c r="AP70" s="157"/>
      <c r="AQ70" s="157"/>
      <c r="AR70" s="152">
        <v>310</v>
      </c>
      <c r="AS70" s="157"/>
      <c r="AT70" s="157"/>
      <c r="AU70" s="155">
        <f>AR70</f>
        <v>310</v>
      </c>
      <c r="AV70" s="154"/>
      <c r="AW70" s="154"/>
      <c r="AX70" s="152">
        <v>294</v>
      </c>
      <c r="AY70" s="157"/>
      <c r="AZ70" s="157"/>
      <c r="BA70" s="155">
        <f>AX70</f>
        <v>294</v>
      </c>
      <c r="BB70" s="154"/>
      <c r="BC70" s="154"/>
      <c r="BD70" s="155">
        <f>AX70</f>
        <v>294</v>
      </c>
      <c r="BE70" s="154"/>
      <c r="BF70" s="154"/>
      <c r="BG70" s="155">
        <f>AX70</f>
        <v>294</v>
      </c>
      <c r="BH70" s="154"/>
      <c r="BI70" s="154"/>
      <c r="BJ70" s="152">
        <v>262</v>
      </c>
      <c r="BK70" s="157"/>
      <c r="BL70" s="157"/>
      <c r="BM70" s="155">
        <f>BJ70</f>
        <v>262</v>
      </c>
      <c r="BN70" s="154"/>
      <c r="BO70" s="154"/>
      <c r="BP70" s="155">
        <f>BJ70</f>
        <v>262</v>
      </c>
      <c r="BQ70" s="154"/>
      <c r="BR70" s="154"/>
    </row>
    <row r="71" spans="3:24" ht="24.75" customHeight="1">
      <c r="C71" s="8" t="str">
        <f>IF(AND(J59=0,I69&gt;1),"(b/100t)⁴[(σ/345)²+ { τ / 77 + 58(b/a)²}²]",IF(AND(J59=0,I69&lt;=1),"(b/100t)⁴[(σ/345)²+ { τ / 58 + 77(b/a)²}²]",IF(AND(J59=1,I69&gt;0.8),"(b/100t)⁴[(σ/900)²+ { τ / 120 + 58(b/a)²}²]",IF(AND(J59=1,I69&lt;=0.8),"(b/100t)⁴[(σ/900)²+ { τ / 90 + 77(b/a)²}²]",IF(AND(J59=2,I69&gt;0.64),"(b/100t)⁴[(σ/3000)²+ { τ / 187 + 58(b/a)²}²]",IF(AND(J59=2,I69&lt;=0.64),"(b/100t)⁴[(σ/3000)²+ { τ / 140 + 77(b/a)²}²]"))))))</f>
        <v>(b/100t)⁴[(σ/900)²+ { τ / 90 + 77(b/a)²}²]</v>
      </c>
      <c r="O71" s="8" t="s">
        <v>9</v>
      </c>
      <c r="P71" s="23">
        <f>ROUND(IF(AND(J59=0,I69&gt;1),((J65/(100*J66))^4)*(((K60/345)^2)+((K61/(77+58*(J65/J64)^2))^2)),IF(AND(J59=0,I69&lt;=1),((J65/(100*J66))^4)*(((K60/345)^2)+((K61/(58+77*(J65/J64)^2))^2)),IF(AND(J59=1,I69&gt;0.8),((J65/(100*J66))^4)*(((K60/900)^2)+((K61/(120+58*(J65/J64)^2))^2)),IF(AND(J59=1,I69&lt;=0.8),((J65/(100*J66))^4)*(((K60/900)^2)+((K61/(90+77*(J65/J64)^2))^2)),IF(AND(J59=2,I69&gt;0.64),((J65/(100*J66))^4)*(((K60/3000)^2)+((K61/(187+58*(J65/J64)^2))^2)),IF(AND(J59=2,I69&lt;=0.64),((J65/(100*J66))^4)*(((K60/3000)^2)+((K61/(140+77*(J65/J64)^2))^2)))))))),3)</f>
        <v>0.22</v>
      </c>
      <c r="Q71" s="23"/>
      <c r="S71" s="11" t="str">
        <f>IF(P71&lt;=U71,"＜","＞")</f>
        <v>＜</v>
      </c>
      <c r="U71" s="23">
        <v>1</v>
      </c>
      <c r="X71" s="8" t="str">
        <f>IF(P71&lt;=U71,"O.K","N.G")</f>
        <v>O.K</v>
      </c>
    </row>
    <row r="72" spans="2:8" ht="24.75" customHeight="1">
      <c r="B72" s="7" t="s">
        <v>186</v>
      </c>
      <c r="H72" s="120" t="s">
        <v>187</v>
      </c>
    </row>
    <row r="73" spans="3:14" ht="24.75" customHeight="1">
      <c r="C73" s="8" t="s">
        <v>22</v>
      </c>
      <c r="E73" s="8" t="s">
        <v>67</v>
      </c>
      <c r="H73" s="8" t="str">
        <f>"8.0 ("&amp;J65&amp;"/"&amp;J64&amp;")²="</f>
        <v>8.0 (2200/1249.4)²=</v>
      </c>
      <c r="M73" s="23">
        <f>ROUND(8*(J65/J64)^2,3)</f>
        <v>24.805</v>
      </c>
      <c r="N73" s="23"/>
    </row>
    <row r="74" spans="9:21" ht="24.75" customHeight="1">
      <c r="I74" s="8" t="str">
        <f>"( "&amp;J65&amp;" ×"&amp;J66&amp;"³/ 11 ) ×"&amp;M73&amp;" ="</f>
        <v>( 2200 ×14³/ 11 ) ×24.805 =</v>
      </c>
      <c r="R74" s="42">
        <f>ROUND((J65*J66^3/11)*M73,3)</f>
        <v>13612984</v>
      </c>
      <c r="S74" s="24"/>
      <c r="T74" s="24"/>
      <c r="U74" s="7" t="s">
        <v>89</v>
      </c>
    </row>
    <row r="75" spans="17:19" ht="24.75" customHeight="1">
      <c r="Q75" s="24"/>
      <c r="R75" s="24"/>
      <c r="S75" s="24"/>
    </row>
    <row r="76" spans="5:24" ht="24.75" customHeight="1">
      <c r="E76" s="8" t="str">
        <f>"⅓ × "&amp;K63&amp;" × "&amp;K62&amp;"³="</f>
        <v>⅓ × 16 × 200³=</v>
      </c>
      <c r="J76" s="23">
        <f>ROUND(K63*K62^3/3,3)</f>
        <v>42666666.667</v>
      </c>
      <c r="K76" s="23"/>
      <c r="L76" s="23"/>
      <c r="M76" s="7" t="s">
        <v>89</v>
      </c>
      <c r="O76" s="11" t="str">
        <f>IF(J76&gt;R74,"＞","＜")</f>
        <v>＞</v>
      </c>
      <c r="T76" s="8" t="str">
        <f>IF(J76&gt;R74,"O.K","N.G")</f>
        <v>O.K</v>
      </c>
      <c r="W76" s="25"/>
      <c r="X76" s="25"/>
    </row>
    <row r="77" spans="10:24" ht="24.75" customHeight="1">
      <c r="J77" s="23"/>
      <c r="K77" s="23"/>
      <c r="L77" s="23"/>
      <c r="O77" s="11"/>
      <c r="W77" s="25"/>
      <c r="X77" s="25"/>
    </row>
    <row r="78" ht="24.75" customHeight="1">
      <c r="B78" s="8" t="s">
        <v>188</v>
      </c>
    </row>
    <row r="79" spans="3:22" ht="24.75" customHeight="1">
      <c r="C79" s="8" t="s">
        <v>53</v>
      </c>
      <c r="E79" s="8" t="str">
        <f>J65&amp;" / 30 + 50 ="</f>
        <v>2200 / 30 + 50 =</v>
      </c>
      <c r="I79" s="21">
        <f>ROUND(J65/30+50,3)</f>
        <v>123.333</v>
      </c>
      <c r="J79" s="23"/>
      <c r="K79" s="8" t="s">
        <v>33</v>
      </c>
      <c r="M79" s="11" t="str">
        <f>IF(I79&gt;Q79,"＞","＜")</f>
        <v>＜</v>
      </c>
      <c r="O79" s="8" t="s">
        <v>50</v>
      </c>
      <c r="Q79" s="21">
        <f>K62</f>
        <v>200</v>
      </c>
      <c r="R79" s="21"/>
      <c r="S79" s="8" t="s">
        <v>33</v>
      </c>
      <c r="V79" s="8" t="str">
        <f>IF(Q79&gt;I79,"O.K","N.G")</f>
        <v>O.K</v>
      </c>
    </row>
    <row r="80" ht="24.75" customHeight="1">
      <c r="B80" s="8" t="s">
        <v>79</v>
      </c>
    </row>
    <row r="81" spans="3:22" ht="24.75" customHeight="1">
      <c r="C81" s="8" t="s">
        <v>54</v>
      </c>
      <c r="E81" s="70" t="str">
        <f>K62&amp;" / 13 ="</f>
        <v>200 / 13 =</v>
      </c>
      <c r="H81" s="21">
        <f>ROUND(K62/13,3)</f>
        <v>15.385</v>
      </c>
      <c r="I81" s="23"/>
      <c r="J81" s="8" t="s">
        <v>33</v>
      </c>
      <c r="L81" s="11" t="str">
        <f>IF(H81&gt;P81,"＞","＜")</f>
        <v>＜</v>
      </c>
      <c r="N81" s="8" t="s">
        <v>51</v>
      </c>
      <c r="P81" s="71">
        <f>K63</f>
        <v>16</v>
      </c>
      <c r="Q81" s="21"/>
      <c r="R81" s="8" t="s">
        <v>33</v>
      </c>
      <c r="U81" s="72" t="s">
        <v>15</v>
      </c>
      <c r="V81" s="8" t="str">
        <f>IF(H81&lt;P81,"O.K","N.G")</f>
        <v>O.K</v>
      </c>
    </row>
    <row r="82" spans="5:19" ht="24.75" customHeight="1">
      <c r="E82" s="70"/>
      <c r="H82" s="23"/>
      <c r="I82" s="23"/>
      <c r="L82" s="11"/>
      <c r="P82" s="71"/>
      <c r="Q82" s="21"/>
      <c r="S82" s="72"/>
    </row>
    <row r="84" spans="1:14" ht="24.75" customHeight="1">
      <c r="A84" s="37" t="s">
        <v>189</v>
      </c>
      <c r="H84" s="9" t="s">
        <v>190</v>
      </c>
      <c r="I84" s="156" t="s">
        <v>72</v>
      </c>
      <c r="J84" s="156"/>
      <c r="K84" s="156"/>
      <c r="L84" s="156"/>
      <c r="M84" s="7" t="s">
        <v>192</v>
      </c>
      <c r="N84" s="9"/>
    </row>
    <row r="85" spans="2:24" ht="24.75" customHeight="1">
      <c r="B85" s="72" t="s">
        <v>193</v>
      </c>
      <c r="H85" s="8" t="s">
        <v>12</v>
      </c>
      <c r="I85" s="8" t="s">
        <v>19</v>
      </c>
      <c r="J85" s="23">
        <f>J64</f>
        <v>1249.4</v>
      </c>
      <c r="K85" s="23"/>
      <c r="L85" s="8" t="s">
        <v>33</v>
      </c>
      <c r="S85" s="10"/>
      <c r="T85" s="10"/>
      <c r="U85" s="10"/>
      <c r="V85" s="10"/>
      <c r="W85" s="10"/>
      <c r="X85" s="10"/>
    </row>
    <row r="86" spans="2:24" ht="24.75" customHeight="1">
      <c r="B86" s="8" t="s">
        <v>81</v>
      </c>
      <c r="H86" s="8" t="s">
        <v>12</v>
      </c>
      <c r="I86" s="8" t="s">
        <v>20</v>
      </c>
      <c r="J86" s="23">
        <f>J65</f>
        <v>2200</v>
      </c>
      <c r="K86" s="23"/>
      <c r="L86" s="8" t="s">
        <v>33</v>
      </c>
      <c r="S86" s="10"/>
      <c r="T86" s="10"/>
      <c r="U86" s="10"/>
      <c r="V86" s="10"/>
      <c r="W86" s="10"/>
      <c r="X86" s="10"/>
    </row>
    <row r="87" spans="2:24" ht="24.75" customHeight="1">
      <c r="B87" s="8" t="s">
        <v>194</v>
      </c>
      <c r="H87" s="8" t="s">
        <v>12</v>
      </c>
      <c r="I87" s="8" t="s">
        <v>55</v>
      </c>
      <c r="K87" s="19">
        <v>150</v>
      </c>
      <c r="L87" s="21"/>
      <c r="M87" s="8">
        <v>150</v>
      </c>
      <c r="S87" s="10"/>
      <c r="T87" s="10"/>
      <c r="U87" s="10"/>
      <c r="V87" s="10"/>
      <c r="W87" s="10"/>
      <c r="X87" s="10"/>
    </row>
    <row r="88" spans="2:27" ht="24.75" customHeight="1">
      <c r="B88" s="8" t="s">
        <v>195</v>
      </c>
      <c r="H88" s="8" t="s">
        <v>12</v>
      </c>
      <c r="I88" s="8" t="s">
        <v>56</v>
      </c>
      <c r="K88" s="19">
        <v>14</v>
      </c>
      <c r="L88" s="21"/>
      <c r="M88" s="8">
        <v>12</v>
      </c>
      <c r="O88" s="73" t="s">
        <v>57</v>
      </c>
      <c r="P88" s="73"/>
      <c r="Q88" s="73"/>
      <c r="R88" s="73"/>
      <c r="S88" s="73" t="s">
        <v>23</v>
      </c>
      <c r="T88" s="74">
        <v>16</v>
      </c>
      <c r="U88" s="73" t="s">
        <v>9</v>
      </c>
      <c r="V88" s="75">
        <f>ROUND(K87/T88,2)</f>
        <v>9.38</v>
      </c>
      <c r="W88" s="75"/>
      <c r="X88" s="73" t="s">
        <v>33</v>
      </c>
      <c r="Y88" s="25"/>
      <c r="Z88" s="10"/>
      <c r="AA88" s="10"/>
    </row>
    <row r="89" spans="8:27" ht="24.75" customHeight="1"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73"/>
      <c r="AA89" s="25"/>
    </row>
    <row r="90" spans="2:8" ht="24.75" customHeight="1">
      <c r="B90" s="7" t="s">
        <v>196</v>
      </c>
      <c r="H90" s="76" t="s">
        <v>197</v>
      </c>
    </row>
    <row r="91" spans="3:16" ht="24.75" customHeight="1">
      <c r="C91" s="8" t="s">
        <v>22</v>
      </c>
      <c r="E91" s="8" t="s">
        <v>24</v>
      </c>
      <c r="I91" s="8" t="str">
        <f>"30.0 × ("&amp;J85&amp;"/"&amp;J86&amp;") ="</f>
        <v>30.0 × (1249.4/2200) =</v>
      </c>
      <c r="O91" s="23">
        <f>ROUND(30*J85/J86,3)</f>
        <v>17.037</v>
      </c>
      <c r="P91" s="23"/>
    </row>
    <row r="92" spans="8:20" ht="24.75" customHeight="1">
      <c r="H92" s="8" t="str">
        <f>"( "&amp;J86&amp;" ×"&amp;J66&amp;"³/ 11 ) ×"&amp;O91&amp;" ="</f>
        <v>( 2200 ×14³/ 11 ) ×17.037 =</v>
      </c>
      <c r="Q92" s="42">
        <f>ROUND((J86*J66^3/11)*O91,3)</f>
        <v>9349905.6</v>
      </c>
      <c r="R92" s="24"/>
      <c r="S92" s="24"/>
      <c r="T92" s="8" t="s">
        <v>198</v>
      </c>
    </row>
    <row r="93" spans="3:22" ht="24.75" customHeight="1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5:20" ht="24.75" customHeight="1">
      <c r="E94" s="8" t="str">
        <f>"⅓ × "&amp;K88&amp;" × "&amp;K87&amp;"³="</f>
        <v>⅓ × 14 × 150³=</v>
      </c>
      <c r="J94" s="41">
        <f>ROUND(K88*K87^3/3,3)</f>
        <v>15750000</v>
      </c>
      <c r="K94" s="23"/>
      <c r="L94" s="23"/>
      <c r="M94" s="8" t="s">
        <v>34</v>
      </c>
      <c r="O94" s="11" t="str">
        <f>IF(J94&gt;Q92,"＞","＜")</f>
        <v>＞</v>
      </c>
      <c r="T94" s="8" t="str">
        <f>IF(J94&gt;Q92,"O.K","N.G")</f>
        <v>O.K</v>
      </c>
    </row>
    <row r="95" spans="2:17" ht="24.75" customHeight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8" ht="24.75" customHeight="1">
      <c r="B96" s="8" t="str">
        <f>IF(J59=0,"","水平補剛材の取付け位置")</f>
        <v>水平補剛材の取付け位置</v>
      </c>
      <c r="H96" s="76" t="s">
        <v>197</v>
      </c>
    </row>
    <row r="97" spans="3:9" ht="24.75" customHeight="1">
      <c r="C97" s="72" t="s">
        <v>199</v>
      </c>
      <c r="I97" s="8" t="str">
        <f>IF(J59=0,"",IF(J59=1,"0.20b = 0.20 × "&amp;J86&amp;" = "&amp;0.2*J86&amp;" mm","0.14b および 0.36b  ただし、 "&amp;0.14*J86&amp;" mm および "&amp;0.36*J86&amp;" mm"))</f>
        <v>0.20b = 0.20 × 2200 = 440 mm</v>
      </c>
    </row>
  </sheetData>
  <mergeCells count="221">
    <mergeCell ref="AO67:AQ67"/>
    <mergeCell ref="AO68:AQ68"/>
    <mergeCell ref="AO69:AQ69"/>
    <mergeCell ref="AO70:AQ70"/>
    <mergeCell ref="AC61:AE61"/>
    <mergeCell ref="AF61:AH61"/>
    <mergeCell ref="AI61:AK61"/>
    <mergeCell ref="AL61:AN61"/>
    <mergeCell ref="T46:U46"/>
    <mergeCell ref="AC58:AM58"/>
    <mergeCell ref="AC59:AE59"/>
    <mergeCell ref="AF59:AH59"/>
    <mergeCell ref="AI59:AK59"/>
    <mergeCell ref="AL59:AN59"/>
    <mergeCell ref="AI48:AK48"/>
    <mergeCell ref="AL48:AN48"/>
    <mergeCell ref="AC48:AE48"/>
    <mergeCell ref="H44:I44"/>
    <mergeCell ref="T45:V45"/>
    <mergeCell ref="C35:C36"/>
    <mergeCell ref="D35:D36"/>
    <mergeCell ref="O35:O36"/>
    <mergeCell ref="F36:G36"/>
    <mergeCell ref="P35:P36"/>
    <mergeCell ref="N44:O44"/>
    <mergeCell ref="I4:J4"/>
    <mergeCell ref="N11:N12"/>
    <mergeCell ref="H35:H36"/>
    <mergeCell ref="L35:L36"/>
    <mergeCell ref="M35:N36"/>
    <mergeCell ref="H3:K3"/>
    <mergeCell ref="N9:N10"/>
    <mergeCell ref="AC34:AM34"/>
    <mergeCell ref="AC35:AE35"/>
    <mergeCell ref="AF35:AH35"/>
    <mergeCell ref="AI35:AK35"/>
    <mergeCell ref="AL35:AN35"/>
    <mergeCell ref="Q35:Q36"/>
    <mergeCell ref="R35:R36"/>
    <mergeCell ref="T35:Y36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AC36:AE36"/>
    <mergeCell ref="AF36:AH36"/>
    <mergeCell ref="AI36:AK36"/>
    <mergeCell ref="AL36:AN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AR59:AT59"/>
    <mergeCell ref="AU59:AW59"/>
    <mergeCell ref="AX59:AZ59"/>
    <mergeCell ref="BA59:BC59"/>
    <mergeCell ref="BD59:BF59"/>
    <mergeCell ref="BG59:BI59"/>
    <mergeCell ref="BJ59:BL59"/>
    <mergeCell ref="BM59:BO59"/>
    <mergeCell ref="BP59:BR59"/>
    <mergeCell ref="AC60:AE60"/>
    <mergeCell ref="AF60:AH60"/>
    <mergeCell ref="AI60:AK60"/>
    <mergeCell ref="AL60:AN60"/>
    <mergeCell ref="AR60:AT60"/>
    <mergeCell ref="AU60:AW60"/>
    <mergeCell ref="AX60:AZ60"/>
    <mergeCell ref="BA60:BC60"/>
    <mergeCell ref="BD60:BF60"/>
    <mergeCell ref="BG60:BI60"/>
    <mergeCell ref="BJ60:BL60"/>
    <mergeCell ref="BM60:BO60"/>
    <mergeCell ref="BP60:BR60"/>
    <mergeCell ref="AR61:AT61"/>
    <mergeCell ref="AU61:AW61"/>
    <mergeCell ref="AX61:AZ61"/>
    <mergeCell ref="BA61:BC61"/>
    <mergeCell ref="BD61:BF61"/>
    <mergeCell ref="BG61:BI61"/>
    <mergeCell ref="BJ61:BL61"/>
    <mergeCell ref="BM61:BO61"/>
    <mergeCell ref="BP61:BR61"/>
    <mergeCell ref="AC62:AE62"/>
    <mergeCell ref="AF62:AH62"/>
    <mergeCell ref="AI62:AK62"/>
    <mergeCell ref="AL62:AN62"/>
    <mergeCell ref="AR62:AT62"/>
    <mergeCell ref="AU62:AW62"/>
    <mergeCell ref="AX62:AZ62"/>
    <mergeCell ref="BA62:BC62"/>
    <mergeCell ref="BD62:BF62"/>
    <mergeCell ref="BG62:BI62"/>
    <mergeCell ref="BJ62:BL62"/>
    <mergeCell ref="BM62:BO62"/>
    <mergeCell ref="BP62:BR62"/>
    <mergeCell ref="AC45:AE45"/>
    <mergeCell ref="AF45:AH45"/>
    <mergeCell ref="AI45:AK45"/>
    <mergeCell ref="AL45:AN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AC46:AE46"/>
    <mergeCell ref="AF46:AH46"/>
    <mergeCell ref="AI46:AK46"/>
    <mergeCell ref="AL46:AN46"/>
    <mergeCell ref="AR46:AT46"/>
    <mergeCell ref="AU46:AW46"/>
    <mergeCell ref="AX46:AZ46"/>
    <mergeCell ref="BA46:BC46"/>
    <mergeCell ref="BP46:BR46"/>
    <mergeCell ref="AU47:AW47"/>
    <mergeCell ref="AX47:AZ47"/>
    <mergeCell ref="BA47:BC47"/>
    <mergeCell ref="BP47:BR47"/>
    <mergeCell ref="BD46:BF46"/>
    <mergeCell ref="BG46:BI46"/>
    <mergeCell ref="BJ46:BL46"/>
    <mergeCell ref="BM46:BO46"/>
    <mergeCell ref="BD69:BF69"/>
    <mergeCell ref="BG69:BI69"/>
    <mergeCell ref="BJ69:BL69"/>
    <mergeCell ref="BM69:BO69"/>
    <mergeCell ref="BP69:BR69"/>
    <mergeCell ref="BD47:BF47"/>
    <mergeCell ref="BG47:BI47"/>
    <mergeCell ref="BJ47:BL47"/>
    <mergeCell ref="BM47:BO47"/>
    <mergeCell ref="BG68:BI68"/>
    <mergeCell ref="BJ68:BL68"/>
    <mergeCell ref="BM68:BO68"/>
    <mergeCell ref="BP68:BR68"/>
    <mergeCell ref="BP67:BR67"/>
    <mergeCell ref="AR69:AT69"/>
    <mergeCell ref="AU69:AW69"/>
    <mergeCell ref="AX69:AZ69"/>
    <mergeCell ref="BA69:BC69"/>
    <mergeCell ref="AC69:AE69"/>
    <mergeCell ref="AF69:AH69"/>
    <mergeCell ref="AI69:AK69"/>
    <mergeCell ref="AL69:AN69"/>
    <mergeCell ref="AC68:AE68"/>
    <mergeCell ref="AF68:AH68"/>
    <mergeCell ref="AI68:AK68"/>
    <mergeCell ref="AL68:AN68"/>
    <mergeCell ref="BD48:BF48"/>
    <mergeCell ref="BD67:BF67"/>
    <mergeCell ref="AR68:AT68"/>
    <mergeCell ref="AU68:AW68"/>
    <mergeCell ref="AX68:AZ68"/>
    <mergeCell ref="BA68:BC68"/>
    <mergeCell ref="BD68:BF68"/>
    <mergeCell ref="AU48:AW48"/>
    <mergeCell ref="AX48:AZ48"/>
    <mergeCell ref="BA48:BC48"/>
    <mergeCell ref="BG48:BI48"/>
    <mergeCell ref="BJ48:BL48"/>
    <mergeCell ref="BM48:BO48"/>
    <mergeCell ref="BP48:BR48"/>
    <mergeCell ref="BG67:BI67"/>
    <mergeCell ref="BJ67:BL67"/>
    <mergeCell ref="BM67:BO67"/>
    <mergeCell ref="AR67:AT67"/>
    <mergeCell ref="AU67:AW67"/>
    <mergeCell ref="AX67:AZ67"/>
    <mergeCell ref="BA67:BC67"/>
    <mergeCell ref="AC67:AE67"/>
    <mergeCell ref="AF67:AH67"/>
    <mergeCell ref="AI67:AK67"/>
    <mergeCell ref="AL67:AN67"/>
    <mergeCell ref="AR48:AT48"/>
    <mergeCell ref="AR47:AT47"/>
    <mergeCell ref="AI47:AK47"/>
    <mergeCell ref="AL47:AN47"/>
    <mergeCell ref="AO48:AQ48"/>
    <mergeCell ref="I47:L47"/>
    <mergeCell ref="I58:L58"/>
    <mergeCell ref="AF48:AH48"/>
    <mergeCell ref="AC47:AE47"/>
    <mergeCell ref="AF47:AH47"/>
    <mergeCell ref="AC70:AE70"/>
    <mergeCell ref="AF70:AH70"/>
    <mergeCell ref="AI70:AK70"/>
    <mergeCell ref="AL70:AN70"/>
    <mergeCell ref="BP70:BR70"/>
    <mergeCell ref="I84:L84"/>
    <mergeCell ref="BD70:BF70"/>
    <mergeCell ref="BG70:BI70"/>
    <mergeCell ref="BJ70:BL70"/>
    <mergeCell ref="BM70:BO70"/>
    <mergeCell ref="AR70:AT70"/>
    <mergeCell ref="AU70:AW70"/>
    <mergeCell ref="AX70:AZ70"/>
    <mergeCell ref="BA70:BC70"/>
    <mergeCell ref="AC66:AO66"/>
    <mergeCell ref="AO35:AQ35"/>
    <mergeCell ref="AO36:AQ36"/>
    <mergeCell ref="AO59:AQ59"/>
    <mergeCell ref="AO60:AQ60"/>
    <mergeCell ref="AO61:AQ61"/>
    <mergeCell ref="AO62:AQ62"/>
    <mergeCell ref="AO45:AQ45"/>
    <mergeCell ref="AO46:AQ46"/>
    <mergeCell ref="AO47:AQ47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1"/>
  <headerFooter alignWithMargins="0">
    <oddHeader>&amp;R
</oddHeader>
  </headerFooter>
  <rowBreaks count="2" manualBreakCount="2">
    <brk id="56" max="255" man="1"/>
    <brk id="83" max="255" man="1"/>
  </rowBreaks>
  <drawing r:id="rId10"/>
  <legacyDrawing r:id="rId9"/>
  <oleObjects>
    <oleObject progId="HunEquation" shapeId="13613077" r:id="rId1"/>
    <oleObject progId="HunEquation" shapeId="13613078" r:id="rId2"/>
    <oleObject progId="HunEquation" shapeId="13613079" r:id="rId3"/>
    <oleObject progId="HunEquation" shapeId="13613080" r:id="rId4"/>
    <oleObject progId="HunEquation" shapeId="13613081" r:id="rId5"/>
    <oleObject progId="HunEquation" shapeId="13613082" r:id="rId6"/>
    <oleObject progId="HunEquation" shapeId="13613083" r:id="rId7"/>
    <oleObject progId="HunEquation" shapeId="13613084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BS97"/>
  <sheetViews>
    <sheetView zoomScaleSheetLayoutView="100" workbookViewId="0" topLeftCell="A1">
      <selection activeCell="Z1" sqref="Z1:Z3"/>
    </sheetView>
  </sheetViews>
  <sheetFormatPr defaultColWidth="8.88671875" defaultRowHeight="24.75" customHeight="1"/>
  <cols>
    <col min="1" max="27" width="2.88671875" style="8" customWidth="1"/>
    <col min="28" max="28" width="2.88671875" style="10" customWidth="1"/>
    <col min="29" max="67" width="1.77734375" style="10" customWidth="1"/>
    <col min="68" max="16384" width="2.88671875" style="10" customWidth="1"/>
  </cols>
  <sheetData>
    <row r="1" spans="1:27" s="5" customFormat="1" ht="24.75" customHeight="1">
      <c r="A1" s="3" t="s">
        <v>201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5" customFormat="1" ht="24.75" customHeight="1">
      <c r="A2" s="6" t="s">
        <v>202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9" ht="24.75" customHeight="1">
      <c r="A3" s="7" t="s">
        <v>203</v>
      </c>
      <c r="G3" s="9" t="s">
        <v>204</v>
      </c>
      <c r="H3" s="156" t="s">
        <v>71</v>
      </c>
      <c r="I3" s="156"/>
      <c r="J3" s="156"/>
      <c r="K3" s="156"/>
      <c r="L3" s="7" t="s">
        <v>205</v>
      </c>
      <c r="M3" s="9"/>
      <c r="P3" s="76" t="s">
        <v>206</v>
      </c>
      <c r="AC3" s="30"/>
    </row>
    <row r="4" spans="9:16" ht="24.75" customHeight="1">
      <c r="I4" s="191">
        <f>J16</f>
        <v>2400</v>
      </c>
      <c r="J4" s="189"/>
      <c r="P4" s="10"/>
    </row>
    <row r="5" ht="24.75" customHeight="1">
      <c r="N5" s="12">
        <f>J17</f>
        <v>15</v>
      </c>
    </row>
    <row r="9" ht="24.75" customHeight="1">
      <c r="N9" s="181">
        <f>J15</f>
        <v>1250</v>
      </c>
    </row>
    <row r="10" ht="24.75" customHeight="1">
      <c r="N10" s="181"/>
    </row>
    <row r="11" ht="24.75" customHeight="1">
      <c r="N11" s="192">
        <f>N9</f>
        <v>1250</v>
      </c>
    </row>
    <row r="12" ht="24.75" customHeight="1">
      <c r="N12" s="192"/>
    </row>
    <row r="14" spans="2:18" ht="24.75" customHeight="1">
      <c r="B14" s="72" t="s">
        <v>207</v>
      </c>
      <c r="L14" s="13" t="s">
        <v>12</v>
      </c>
      <c r="M14" s="14" t="s">
        <v>13</v>
      </c>
      <c r="N14" s="11" t="s">
        <v>9</v>
      </c>
      <c r="O14" s="15">
        <v>6</v>
      </c>
      <c r="R14" s="72"/>
    </row>
    <row r="15" spans="2:51" ht="24.75" customHeight="1">
      <c r="B15" s="8" t="s">
        <v>208</v>
      </c>
      <c r="G15" s="8" t="s">
        <v>12</v>
      </c>
      <c r="H15" s="14" t="s">
        <v>14</v>
      </c>
      <c r="I15" s="11" t="s">
        <v>9</v>
      </c>
      <c r="J15" s="16">
        <v>1250</v>
      </c>
      <c r="K15" s="17"/>
      <c r="L15" s="8" t="s">
        <v>209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2:51" ht="24.75" customHeight="1">
      <c r="B16" s="8" t="s">
        <v>74</v>
      </c>
      <c r="G16" s="13" t="s">
        <v>12</v>
      </c>
      <c r="H16" s="14" t="s">
        <v>8</v>
      </c>
      <c r="I16" s="11" t="s">
        <v>9</v>
      </c>
      <c r="J16" s="16">
        <v>2400</v>
      </c>
      <c r="K16" s="17"/>
      <c r="L16" s="8" t="s">
        <v>40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2:51" ht="24.75" customHeight="1">
      <c r="B17" s="8" t="s">
        <v>103</v>
      </c>
      <c r="G17" s="8" t="s">
        <v>12</v>
      </c>
      <c r="H17" s="14" t="s">
        <v>11</v>
      </c>
      <c r="I17" s="11" t="s">
        <v>9</v>
      </c>
      <c r="J17" s="18">
        <v>15</v>
      </c>
      <c r="K17" s="8" t="s">
        <v>40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2:51" ht="24.75" customHeight="1">
      <c r="B18" s="8" t="s">
        <v>85</v>
      </c>
      <c r="G18" s="8" t="s">
        <v>12</v>
      </c>
      <c r="H18" s="14" t="s">
        <v>41</v>
      </c>
      <c r="I18" s="11" t="s">
        <v>9</v>
      </c>
      <c r="J18" s="15">
        <v>150</v>
      </c>
      <c r="K18" s="8" t="s">
        <v>40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2:51" ht="24.75" customHeight="1">
      <c r="B19" s="72" t="s">
        <v>86</v>
      </c>
      <c r="G19" s="8" t="s">
        <v>12</v>
      </c>
      <c r="H19" s="14" t="s">
        <v>41</v>
      </c>
      <c r="I19" s="11" t="s">
        <v>6</v>
      </c>
      <c r="J19" s="17">
        <v>16</v>
      </c>
      <c r="K19" s="15"/>
      <c r="L19" s="8" t="s">
        <v>9</v>
      </c>
      <c r="M19" s="8" t="str">
        <f>J18&amp;" / "&amp;J19&amp;" = "&amp;ROUND(J18/J19,2)&amp;" mm"</f>
        <v>150 / 16 = 9.38 mm</v>
      </c>
      <c r="S19" s="8" t="s">
        <v>31</v>
      </c>
      <c r="U19" s="19">
        <v>14</v>
      </c>
      <c r="V19" s="20"/>
      <c r="W19" s="7" t="s">
        <v>104</v>
      </c>
      <c r="Z19" s="8" t="str">
        <f>IF(U19&gt;=J18/J19,"O.K","N.G")</f>
        <v>O.K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2:51" ht="24.75" customHeight="1">
      <c r="B20" s="72" t="s">
        <v>87</v>
      </c>
      <c r="H20" s="8" t="s">
        <v>12</v>
      </c>
      <c r="I20" s="7" t="s">
        <v>42</v>
      </c>
      <c r="L20" s="8" t="str">
        <f>"bt/10n = ("&amp;J16&amp;" ×"&amp;J17&amp;") / (10 ×"&amp;O14&amp;") ="</f>
        <v>bt/10n = (2400 ×15) / (10 ×6) =</v>
      </c>
      <c r="T20" s="21">
        <f>ROUND(J16*J17/(10*O14),3)</f>
        <v>600</v>
      </c>
      <c r="U20" s="22"/>
      <c r="V20" s="8" t="s">
        <v>32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2:51" ht="24.75" customHeight="1">
      <c r="B21" s="72" t="s">
        <v>88</v>
      </c>
      <c r="H21" s="8" t="s">
        <v>12</v>
      </c>
      <c r="I21" s="8" t="str">
        <f>"A₁= "&amp;J18&amp;" ×"&amp;U19&amp;" = "</f>
        <v>A₁= 150 ×14 = </v>
      </c>
      <c r="N21" s="21">
        <f>J18*U19</f>
        <v>2100</v>
      </c>
      <c r="O21" s="23"/>
      <c r="P21" s="8" t="s">
        <v>32</v>
      </c>
      <c r="S21" s="8" t="str">
        <f>IF(N21&gt;=T20,"≥","＜")</f>
        <v>≥</v>
      </c>
      <c r="U21" s="7" t="s">
        <v>43</v>
      </c>
      <c r="X21" s="7" t="s">
        <v>15</v>
      </c>
      <c r="Z21" s="8" t="str">
        <f>IF(N21&gt;=T20,"O.K","N.G")</f>
        <v>O.K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2:51" ht="24.75" customHeight="1">
      <c r="B22" s="7" t="s">
        <v>210</v>
      </c>
      <c r="K22" s="8" t="s">
        <v>12</v>
      </c>
      <c r="L22" s="8" t="str">
        <f>"I₁= ⅓ × "&amp;U19&amp;" × "&amp;J18&amp;"³="</f>
        <v>I₁= ⅓ × 14 × 150³=</v>
      </c>
      <c r="R22" s="17">
        <f>ROUND(U19*J18^3/3,3)</f>
        <v>15750000</v>
      </c>
      <c r="S22" s="23"/>
      <c r="T22" s="23"/>
      <c r="U22" s="7" t="s">
        <v>89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2:51" ht="24.75" customHeight="1">
      <c r="B23" s="8" t="s">
        <v>211</v>
      </c>
      <c r="G23" s="8" t="s">
        <v>212</v>
      </c>
      <c r="L23" s="23">
        <f>ROUND(J15/J16,3)</f>
        <v>0.521</v>
      </c>
      <c r="M23" s="23"/>
      <c r="N23" s="11" t="str">
        <f>IF(L23&lt;Q23,"＜","＞")</f>
        <v>＜</v>
      </c>
      <c r="O23" s="23" t="s">
        <v>45</v>
      </c>
      <c r="P23" s="23"/>
      <c r="Q23" s="24">
        <f>M26</f>
        <v>3.3723109889443252</v>
      </c>
      <c r="R23" s="23"/>
      <c r="S23" s="23"/>
      <c r="T23" s="23"/>
      <c r="U23" s="7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2:51" ht="24.75" customHeight="1">
      <c r="B24" s="7" t="s">
        <v>213</v>
      </c>
      <c r="G24" s="8" t="s">
        <v>212</v>
      </c>
      <c r="M24" s="8" t="str">
        <f>R22&amp;" / ("&amp;J16&amp;" × "&amp;J17&amp;"³/ 11 ) ="</f>
        <v>15750000 / (2400 × 15³/ 11 ) =</v>
      </c>
      <c r="V24" s="24">
        <f>R22/(J16*J17^3/11)</f>
        <v>21.38888888888889</v>
      </c>
      <c r="W24" s="23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2:51" ht="24.75" customHeight="1">
      <c r="B25" s="25"/>
      <c r="C25" s="25"/>
      <c r="D25" s="25"/>
      <c r="E25" s="25"/>
      <c r="F25" s="25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2:51" ht="24.75" customHeight="1">
      <c r="B26" s="8" t="s">
        <v>214</v>
      </c>
      <c r="G26" s="8" t="s">
        <v>212</v>
      </c>
      <c r="M26" s="24">
        <f>(1+(O14*V24))^(1/4)</f>
        <v>3.3723109889443252</v>
      </c>
      <c r="N26" s="23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2:51" ht="24.75" customHeight="1">
      <c r="B27" s="8" t="s">
        <v>215</v>
      </c>
      <c r="I27" s="8" t="s">
        <v>12</v>
      </c>
      <c r="M27" s="8" t="str">
        <f>N21&amp;" / ( "&amp;J16&amp;" × "&amp;J17&amp;" ) ="</f>
        <v>2100 / ( 2400 × 15 ) =</v>
      </c>
      <c r="S27" s="26">
        <f>N21/(J16*J17)</f>
        <v>0.058333333333333334</v>
      </c>
      <c r="T27" s="23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ht="24.75" customHeight="1">
      <c r="B28" s="72" t="s">
        <v>216</v>
      </c>
    </row>
    <row r="29" spans="3:5" ht="24.75" customHeight="1">
      <c r="C29" s="27" t="s">
        <v>217</v>
      </c>
      <c r="D29" s="11" t="s">
        <v>9</v>
      </c>
      <c r="E29" s="8" t="s">
        <v>46</v>
      </c>
    </row>
    <row r="30" spans="4:16" ht="24.75" customHeight="1">
      <c r="D30" s="11" t="s">
        <v>9</v>
      </c>
      <c r="E30" s="23" t="str">
        <f>0.65&amp;" (0/"&amp;O14&amp;")²+ 0.13 (0/"&amp;O14&amp;") + 1.0 ="</f>
        <v>0.65 (0/6)²+ 0.13 (0/6) + 1.0 =</v>
      </c>
      <c r="F30" s="23"/>
      <c r="G30" s="23"/>
      <c r="H30" s="23"/>
      <c r="I30" s="23"/>
      <c r="J30" s="23"/>
      <c r="K30" s="23"/>
      <c r="L30" s="23"/>
      <c r="M30" s="23"/>
      <c r="N30" s="22">
        <f>ROUND(0.65*(0/O14)^2+0.13*(0/O14)+1,3)</f>
        <v>1</v>
      </c>
      <c r="O30" s="28"/>
      <c r="P30" s="23" t="s">
        <v>7</v>
      </c>
    </row>
    <row r="31" spans="4:5" ht="24.75" customHeight="1">
      <c r="D31" s="7" t="s">
        <v>218</v>
      </c>
      <c r="E31" s="25"/>
    </row>
    <row r="32" ht="24.75" customHeight="1">
      <c r="C32" s="8" t="s">
        <v>90</v>
      </c>
    </row>
    <row r="33" spans="1:46" ht="24.75" customHeight="1">
      <c r="A33" s="25"/>
      <c r="B33" s="25"/>
      <c r="C33" s="25"/>
      <c r="D33" s="25"/>
      <c r="E33" s="25"/>
      <c r="F33" s="25"/>
      <c r="G33" s="7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:67" ht="24.75" customHeight="1">
      <c r="B34" s="72" t="s">
        <v>219</v>
      </c>
      <c r="I34" s="120" t="s">
        <v>220</v>
      </c>
      <c r="AB34" s="8"/>
      <c r="AC34" s="182" t="s">
        <v>221</v>
      </c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87"/>
      <c r="AO34" s="87"/>
      <c r="AP34" s="87"/>
      <c r="AQ34" s="87"/>
      <c r="AR34" s="87"/>
      <c r="AS34" s="87"/>
      <c r="AT34" s="87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3:70" ht="24.75" customHeight="1">
      <c r="C35" s="189" t="s">
        <v>222</v>
      </c>
      <c r="D35" s="189" t="s">
        <v>223</v>
      </c>
      <c r="E35" s="31"/>
      <c r="F35" s="32" t="s">
        <v>224</v>
      </c>
      <c r="G35" s="31"/>
      <c r="H35" s="189" t="s">
        <v>223</v>
      </c>
      <c r="I35" s="33">
        <f>J16</f>
        <v>2400</v>
      </c>
      <c r="J35" s="23"/>
      <c r="K35" s="33"/>
      <c r="L35" s="189" t="s">
        <v>223</v>
      </c>
      <c r="M35" s="193">
        <f>I35/(E36*N30*O14)</f>
        <v>18.181818181818183</v>
      </c>
      <c r="N35" s="193"/>
      <c r="O35" s="189" t="s">
        <v>33</v>
      </c>
      <c r="P35" s="189" t="str">
        <f>IF(M35&lt;R35,"＜","＞")</f>
        <v>＞</v>
      </c>
      <c r="Q35" s="189" t="s">
        <v>16</v>
      </c>
      <c r="R35" s="190">
        <f>J17</f>
        <v>15</v>
      </c>
      <c r="T35" s="189" t="str">
        <f>IF(L23&lt;=Q23,"であり、α ≤ αo なので","であり、α ＞αo なので")</f>
        <v>であり、α ≤ αo なので</v>
      </c>
      <c r="U35" s="189"/>
      <c r="V35" s="189"/>
      <c r="W35" s="189"/>
      <c r="X35" s="189"/>
      <c r="Y35" s="189"/>
      <c r="Z35" s="25"/>
      <c r="AA35" s="25"/>
      <c r="AB35" s="8"/>
      <c r="AC35" s="183">
        <v>2</v>
      </c>
      <c r="AD35" s="184"/>
      <c r="AE35" s="185"/>
      <c r="AF35" s="186" t="s">
        <v>225</v>
      </c>
      <c r="AG35" s="187"/>
      <c r="AH35" s="188"/>
      <c r="AI35" s="186" t="s">
        <v>226</v>
      </c>
      <c r="AJ35" s="187"/>
      <c r="AK35" s="188"/>
      <c r="AL35" s="186" t="s">
        <v>227</v>
      </c>
      <c r="AM35" s="187"/>
      <c r="AN35" s="188"/>
      <c r="AO35" s="143" t="s">
        <v>228</v>
      </c>
      <c r="AP35" s="144"/>
      <c r="AQ35" s="145"/>
      <c r="AR35" s="143" t="s">
        <v>35</v>
      </c>
      <c r="AS35" s="144"/>
      <c r="AT35" s="145"/>
      <c r="AU35" s="168" t="s">
        <v>229</v>
      </c>
      <c r="AV35" s="169"/>
      <c r="AW35" s="170"/>
      <c r="AX35" s="165" t="s">
        <v>230</v>
      </c>
      <c r="AY35" s="166"/>
      <c r="AZ35" s="167"/>
      <c r="BA35" s="165" t="s">
        <v>231</v>
      </c>
      <c r="BB35" s="166"/>
      <c r="BC35" s="167"/>
      <c r="BD35" s="165" t="s">
        <v>232</v>
      </c>
      <c r="BE35" s="166"/>
      <c r="BF35" s="167"/>
      <c r="BG35" s="168" t="s">
        <v>233</v>
      </c>
      <c r="BH35" s="169"/>
      <c r="BI35" s="170"/>
      <c r="BJ35" s="165" t="s">
        <v>234</v>
      </c>
      <c r="BK35" s="166"/>
      <c r="BL35" s="167"/>
      <c r="BM35" s="165" t="s">
        <v>235</v>
      </c>
      <c r="BN35" s="166"/>
      <c r="BO35" s="167"/>
      <c r="BP35" s="168" t="s">
        <v>236</v>
      </c>
      <c r="BQ35" s="169"/>
      <c r="BR35" s="170"/>
    </row>
    <row r="36" spans="3:70" ht="24.75" customHeight="1">
      <c r="C36" s="189"/>
      <c r="D36" s="189"/>
      <c r="E36" s="8">
        <f>HLOOKUP(H3,AF35:BR36,AC35,FALSE)</f>
        <v>22</v>
      </c>
      <c r="F36" s="189" t="s">
        <v>237</v>
      </c>
      <c r="G36" s="189"/>
      <c r="H36" s="189"/>
      <c r="I36" s="8" t="str">
        <f>E36&amp;" ×"&amp;N30&amp;" ×"&amp;O14</f>
        <v>22 ×1 ×6</v>
      </c>
      <c r="J36" s="35"/>
      <c r="L36" s="189"/>
      <c r="M36" s="193"/>
      <c r="N36" s="193"/>
      <c r="O36" s="189"/>
      <c r="P36" s="189"/>
      <c r="Q36" s="189"/>
      <c r="R36" s="190"/>
      <c r="T36" s="189"/>
      <c r="U36" s="189"/>
      <c r="V36" s="189"/>
      <c r="W36" s="189"/>
      <c r="X36" s="189"/>
      <c r="Y36" s="189"/>
      <c r="Z36" s="25"/>
      <c r="AA36" s="25"/>
      <c r="AB36" s="8"/>
      <c r="AC36" s="178" t="s">
        <v>238</v>
      </c>
      <c r="AD36" s="178"/>
      <c r="AE36" s="178"/>
      <c r="AF36" s="146">
        <v>28</v>
      </c>
      <c r="AG36" s="146"/>
      <c r="AH36" s="146"/>
      <c r="AI36" s="179">
        <f>AF36</f>
        <v>28</v>
      </c>
      <c r="AJ36" s="179"/>
      <c r="AK36" s="179"/>
      <c r="AL36" s="179">
        <f>AF36</f>
        <v>28</v>
      </c>
      <c r="AM36" s="179"/>
      <c r="AN36" s="179"/>
      <c r="AO36" s="146">
        <v>28</v>
      </c>
      <c r="AP36" s="146"/>
      <c r="AQ36" s="146"/>
      <c r="AR36" s="180">
        <v>24</v>
      </c>
      <c r="AS36" s="180"/>
      <c r="AT36" s="180"/>
      <c r="AU36" s="174">
        <f>AR36</f>
        <v>24</v>
      </c>
      <c r="AV36" s="174"/>
      <c r="AW36" s="174"/>
      <c r="AX36" s="138">
        <v>22</v>
      </c>
      <c r="AY36" s="138"/>
      <c r="AZ36" s="138"/>
      <c r="BA36" s="174">
        <f>AX36</f>
        <v>22</v>
      </c>
      <c r="BB36" s="174"/>
      <c r="BC36" s="174"/>
      <c r="BD36" s="174">
        <f>AX36</f>
        <v>22</v>
      </c>
      <c r="BE36" s="174"/>
      <c r="BF36" s="174"/>
      <c r="BG36" s="154">
        <f>AX36</f>
        <v>22</v>
      </c>
      <c r="BH36" s="154"/>
      <c r="BI36" s="154"/>
      <c r="BJ36" s="157">
        <v>22</v>
      </c>
      <c r="BK36" s="157"/>
      <c r="BL36" s="157"/>
      <c r="BM36" s="154">
        <f>BJ36</f>
        <v>22</v>
      </c>
      <c r="BN36" s="154"/>
      <c r="BO36" s="154"/>
      <c r="BP36" s="154">
        <f>BJ36</f>
        <v>22</v>
      </c>
      <c r="BQ36" s="154"/>
      <c r="BR36" s="154"/>
    </row>
    <row r="37" spans="2:70" ht="24.75" customHeight="1">
      <c r="B37" s="8" t="str">
        <f>IF(AND(L23&lt;=Q23,R35&gt;=M35),"α ≤ αo　及び　t ≥ to　より、",IF(AND(L23&lt;=Q23,R35&lt;M35),"α ≤ αo　及び　t ＜  to　より、",IF(AND(L23&gt;Q23,R35&gt;=M35),"α ＞αo　及び　t ≥ to　より、","α ＞αo　及び　t ＜ to　より、")))</f>
        <v>α ≤ αo　及び　t ＜  to　より、</v>
      </c>
      <c r="C37" s="11"/>
      <c r="D37" s="11"/>
      <c r="F37" s="11"/>
      <c r="G37" s="11"/>
      <c r="H37" s="11"/>
      <c r="J37" s="73"/>
      <c r="L37" s="11"/>
      <c r="M37" s="106"/>
      <c r="N37" s="106"/>
      <c r="O37" s="11"/>
      <c r="P37" s="11"/>
      <c r="Q37" s="11"/>
      <c r="R37" s="34"/>
      <c r="T37" s="11"/>
      <c r="U37" s="11"/>
      <c r="V37" s="11"/>
      <c r="W37" s="11"/>
      <c r="X37" s="11"/>
      <c r="Y37" s="11"/>
      <c r="Z37" s="25"/>
      <c r="AA37" s="25"/>
      <c r="AB37" s="8"/>
      <c r="AC37" s="123"/>
      <c r="AD37" s="135"/>
      <c r="AE37" s="123"/>
      <c r="AF37" s="124"/>
      <c r="AG37" s="124"/>
      <c r="AH37" s="124"/>
      <c r="AI37" s="114"/>
      <c r="AJ37" s="114"/>
      <c r="AK37" s="114"/>
      <c r="AL37" s="114"/>
      <c r="AM37" s="114"/>
      <c r="AN37" s="114"/>
      <c r="AO37" s="124"/>
      <c r="AP37" s="124"/>
      <c r="AQ37" s="124"/>
      <c r="AR37" s="124"/>
      <c r="AS37" s="124"/>
      <c r="AT37" s="124"/>
      <c r="AU37" s="113"/>
      <c r="AV37" s="113"/>
      <c r="AW37" s="113"/>
      <c r="AX37" s="112"/>
      <c r="AY37" s="112"/>
      <c r="AZ37" s="112"/>
      <c r="BA37" s="113"/>
      <c r="BB37" s="113"/>
      <c r="BC37" s="113"/>
      <c r="BD37" s="113"/>
      <c r="BE37" s="113"/>
      <c r="BF37" s="113"/>
      <c r="BG37" s="113"/>
      <c r="BH37" s="113"/>
      <c r="BI37" s="113"/>
      <c r="BJ37" s="112"/>
      <c r="BK37" s="112"/>
      <c r="BL37" s="112"/>
      <c r="BM37" s="113"/>
      <c r="BN37" s="113"/>
      <c r="BO37" s="113"/>
      <c r="BP37" s="113"/>
      <c r="BQ37" s="113"/>
      <c r="BR37" s="113"/>
    </row>
    <row r="38" spans="2:46" ht="24.75" customHeight="1">
      <c r="B38" s="7" t="s">
        <v>239</v>
      </c>
      <c r="E38" s="8" t="str">
        <f>IF(AND(L23&lt;=Q23,R35&gt;=M35),"4α²n (to/t)²( 1+nδ₁) - (α²+1)²/ n",IF(AND(L23&lt;=Q23,R35&lt;M35),"4α²n ( 1+nδ₁) - (α²+1)²/ n",IF(AND(L23&gt;Q23,R35&gt;=M35),"1/n[{2n²(to/t)²( 1+nδ₁) - 1}² - 1 ]","1/n[{2n²( 1+nδ₁)² - 1}² - 1 ]")))</f>
        <v>4α²n ( 1+nδ₁) - (α²+1)²/ n</v>
      </c>
      <c r="O38" s="7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s="36" customFormat="1" ht="24.75" customHeight="1">
      <c r="A39" s="9"/>
      <c r="B39" s="9"/>
      <c r="C39" s="9"/>
      <c r="D39" s="37" t="s">
        <v>223</v>
      </c>
      <c r="E39" s="26">
        <f>IF(AND(L23&lt;=Q23,R35&gt;=M35),4*L23^2*O14*(M35/R35)^2*(1+O14*S27)-(L23^2+1)^2/O14,IF(AND(L23&lt;=Q23,R35&lt;M35),4*L23^2*O14*(1+O14*S27)-(L23^2+1)^2/O14,IF(AND(L23&gt;Q23,R35&gt;=M35),1/O14*((2*O14^2*(M35/R35)^2*(1+O14*S27)-1)^2-1),1/O14*((2*O14^2*(1+O14*S27)-1)^2-1))))</f>
        <v>8.525261363919835</v>
      </c>
      <c r="F39" s="23"/>
      <c r="G39" s="9"/>
      <c r="H39" s="9"/>
      <c r="I39" s="9"/>
      <c r="J39" s="9"/>
      <c r="K39" s="9"/>
      <c r="L39" s="9"/>
      <c r="M39" s="9"/>
      <c r="N39" s="9"/>
      <c r="O39" s="3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3:46" ht="24.75" customHeight="1">
      <c r="C40" s="7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3:46" ht="24.75" customHeight="1">
      <c r="C41" s="39"/>
      <c r="E41" s="40"/>
      <c r="F41" s="23"/>
      <c r="I41" s="41">
        <f>ROUND(J16*J17^3*E39/11,3)</f>
        <v>6277692.459</v>
      </c>
      <c r="J41" s="23"/>
      <c r="K41" s="23"/>
      <c r="M41" s="8" t="str">
        <f>IF(I41&lt;P41,"＜","＞")</f>
        <v>＜</v>
      </c>
      <c r="P41" s="42">
        <f>R22</f>
        <v>15750000</v>
      </c>
      <c r="Q41" s="23"/>
      <c r="R41" s="23"/>
      <c r="T41" s="8" t="str">
        <f>IF(I41&lt;P41,"O.K","N.G")</f>
        <v>O.K</v>
      </c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3:16" ht="24.75" customHeight="1">
      <c r="C42" s="39"/>
      <c r="E42" s="40"/>
      <c r="F42" s="23"/>
      <c r="H42" s="23"/>
      <c r="I42" s="23"/>
      <c r="J42" s="23"/>
      <c r="O42" s="40"/>
      <c r="P42" s="23"/>
    </row>
    <row r="43" spans="2:16" ht="24.75" customHeight="1">
      <c r="B43" s="8" t="s">
        <v>240</v>
      </c>
      <c r="H43" s="23"/>
      <c r="I43" s="120" t="s">
        <v>241</v>
      </c>
      <c r="J43" s="23"/>
      <c r="O43" s="40"/>
      <c r="P43" s="23"/>
    </row>
    <row r="44" spans="3:67" ht="24.75" customHeight="1">
      <c r="C44" s="8" t="s">
        <v>242</v>
      </c>
      <c r="E44" s="40"/>
      <c r="F44" s="23"/>
      <c r="H44" s="194">
        <f>J18</f>
        <v>150</v>
      </c>
      <c r="I44" s="194"/>
      <c r="J44" s="43" t="s">
        <v>243</v>
      </c>
      <c r="K44" s="21">
        <f>U19</f>
        <v>14</v>
      </c>
      <c r="L44" s="23"/>
      <c r="M44" s="11" t="s">
        <v>223</v>
      </c>
      <c r="N44" s="196">
        <f>H44/K44</f>
        <v>10.714285714285714</v>
      </c>
      <c r="O44" s="196"/>
      <c r="P44" s="23"/>
      <c r="R44" s="8" t="str">
        <f>IF(N44&gt;16,"鋼材厚さ確認要望",IF(N44&lt;=LOOKUP(AC46,AF46:BR46,AF48:BR48),"∴ b / t ≤ "&amp;LOOKUP(AC46,AF46:BR46,AF48:BR48),"∴ 16  &lt; b / t ≤ "&amp;LOOKUP(AC46,AF46:BR46,AF48:BR48)))</f>
        <v>∴ 16  &lt; b / t ≤ 10.5</v>
      </c>
      <c r="S44" s="23"/>
      <c r="T44" s="23"/>
      <c r="U44" s="23"/>
      <c r="V44" s="23"/>
      <c r="W44" s="23"/>
      <c r="X44" s="23"/>
      <c r="Y44" s="23"/>
      <c r="AC44" s="29" t="s">
        <v>244</v>
      </c>
      <c r="AD44" s="29"/>
      <c r="AE44" s="29"/>
      <c r="AF44" s="29"/>
      <c r="AG44" s="29"/>
      <c r="AH44" s="29"/>
      <c r="AI44" s="29"/>
      <c r="AJ44" s="29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3:70" ht="24.75" customHeight="1">
      <c r="C45" s="8" t="s">
        <v>245</v>
      </c>
      <c r="E45" s="50" t="str">
        <f>IF(N44&gt;16,"適用基準なし- リブの最小厚さ確認要望",IF(N44&lt;=LOOKUP(AC46,AF46:BR46,AF48:BR48),ROUND(LOOKUP(AC46,AF46:BR46,AF47:BR47),1)&amp;" N/㎟","23000 ×( t / b )² =  "&amp;ROUND(23000/N44^2,1)&amp;" N/㎟"))</f>
        <v>23000 ×( t / b )² =  200.4 N/㎟</v>
      </c>
      <c r="F45" s="26"/>
      <c r="G45" s="23"/>
      <c r="H45" s="23"/>
      <c r="I45" s="23"/>
      <c r="J45" s="23"/>
      <c r="K45" s="23"/>
      <c r="L45" s="23"/>
      <c r="M45" s="23"/>
      <c r="N45" s="23"/>
      <c r="O45" s="40"/>
      <c r="P45" s="23" t="str">
        <f>IF(N44&gt;16,"無効",IF(IF(N44&lt;=LOOKUP(AC46,AF46:BR46,AF48:BR48),ROUND(LOOKUP(AC46,AF46:BR46,AF47:BR47),1),ROUND(23000/N44^2,1))&lt;T45,"＜","＞"))</f>
        <v>＞</v>
      </c>
      <c r="R45" s="8" t="s">
        <v>246</v>
      </c>
      <c r="T45" s="195">
        <v>-88.2473</v>
      </c>
      <c r="U45" s="195"/>
      <c r="V45" s="195"/>
      <c r="W45" s="8" t="s">
        <v>91</v>
      </c>
      <c r="Z45" s="13" t="str">
        <f>IF(P45="＞","O.K","N.G")</f>
        <v>O.K</v>
      </c>
      <c r="AC45" s="163">
        <f>AC59</f>
        <v>2</v>
      </c>
      <c r="AD45" s="164"/>
      <c r="AE45" s="155"/>
      <c r="AF45" s="165" t="s">
        <v>225</v>
      </c>
      <c r="AG45" s="166"/>
      <c r="AH45" s="167"/>
      <c r="AI45" s="165" t="s">
        <v>226</v>
      </c>
      <c r="AJ45" s="166"/>
      <c r="AK45" s="167"/>
      <c r="AL45" s="165" t="s">
        <v>227</v>
      </c>
      <c r="AM45" s="166"/>
      <c r="AN45" s="167"/>
      <c r="AO45" s="147" t="s">
        <v>228</v>
      </c>
      <c r="AP45" s="148"/>
      <c r="AQ45" s="149"/>
      <c r="AR45" s="147" t="s">
        <v>35</v>
      </c>
      <c r="AS45" s="148"/>
      <c r="AT45" s="149"/>
      <c r="AU45" s="168" t="s">
        <v>229</v>
      </c>
      <c r="AV45" s="169"/>
      <c r="AW45" s="170"/>
      <c r="AX45" s="165" t="s">
        <v>230</v>
      </c>
      <c r="AY45" s="166"/>
      <c r="AZ45" s="167"/>
      <c r="BA45" s="165" t="s">
        <v>231</v>
      </c>
      <c r="BB45" s="166"/>
      <c r="BC45" s="167"/>
      <c r="BD45" s="165" t="s">
        <v>232</v>
      </c>
      <c r="BE45" s="166"/>
      <c r="BF45" s="167"/>
      <c r="BG45" s="168" t="s">
        <v>233</v>
      </c>
      <c r="BH45" s="169"/>
      <c r="BI45" s="170"/>
      <c r="BJ45" s="165" t="s">
        <v>234</v>
      </c>
      <c r="BK45" s="166"/>
      <c r="BL45" s="167"/>
      <c r="BM45" s="165" t="s">
        <v>235</v>
      </c>
      <c r="BN45" s="166"/>
      <c r="BO45" s="167"/>
      <c r="BP45" s="168" t="s">
        <v>236</v>
      </c>
      <c r="BQ45" s="169"/>
      <c r="BR45" s="170"/>
    </row>
    <row r="46" spans="3:70" ht="24.75" customHeight="1">
      <c r="C46" s="39"/>
      <c r="E46" s="40"/>
      <c r="F46" s="23"/>
      <c r="O46" s="40"/>
      <c r="P46" s="23"/>
      <c r="R46" s="44" t="s">
        <v>247</v>
      </c>
      <c r="S46" s="44"/>
      <c r="T46" s="197">
        <v>27</v>
      </c>
      <c r="U46" s="197"/>
      <c r="V46" s="77" t="s">
        <v>248</v>
      </c>
      <c r="W46" s="44"/>
      <c r="X46" s="44"/>
      <c r="Y46" s="44"/>
      <c r="AC46" s="175">
        <f>HLOOKUP(H3,AF45:BR46,2,FALSE)</f>
        <v>9</v>
      </c>
      <c r="AD46" s="175"/>
      <c r="AE46" s="175"/>
      <c r="AF46" s="153">
        <v>1</v>
      </c>
      <c r="AG46" s="153"/>
      <c r="AH46" s="153"/>
      <c r="AI46" s="153">
        <v>2</v>
      </c>
      <c r="AJ46" s="153"/>
      <c r="AK46" s="153"/>
      <c r="AL46" s="153">
        <v>3</v>
      </c>
      <c r="AM46" s="153"/>
      <c r="AN46" s="153"/>
      <c r="AO46" s="153">
        <v>4</v>
      </c>
      <c r="AP46" s="153"/>
      <c r="AQ46" s="153"/>
      <c r="AR46" s="153">
        <v>5</v>
      </c>
      <c r="AS46" s="153"/>
      <c r="AT46" s="153"/>
      <c r="AU46" s="153">
        <v>6</v>
      </c>
      <c r="AV46" s="153"/>
      <c r="AW46" s="153"/>
      <c r="AX46" s="153">
        <v>7</v>
      </c>
      <c r="AY46" s="153"/>
      <c r="AZ46" s="153"/>
      <c r="BA46" s="153">
        <v>8</v>
      </c>
      <c r="BB46" s="153"/>
      <c r="BC46" s="153"/>
      <c r="BD46" s="153">
        <v>9</v>
      </c>
      <c r="BE46" s="153"/>
      <c r="BF46" s="153"/>
      <c r="BG46" s="153">
        <v>10</v>
      </c>
      <c r="BH46" s="153"/>
      <c r="BI46" s="153"/>
      <c r="BJ46" s="153">
        <v>11</v>
      </c>
      <c r="BK46" s="153"/>
      <c r="BL46" s="153"/>
      <c r="BM46" s="153">
        <v>12</v>
      </c>
      <c r="BN46" s="153"/>
      <c r="BO46" s="153"/>
      <c r="BP46" s="153">
        <v>13</v>
      </c>
      <c r="BQ46" s="153"/>
      <c r="BR46" s="153"/>
    </row>
    <row r="47" spans="1:70" ht="24.75" customHeight="1">
      <c r="A47" s="7" t="s">
        <v>249</v>
      </c>
      <c r="H47" s="9" t="s">
        <v>250</v>
      </c>
      <c r="I47" s="156" t="s">
        <v>71</v>
      </c>
      <c r="J47" s="156"/>
      <c r="K47" s="156"/>
      <c r="L47" s="156"/>
      <c r="M47" s="7" t="s">
        <v>251</v>
      </c>
      <c r="N47" s="9"/>
      <c r="Q47" s="76"/>
      <c r="V47" s="25"/>
      <c r="W47" s="25"/>
      <c r="X47" s="25"/>
      <c r="Y47" s="25"/>
      <c r="Z47" s="25"/>
      <c r="AA47" s="25"/>
      <c r="AB47" s="45"/>
      <c r="AC47" s="141" t="s">
        <v>252</v>
      </c>
      <c r="AD47" s="136"/>
      <c r="AE47" s="137"/>
      <c r="AF47" s="152">
        <f>IF(AC45=2,140,125)</f>
        <v>140</v>
      </c>
      <c r="AG47" s="157"/>
      <c r="AH47" s="157"/>
      <c r="AI47" s="154">
        <f>AF47</f>
        <v>140</v>
      </c>
      <c r="AJ47" s="154"/>
      <c r="AK47" s="154"/>
      <c r="AL47" s="154">
        <f>AF47</f>
        <v>140</v>
      </c>
      <c r="AM47" s="154"/>
      <c r="AN47" s="154"/>
      <c r="AO47" s="154">
        <f>AI47</f>
        <v>140</v>
      </c>
      <c r="AP47" s="154"/>
      <c r="AQ47" s="154"/>
      <c r="AR47" s="138">
        <f>IF(AC45=2,185,175)</f>
        <v>185</v>
      </c>
      <c r="AS47" s="138"/>
      <c r="AT47" s="138"/>
      <c r="AU47" s="138">
        <v>185</v>
      </c>
      <c r="AV47" s="138"/>
      <c r="AW47" s="138"/>
      <c r="AX47" s="138">
        <f>IF(AC45=2,210,IF(AC45=3,195,190))</f>
        <v>210</v>
      </c>
      <c r="AY47" s="138"/>
      <c r="AZ47" s="138"/>
      <c r="BA47" s="155">
        <f>AX47</f>
        <v>210</v>
      </c>
      <c r="BB47" s="154"/>
      <c r="BC47" s="154"/>
      <c r="BD47" s="155">
        <f>AX47</f>
        <v>210</v>
      </c>
      <c r="BE47" s="154"/>
      <c r="BF47" s="154"/>
      <c r="BG47" s="152">
        <v>210</v>
      </c>
      <c r="BH47" s="157"/>
      <c r="BI47" s="157"/>
      <c r="BJ47" s="157">
        <f>IF(AC45=2,255,IF(AC45=3,245,240))</f>
        <v>255</v>
      </c>
      <c r="BK47" s="157"/>
      <c r="BL47" s="157"/>
      <c r="BM47" s="154">
        <f>BJ47</f>
        <v>255</v>
      </c>
      <c r="BN47" s="154"/>
      <c r="BO47" s="154"/>
      <c r="BP47" s="157">
        <v>255</v>
      </c>
      <c r="BQ47" s="157"/>
      <c r="BR47" s="157"/>
    </row>
    <row r="48" spans="1:70" ht="24.75" customHeight="1">
      <c r="A48" s="25"/>
      <c r="B48" s="8" t="s">
        <v>253</v>
      </c>
      <c r="H48" s="8" t="s">
        <v>62</v>
      </c>
      <c r="J48" s="46">
        <v>200</v>
      </c>
      <c r="K48" s="8" t="s">
        <v>33</v>
      </c>
      <c r="L48" s="25"/>
      <c r="Z48" s="47"/>
      <c r="AA48" s="48">
        <f>J17</f>
        <v>15</v>
      </c>
      <c r="AC48" s="158" t="str">
        <f>IF(AC45=2,"40",IF(AC45=3,"40-70","75-100"))</f>
        <v>40</v>
      </c>
      <c r="AD48" s="159"/>
      <c r="AE48" s="160"/>
      <c r="AF48" s="161">
        <f>IF(AC45=2,12.8,13.6)</f>
        <v>12.8</v>
      </c>
      <c r="AG48" s="162"/>
      <c r="AH48" s="162"/>
      <c r="AI48" s="139">
        <f>AF48</f>
        <v>12.8</v>
      </c>
      <c r="AJ48" s="140"/>
      <c r="AK48" s="140"/>
      <c r="AL48" s="139">
        <f>AF48</f>
        <v>12.8</v>
      </c>
      <c r="AM48" s="140"/>
      <c r="AN48" s="140"/>
      <c r="AO48" s="139">
        <f>AI48</f>
        <v>12.8</v>
      </c>
      <c r="AP48" s="140"/>
      <c r="AQ48" s="140"/>
      <c r="AR48" s="161">
        <f>IF(AC45=2,11.2,11.5)</f>
        <v>11.2</v>
      </c>
      <c r="AS48" s="162"/>
      <c r="AT48" s="162"/>
      <c r="AU48" s="161">
        <v>11.2</v>
      </c>
      <c r="AV48" s="162"/>
      <c r="AW48" s="162"/>
      <c r="AX48" s="161">
        <f>IF(AC45=2,10.5,IF(AC45=3,10.9,11))</f>
        <v>10.5</v>
      </c>
      <c r="AY48" s="162"/>
      <c r="AZ48" s="162"/>
      <c r="BA48" s="139">
        <f>AX48</f>
        <v>10.5</v>
      </c>
      <c r="BB48" s="140"/>
      <c r="BC48" s="140"/>
      <c r="BD48" s="139">
        <f>AX48</f>
        <v>10.5</v>
      </c>
      <c r="BE48" s="140"/>
      <c r="BF48" s="140"/>
      <c r="BG48" s="161">
        <v>10.5</v>
      </c>
      <c r="BH48" s="162"/>
      <c r="BI48" s="162"/>
      <c r="BJ48" s="161">
        <f>IF(AC45=2,9.5,IF(AC45=3,9.7,9.8))</f>
        <v>9.5</v>
      </c>
      <c r="BK48" s="162"/>
      <c r="BL48" s="162"/>
      <c r="BM48" s="139">
        <f>BJ48</f>
        <v>9.5</v>
      </c>
      <c r="BN48" s="140"/>
      <c r="BO48" s="140"/>
      <c r="BP48" s="161">
        <v>9.5</v>
      </c>
      <c r="BQ48" s="162"/>
      <c r="BR48" s="162"/>
    </row>
    <row r="49" spans="2:26" ht="24.75" customHeight="1">
      <c r="B49" s="8" t="s">
        <v>254</v>
      </c>
      <c r="H49" s="8" t="s">
        <v>63</v>
      </c>
      <c r="J49" s="49">
        <v>12</v>
      </c>
      <c r="K49" s="8" t="s">
        <v>33</v>
      </c>
      <c r="Q49" s="24"/>
      <c r="R49" s="50">
        <f>J49</f>
        <v>12</v>
      </c>
      <c r="S49" s="51"/>
      <c r="V49" s="52">
        <f>J48</f>
        <v>200</v>
      </c>
      <c r="Z49" s="53"/>
    </row>
    <row r="50" spans="2:22" ht="24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M50" s="11"/>
      <c r="N50" s="25"/>
      <c r="V50" s="54">
        <v>16</v>
      </c>
    </row>
    <row r="51" spans="2:28" ht="24.75" customHeight="1">
      <c r="B51" s="8" t="s">
        <v>92</v>
      </c>
      <c r="S51" s="55">
        <v>350</v>
      </c>
      <c r="T51" s="56"/>
      <c r="AB51" s="45"/>
    </row>
    <row r="52" spans="3:33" ht="24.75" customHeight="1">
      <c r="C52" s="8" t="s">
        <v>255</v>
      </c>
      <c r="E52" s="7" t="s">
        <v>256</v>
      </c>
      <c r="J52" s="25"/>
      <c r="K52" s="25"/>
      <c r="L52" s="25"/>
      <c r="M52" s="25"/>
      <c r="N52" s="25"/>
      <c r="P52" s="41">
        <f>ROUND((J16*J17^3/11)*((1+O14*E39)/(4*L23^3)),3)</f>
        <v>67886988.654</v>
      </c>
      <c r="Q52" s="23"/>
      <c r="R52" s="23"/>
      <c r="S52" s="23"/>
      <c r="T52" s="7" t="s">
        <v>89</v>
      </c>
      <c r="V52" s="25"/>
      <c r="W52" s="25"/>
      <c r="X52" s="25"/>
      <c r="Y52" s="25"/>
      <c r="AB52" s="45"/>
      <c r="AF52" s="57"/>
      <c r="AG52" s="57"/>
    </row>
    <row r="53" spans="2:28" ht="24.75" customHeight="1">
      <c r="B53" s="8" t="s">
        <v>93</v>
      </c>
      <c r="X53" s="25"/>
      <c r="Y53" s="25"/>
      <c r="Z53" s="25"/>
      <c r="AA53" s="25"/>
      <c r="AB53" s="45"/>
    </row>
    <row r="54" spans="3:23" ht="24.75" customHeight="1">
      <c r="C54" s="7" t="s">
        <v>257</v>
      </c>
      <c r="E54" s="58" t="s">
        <v>17</v>
      </c>
      <c r="F54" s="23" t="s">
        <v>5</v>
      </c>
      <c r="G54" s="34">
        <f>J49</f>
        <v>12</v>
      </c>
      <c r="H54" s="23" t="s">
        <v>5</v>
      </c>
      <c r="I54" s="59">
        <f>J48</f>
        <v>200</v>
      </c>
      <c r="J54" s="23"/>
      <c r="K54" s="21">
        <f>S51</f>
        <v>350</v>
      </c>
      <c r="L54" s="28"/>
      <c r="M54" s="23" t="s">
        <v>5</v>
      </c>
      <c r="N54" s="60">
        <f>V50</f>
        <v>16</v>
      </c>
      <c r="O54" s="23"/>
      <c r="P54" s="23"/>
      <c r="Q54" s="23"/>
      <c r="R54" s="21">
        <f>K54*N54</f>
        <v>5600</v>
      </c>
      <c r="S54" s="28"/>
      <c r="T54" s="23" t="s">
        <v>5</v>
      </c>
      <c r="U54" s="61">
        <f>V49+V50/2</f>
        <v>208</v>
      </c>
      <c r="V54" s="62"/>
      <c r="W54" s="23"/>
    </row>
    <row r="55" spans="4:19" ht="24.75" customHeight="1">
      <c r="D55" s="23" t="s">
        <v>9</v>
      </c>
      <c r="E55" s="41">
        <f>ROUND(1/3*G54*I54^3+K54*N54^3/12+R54*U54^2,3)</f>
        <v>274397866.667</v>
      </c>
      <c r="F55" s="23"/>
      <c r="G55" s="23"/>
      <c r="H55" s="23"/>
      <c r="I55" s="7" t="s">
        <v>89</v>
      </c>
      <c r="J55" s="25"/>
      <c r="K55" s="11" t="str">
        <f>IF(E55&gt;P52,"＞","＜")</f>
        <v>＞</v>
      </c>
      <c r="L55" s="8" t="s">
        <v>255</v>
      </c>
      <c r="P55" s="8" t="str">
        <f>IF(E55&gt;P52,"O.K","N.G")</f>
        <v>O.K</v>
      </c>
      <c r="R55" s="25"/>
      <c r="S55" s="25"/>
    </row>
    <row r="56" spans="4:19" ht="24.75" customHeight="1">
      <c r="D56" s="23"/>
      <c r="E56" s="23"/>
      <c r="F56" s="23"/>
      <c r="G56" s="23"/>
      <c r="H56" s="7"/>
      <c r="R56" s="25"/>
      <c r="S56" s="25"/>
    </row>
    <row r="57" spans="1:67" s="5" customFormat="1" ht="24.75" customHeight="1">
      <c r="A57" s="4" t="s">
        <v>258</v>
      </c>
      <c r="B57" s="4"/>
      <c r="C57" s="4"/>
      <c r="D57" s="63"/>
      <c r="E57" s="63"/>
      <c r="F57" s="63"/>
      <c r="G57" s="63"/>
      <c r="H57" s="4"/>
      <c r="I57" s="4"/>
      <c r="J57" s="4"/>
      <c r="K57" s="4"/>
      <c r="L57" s="4"/>
      <c r="M57" s="4"/>
      <c r="N57" s="4"/>
      <c r="O57" s="4"/>
      <c r="P57" s="4"/>
      <c r="Q57" s="4"/>
      <c r="R57" s="64"/>
      <c r="S57" s="64"/>
      <c r="T57" s="4"/>
      <c r="U57" s="4"/>
      <c r="V57" s="4"/>
      <c r="W57" s="4"/>
      <c r="X57" s="4"/>
      <c r="Y57" s="4"/>
      <c r="Z57" s="4"/>
      <c r="AA57" s="4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</row>
    <row r="58" spans="1:71" ht="24.75" customHeight="1">
      <c r="A58" s="37" t="s">
        <v>259</v>
      </c>
      <c r="H58" s="9" t="s">
        <v>250</v>
      </c>
      <c r="I58" s="156" t="s">
        <v>270</v>
      </c>
      <c r="J58" s="156"/>
      <c r="K58" s="156"/>
      <c r="L58" s="156"/>
      <c r="M58" s="7" t="s">
        <v>251</v>
      </c>
      <c r="N58" s="9"/>
      <c r="AC58" s="142" t="s">
        <v>260</v>
      </c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6"/>
      <c r="BQ58" s="36"/>
      <c r="BR58" s="36"/>
      <c r="BS58" s="36"/>
    </row>
    <row r="59" spans="2:70" ht="24.75" customHeight="1">
      <c r="B59" s="8" t="s">
        <v>261</v>
      </c>
      <c r="H59" s="8" t="s">
        <v>12</v>
      </c>
      <c r="I59" s="8" t="s">
        <v>18</v>
      </c>
      <c r="J59" s="65">
        <v>0</v>
      </c>
      <c r="P59" s="10"/>
      <c r="Q59" s="10"/>
      <c r="S59" s="10"/>
      <c r="T59" s="10"/>
      <c r="U59" s="10"/>
      <c r="V59" s="10"/>
      <c r="W59" s="10"/>
      <c r="X59" s="10"/>
      <c r="Y59" s="10"/>
      <c r="Z59" s="10"/>
      <c r="AC59" s="198">
        <f>IF(J66&lt;=40,2,IF(J66&lt;=75,3,4))</f>
        <v>2</v>
      </c>
      <c r="AD59" s="199"/>
      <c r="AE59" s="200"/>
      <c r="AF59" s="165" t="s">
        <v>225</v>
      </c>
      <c r="AG59" s="166"/>
      <c r="AH59" s="167"/>
      <c r="AI59" s="165" t="s">
        <v>226</v>
      </c>
      <c r="AJ59" s="166"/>
      <c r="AK59" s="167"/>
      <c r="AL59" s="165" t="s">
        <v>227</v>
      </c>
      <c r="AM59" s="166"/>
      <c r="AN59" s="167"/>
      <c r="AO59" s="147" t="s">
        <v>228</v>
      </c>
      <c r="AP59" s="148"/>
      <c r="AQ59" s="149"/>
      <c r="AR59" s="147" t="s">
        <v>35</v>
      </c>
      <c r="AS59" s="148"/>
      <c r="AT59" s="149"/>
      <c r="AU59" s="168" t="s">
        <v>229</v>
      </c>
      <c r="AV59" s="169"/>
      <c r="AW59" s="170"/>
      <c r="AX59" s="165" t="s">
        <v>230</v>
      </c>
      <c r="AY59" s="166"/>
      <c r="AZ59" s="167"/>
      <c r="BA59" s="165" t="s">
        <v>231</v>
      </c>
      <c r="BB59" s="166"/>
      <c r="BC59" s="167"/>
      <c r="BD59" s="165" t="s">
        <v>232</v>
      </c>
      <c r="BE59" s="166"/>
      <c r="BF59" s="167"/>
      <c r="BG59" s="168" t="s">
        <v>233</v>
      </c>
      <c r="BH59" s="169"/>
      <c r="BI59" s="170"/>
      <c r="BJ59" s="165" t="s">
        <v>234</v>
      </c>
      <c r="BK59" s="166"/>
      <c r="BL59" s="167"/>
      <c r="BM59" s="165" t="s">
        <v>235</v>
      </c>
      <c r="BN59" s="166"/>
      <c r="BO59" s="167"/>
      <c r="BP59" s="168" t="s">
        <v>236</v>
      </c>
      <c r="BQ59" s="169"/>
      <c r="BR59" s="170"/>
    </row>
    <row r="60" spans="2:70" ht="24.75" customHeight="1">
      <c r="B60" s="8" t="s">
        <v>262</v>
      </c>
      <c r="H60" s="8" t="s">
        <v>12</v>
      </c>
      <c r="I60" s="8" t="s">
        <v>263</v>
      </c>
      <c r="K60" s="15">
        <v>-88.2473</v>
      </c>
      <c r="L60" s="23"/>
      <c r="M60" s="23"/>
      <c r="N60" s="8" t="s">
        <v>91</v>
      </c>
      <c r="P60" s="10"/>
      <c r="Q60" s="10"/>
      <c r="S60" s="10"/>
      <c r="T60" s="10"/>
      <c r="U60" s="10"/>
      <c r="V60" s="10"/>
      <c r="W60" s="10"/>
      <c r="X60" s="10"/>
      <c r="Y60" s="10"/>
      <c r="Z60" s="10"/>
      <c r="AC60" s="177">
        <v>40</v>
      </c>
      <c r="AD60" s="177"/>
      <c r="AE60" s="177"/>
      <c r="AF60" s="150">
        <v>140</v>
      </c>
      <c r="AG60" s="151"/>
      <c r="AH60" s="152"/>
      <c r="AI60" s="163">
        <f>AF60</f>
        <v>140</v>
      </c>
      <c r="AJ60" s="164"/>
      <c r="AK60" s="155"/>
      <c r="AL60" s="163">
        <f>AF60</f>
        <v>140</v>
      </c>
      <c r="AM60" s="164"/>
      <c r="AN60" s="155"/>
      <c r="AO60" s="150">
        <v>140</v>
      </c>
      <c r="AP60" s="151"/>
      <c r="AQ60" s="152"/>
      <c r="AR60" s="150">
        <v>185</v>
      </c>
      <c r="AS60" s="151"/>
      <c r="AT60" s="152"/>
      <c r="AU60" s="163">
        <f>AR60</f>
        <v>185</v>
      </c>
      <c r="AV60" s="164"/>
      <c r="AW60" s="155"/>
      <c r="AX60" s="150">
        <v>210</v>
      </c>
      <c r="AY60" s="151"/>
      <c r="AZ60" s="152"/>
      <c r="BA60" s="163">
        <f>AX60</f>
        <v>210</v>
      </c>
      <c r="BB60" s="164"/>
      <c r="BC60" s="155"/>
      <c r="BD60" s="163">
        <f>AX60</f>
        <v>210</v>
      </c>
      <c r="BE60" s="164"/>
      <c r="BF60" s="155"/>
      <c r="BG60" s="150">
        <v>210</v>
      </c>
      <c r="BH60" s="151"/>
      <c r="BI60" s="152"/>
      <c r="BJ60" s="150">
        <v>255</v>
      </c>
      <c r="BK60" s="151"/>
      <c r="BL60" s="152"/>
      <c r="BM60" s="163">
        <f>BJ60</f>
        <v>255</v>
      </c>
      <c r="BN60" s="164"/>
      <c r="BO60" s="155"/>
      <c r="BP60" s="163">
        <f>BM60</f>
        <v>255</v>
      </c>
      <c r="BQ60" s="164"/>
      <c r="BR60" s="155"/>
    </row>
    <row r="61" spans="2:70" ht="24.75" customHeight="1">
      <c r="B61" s="8" t="s">
        <v>264</v>
      </c>
      <c r="H61" s="8" t="s">
        <v>12</v>
      </c>
      <c r="I61" s="8" t="s">
        <v>37</v>
      </c>
      <c r="K61" s="15">
        <v>10.8563</v>
      </c>
      <c r="L61" s="23"/>
      <c r="M61" s="23"/>
      <c r="N61" s="8" t="s">
        <v>91</v>
      </c>
      <c r="P61" s="10"/>
      <c r="Q61" s="10"/>
      <c r="S61" s="10"/>
      <c r="T61" s="10"/>
      <c r="U61" s="10"/>
      <c r="V61" s="10"/>
      <c r="W61" s="10"/>
      <c r="X61" s="10"/>
      <c r="Y61" s="10"/>
      <c r="Z61" s="10"/>
      <c r="AC61" s="176" t="s">
        <v>265</v>
      </c>
      <c r="AD61" s="176"/>
      <c r="AE61" s="176"/>
      <c r="AF61" s="150">
        <v>125</v>
      </c>
      <c r="AG61" s="151"/>
      <c r="AH61" s="152"/>
      <c r="AI61" s="163">
        <f>AF61</f>
        <v>125</v>
      </c>
      <c r="AJ61" s="164"/>
      <c r="AK61" s="155"/>
      <c r="AL61" s="163">
        <f>AF61</f>
        <v>125</v>
      </c>
      <c r="AM61" s="164"/>
      <c r="AN61" s="155"/>
      <c r="AO61" s="150">
        <v>140</v>
      </c>
      <c r="AP61" s="151"/>
      <c r="AQ61" s="152"/>
      <c r="AR61" s="150">
        <v>175</v>
      </c>
      <c r="AS61" s="151"/>
      <c r="AT61" s="152"/>
      <c r="AU61" s="163">
        <f>AU60</f>
        <v>185</v>
      </c>
      <c r="AV61" s="164"/>
      <c r="AW61" s="155"/>
      <c r="AX61" s="150">
        <v>195</v>
      </c>
      <c r="AY61" s="151"/>
      <c r="AZ61" s="152"/>
      <c r="BA61" s="163">
        <f>AX61</f>
        <v>195</v>
      </c>
      <c r="BB61" s="164"/>
      <c r="BC61" s="155"/>
      <c r="BD61" s="163">
        <f>AX61</f>
        <v>195</v>
      </c>
      <c r="BE61" s="164"/>
      <c r="BF61" s="155"/>
      <c r="BG61" s="150">
        <v>210</v>
      </c>
      <c r="BH61" s="151"/>
      <c r="BI61" s="152"/>
      <c r="BJ61" s="150">
        <v>245</v>
      </c>
      <c r="BK61" s="151"/>
      <c r="BL61" s="152"/>
      <c r="BM61" s="163">
        <f>BJ61</f>
        <v>245</v>
      </c>
      <c r="BN61" s="164"/>
      <c r="BO61" s="155"/>
      <c r="BP61" s="163">
        <f>BP60</f>
        <v>255</v>
      </c>
      <c r="BQ61" s="164"/>
      <c r="BR61" s="155"/>
    </row>
    <row r="62" spans="2:70" ht="24.75" customHeight="1">
      <c r="B62" s="8" t="s">
        <v>266</v>
      </c>
      <c r="H62" s="8" t="s">
        <v>12</v>
      </c>
      <c r="I62" s="8" t="s">
        <v>64</v>
      </c>
      <c r="K62" s="19">
        <v>200</v>
      </c>
      <c r="L62" s="21"/>
      <c r="M62" s="8" t="s">
        <v>33</v>
      </c>
      <c r="P62" s="10"/>
      <c r="Q62" s="10"/>
      <c r="S62" s="10"/>
      <c r="T62" s="10"/>
      <c r="U62" s="10"/>
      <c r="V62" s="10"/>
      <c r="W62" s="10"/>
      <c r="X62" s="10"/>
      <c r="Y62" s="10"/>
      <c r="Z62" s="10"/>
      <c r="AC62" s="176" t="s">
        <v>267</v>
      </c>
      <c r="AD62" s="176"/>
      <c r="AE62" s="176"/>
      <c r="AF62" s="150">
        <v>125</v>
      </c>
      <c r="AG62" s="151"/>
      <c r="AH62" s="152"/>
      <c r="AI62" s="163">
        <f>AF62</f>
        <v>125</v>
      </c>
      <c r="AJ62" s="164"/>
      <c r="AK62" s="155"/>
      <c r="AL62" s="163">
        <f>AF62</f>
        <v>125</v>
      </c>
      <c r="AM62" s="164"/>
      <c r="AN62" s="155"/>
      <c r="AO62" s="150">
        <v>140</v>
      </c>
      <c r="AP62" s="151"/>
      <c r="AQ62" s="152"/>
      <c r="AR62" s="150">
        <v>175</v>
      </c>
      <c r="AS62" s="151"/>
      <c r="AT62" s="152"/>
      <c r="AU62" s="163">
        <f>AU60</f>
        <v>185</v>
      </c>
      <c r="AV62" s="164"/>
      <c r="AW62" s="155"/>
      <c r="AX62" s="150">
        <v>190</v>
      </c>
      <c r="AY62" s="151"/>
      <c r="AZ62" s="152"/>
      <c r="BA62" s="163">
        <f>AX62</f>
        <v>190</v>
      </c>
      <c r="BB62" s="164"/>
      <c r="BC62" s="155"/>
      <c r="BD62" s="163">
        <f>AX62</f>
        <v>190</v>
      </c>
      <c r="BE62" s="164"/>
      <c r="BF62" s="155"/>
      <c r="BG62" s="150">
        <v>210</v>
      </c>
      <c r="BH62" s="151"/>
      <c r="BI62" s="152"/>
      <c r="BJ62" s="150">
        <v>240</v>
      </c>
      <c r="BK62" s="151"/>
      <c r="BL62" s="152"/>
      <c r="BM62" s="163">
        <f>BJ62</f>
        <v>240</v>
      </c>
      <c r="BN62" s="164"/>
      <c r="BO62" s="155"/>
      <c r="BP62" s="163">
        <f>BP60</f>
        <v>255</v>
      </c>
      <c r="BQ62" s="164"/>
      <c r="BR62" s="155"/>
    </row>
    <row r="63" spans="2:26" ht="24.75" customHeight="1">
      <c r="B63" s="8" t="s">
        <v>268</v>
      </c>
      <c r="H63" s="8" t="s">
        <v>12</v>
      </c>
      <c r="I63" s="8" t="s">
        <v>65</v>
      </c>
      <c r="K63" s="19">
        <v>16</v>
      </c>
      <c r="L63" s="21"/>
      <c r="M63" s="8" t="s">
        <v>33</v>
      </c>
      <c r="P63" s="10"/>
      <c r="Q63" s="10"/>
      <c r="S63" s="10"/>
      <c r="T63" s="10"/>
      <c r="U63" s="10"/>
      <c r="V63" s="10"/>
      <c r="W63" s="10"/>
      <c r="X63" s="10"/>
      <c r="Y63" s="10"/>
      <c r="Z63" s="10"/>
    </row>
    <row r="64" spans="2:12" ht="24.75" customHeight="1">
      <c r="B64" s="8" t="s">
        <v>269</v>
      </c>
      <c r="H64" s="8" t="s">
        <v>12</v>
      </c>
      <c r="I64" s="8" t="s">
        <v>19</v>
      </c>
      <c r="J64" s="23">
        <f>J15</f>
        <v>1250</v>
      </c>
      <c r="K64" s="23"/>
      <c r="L64" s="8" t="s">
        <v>33</v>
      </c>
    </row>
    <row r="65" spans="2:37" ht="24.75" customHeight="1">
      <c r="B65" s="8" t="s">
        <v>81</v>
      </c>
      <c r="H65" s="8" t="s">
        <v>12</v>
      </c>
      <c r="I65" s="8" t="s">
        <v>20</v>
      </c>
      <c r="J65" s="15">
        <v>2200</v>
      </c>
      <c r="K65" s="23"/>
      <c r="L65" s="8" t="s">
        <v>33</v>
      </c>
      <c r="U65" s="120" t="str">
        <f>IF(J59=3,"","[道路橋示方書 10.4.2]")</f>
        <v>[道路橋示方書 10.4.2]</v>
      </c>
      <c r="Y65" s="15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2:67" ht="24.75" customHeight="1">
      <c r="B66" s="72" t="s">
        <v>165</v>
      </c>
      <c r="G66" s="25"/>
      <c r="H66" s="8" t="s">
        <v>12</v>
      </c>
      <c r="I66" s="8" t="s">
        <v>16</v>
      </c>
      <c r="J66" s="15">
        <v>14</v>
      </c>
      <c r="K66" s="23"/>
      <c r="L66" s="8">
        <v>12</v>
      </c>
      <c r="M66" s="125" t="e">
        <f>IF(J59=3,"",IF(J66&gt;=W66," ≥","＜ "))</f>
        <v>#NUM!</v>
      </c>
      <c r="N66" s="66" t="str">
        <f>IF(J59=3,"","twmin = b /(")</f>
        <v>twmin = b /(</v>
      </c>
      <c r="O66" s="66"/>
      <c r="P66" s="66"/>
      <c r="Q66" s="66">
        <f>IF(J59=3,"",HLOOKUP(I58,AF67:BR70,AC67,FALSE))</f>
        <v>152</v>
      </c>
      <c r="R66" s="11" t="str">
        <f>IF(J59=3,"","×")</f>
        <v>×</v>
      </c>
      <c r="S66" s="26" t="e">
        <f>IF(J59=3,"",X67)</f>
        <v>#NUM!</v>
      </c>
      <c r="T66" s="26"/>
      <c r="U66" s="8" t="str">
        <f>IF(J59=3,"",")")</f>
        <v>)</v>
      </c>
      <c r="V66" s="67" t="str">
        <f>IF(J59=3,"","=")</f>
        <v>=</v>
      </c>
      <c r="W66" s="68" t="e">
        <f>IF(J59=3,"",J65/(Q66*S66))</f>
        <v>#NUM!</v>
      </c>
      <c r="X66" s="68"/>
      <c r="Y66" s="66" t="str">
        <f>IF(J59=3,"","mm")</f>
        <v>mm</v>
      </c>
      <c r="Z66" s="66" t="e">
        <f>IF(J59=3,"",IF(J66&gt;=W66,"O.K.","N.G."))</f>
        <v>#NUM!</v>
      </c>
      <c r="AA66" s="66"/>
      <c r="AB66" s="69"/>
      <c r="AC66" s="142" t="s">
        <v>166</v>
      </c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7:70" ht="24.75" customHeight="1">
      <c r="G67" s="25"/>
      <c r="I67" s="37" t="str">
        <f>IF(J59=3,"","ここに,")</f>
        <v>ここに,</v>
      </c>
      <c r="K67" s="8" t="str">
        <f>IF(J59=3,"","√(σca/σc) = √("&amp;HLOOKUP(I58,AF59:BR62,AC59,FALSE)&amp;"/"&amp;ROUND(K60,3)&amp;")")</f>
        <v>√(σca/σc) = √(140/-88.247)</v>
      </c>
      <c r="P67" s="14"/>
      <c r="Q67" s="11" t="str">
        <f>IF(J59=3,"","=")</f>
        <v>=</v>
      </c>
      <c r="R67" s="26" t="e">
        <f>IF(J59=3,"",SQRT(HLOOKUP(I58,AF59:BR62,AC59,FALSE)/K60))</f>
        <v>#NUM!</v>
      </c>
      <c r="S67" s="80"/>
      <c r="T67" s="8" t="e">
        <f>IF(J59=3,"",IF(R67&gt;1.2,"＞","＜"))</f>
        <v>#NUM!</v>
      </c>
      <c r="U67" s="8">
        <f>IF(J59=3,"",1.2)</f>
        <v>1.2</v>
      </c>
      <c r="W67" s="8" t="str">
        <f>IF(J59=3,"","⇒")</f>
        <v>⇒</v>
      </c>
      <c r="X67" s="23" t="e">
        <f>IF(J59=3,"",IF(R67&gt;1.2,1.2,ROUND(R67,3)))</f>
        <v>#NUM!</v>
      </c>
      <c r="Y67" s="23"/>
      <c r="AC67" s="163">
        <f>J59+2</f>
        <v>2</v>
      </c>
      <c r="AD67" s="164"/>
      <c r="AE67" s="155"/>
      <c r="AF67" s="165" t="s">
        <v>167</v>
      </c>
      <c r="AG67" s="166"/>
      <c r="AH67" s="167"/>
      <c r="AI67" s="165" t="s">
        <v>168</v>
      </c>
      <c r="AJ67" s="166"/>
      <c r="AK67" s="167"/>
      <c r="AL67" s="165" t="s">
        <v>169</v>
      </c>
      <c r="AM67" s="166"/>
      <c r="AN67" s="167"/>
      <c r="AO67" s="147" t="s">
        <v>170</v>
      </c>
      <c r="AP67" s="148"/>
      <c r="AQ67" s="149"/>
      <c r="AR67" s="147" t="s">
        <v>35</v>
      </c>
      <c r="AS67" s="148"/>
      <c r="AT67" s="149"/>
      <c r="AU67" s="168" t="s">
        <v>171</v>
      </c>
      <c r="AV67" s="169"/>
      <c r="AW67" s="170"/>
      <c r="AX67" s="165" t="s">
        <v>172</v>
      </c>
      <c r="AY67" s="166"/>
      <c r="AZ67" s="167"/>
      <c r="BA67" s="165" t="s">
        <v>173</v>
      </c>
      <c r="BB67" s="166"/>
      <c r="BC67" s="167"/>
      <c r="BD67" s="165" t="s">
        <v>174</v>
      </c>
      <c r="BE67" s="166"/>
      <c r="BF67" s="167"/>
      <c r="BG67" s="168" t="s">
        <v>175</v>
      </c>
      <c r="BH67" s="169"/>
      <c r="BI67" s="170"/>
      <c r="BJ67" s="165" t="s">
        <v>176</v>
      </c>
      <c r="BK67" s="166"/>
      <c r="BL67" s="167"/>
      <c r="BM67" s="165" t="s">
        <v>177</v>
      </c>
      <c r="BN67" s="166"/>
      <c r="BO67" s="167"/>
      <c r="BP67" s="168" t="s">
        <v>178</v>
      </c>
      <c r="BQ67" s="169"/>
      <c r="BR67" s="170"/>
    </row>
    <row r="68" spans="2:70" ht="24.75" customHeight="1">
      <c r="B68" s="8" t="s">
        <v>179</v>
      </c>
      <c r="H68" s="120" t="s">
        <v>180</v>
      </c>
      <c r="AC68" s="171" t="s">
        <v>181</v>
      </c>
      <c r="AD68" s="172"/>
      <c r="AE68" s="173"/>
      <c r="AF68" s="152">
        <v>152</v>
      </c>
      <c r="AG68" s="157"/>
      <c r="AH68" s="157"/>
      <c r="AI68" s="155">
        <f>AF68</f>
        <v>152</v>
      </c>
      <c r="AJ68" s="154"/>
      <c r="AK68" s="154"/>
      <c r="AL68" s="155">
        <f>AF68</f>
        <v>152</v>
      </c>
      <c r="AM68" s="154"/>
      <c r="AN68" s="154"/>
      <c r="AO68" s="152">
        <v>152</v>
      </c>
      <c r="AP68" s="157"/>
      <c r="AQ68" s="157"/>
      <c r="AR68" s="152">
        <v>130</v>
      </c>
      <c r="AS68" s="157"/>
      <c r="AT68" s="157"/>
      <c r="AU68" s="155">
        <f>AR68</f>
        <v>130</v>
      </c>
      <c r="AV68" s="154"/>
      <c r="AW68" s="154"/>
      <c r="AX68" s="152">
        <v>123</v>
      </c>
      <c r="AY68" s="157"/>
      <c r="AZ68" s="157"/>
      <c r="BA68" s="155">
        <f>AX68</f>
        <v>123</v>
      </c>
      <c r="BB68" s="154"/>
      <c r="BC68" s="154"/>
      <c r="BD68" s="155">
        <f>AX68</f>
        <v>123</v>
      </c>
      <c r="BE68" s="154"/>
      <c r="BF68" s="154"/>
      <c r="BG68" s="155">
        <f>AX68</f>
        <v>123</v>
      </c>
      <c r="BH68" s="154"/>
      <c r="BI68" s="154"/>
      <c r="BJ68" s="152">
        <v>110</v>
      </c>
      <c r="BK68" s="157"/>
      <c r="BL68" s="157"/>
      <c r="BM68" s="155">
        <f>BJ68</f>
        <v>110</v>
      </c>
      <c r="BN68" s="154"/>
      <c r="BO68" s="154"/>
      <c r="BP68" s="155">
        <f>BJ68</f>
        <v>110</v>
      </c>
      <c r="BQ68" s="154"/>
      <c r="BR68" s="154"/>
    </row>
    <row r="69" spans="3:70" ht="24.75" customHeight="1">
      <c r="C69" s="8" t="str">
        <f>"a / b = "&amp;J64&amp;" / "&amp;J65&amp;"  ="</f>
        <v>a / b = 1250 / 2200  =</v>
      </c>
      <c r="I69" s="24">
        <f>ROUND(J64/J65,3)</f>
        <v>0.568</v>
      </c>
      <c r="J69" s="23"/>
      <c r="K69" s="11" t="str">
        <f>IF(I69&lt;=M69,"≤","＞")</f>
        <v>≤</v>
      </c>
      <c r="M69" s="127">
        <v>3</v>
      </c>
      <c r="P69" s="8" t="str">
        <f>IF(I69&lt;=M69,"O.K","N.G")</f>
        <v>O.K</v>
      </c>
      <c r="AC69" s="165" t="s">
        <v>182</v>
      </c>
      <c r="AD69" s="166"/>
      <c r="AE69" s="167"/>
      <c r="AF69" s="152">
        <v>256</v>
      </c>
      <c r="AG69" s="157"/>
      <c r="AH69" s="157"/>
      <c r="AI69" s="154">
        <f>AF69</f>
        <v>256</v>
      </c>
      <c r="AJ69" s="154"/>
      <c r="AK69" s="154"/>
      <c r="AL69" s="154">
        <f>AF69</f>
        <v>256</v>
      </c>
      <c r="AM69" s="154"/>
      <c r="AN69" s="154"/>
      <c r="AO69" s="152">
        <v>256</v>
      </c>
      <c r="AP69" s="157"/>
      <c r="AQ69" s="157"/>
      <c r="AR69" s="138">
        <v>220</v>
      </c>
      <c r="AS69" s="138"/>
      <c r="AT69" s="138"/>
      <c r="AU69" s="174">
        <f>AR69</f>
        <v>220</v>
      </c>
      <c r="AV69" s="174"/>
      <c r="AW69" s="174"/>
      <c r="AX69" s="138">
        <v>209</v>
      </c>
      <c r="AY69" s="138"/>
      <c r="AZ69" s="138"/>
      <c r="BA69" s="155">
        <f>AX69</f>
        <v>209</v>
      </c>
      <c r="BB69" s="154"/>
      <c r="BC69" s="154"/>
      <c r="BD69" s="155">
        <f>AX69</f>
        <v>209</v>
      </c>
      <c r="BE69" s="154"/>
      <c r="BF69" s="154"/>
      <c r="BG69" s="155">
        <f>AX69</f>
        <v>209</v>
      </c>
      <c r="BH69" s="154"/>
      <c r="BI69" s="154"/>
      <c r="BJ69" s="157">
        <v>188</v>
      </c>
      <c r="BK69" s="157"/>
      <c r="BL69" s="157"/>
      <c r="BM69" s="154">
        <f>BJ69</f>
        <v>188</v>
      </c>
      <c r="BN69" s="154"/>
      <c r="BO69" s="154"/>
      <c r="BP69" s="154">
        <f>BJ69</f>
        <v>188</v>
      </c>
      <c r="BQ69" s="154"/>
      <c r="BR69" s="154"/>
    </row>
    <row r="70" spans="2:70" ht="24.75" customHeight="1">
      <c r="B70" s="72" t="s">
        <v>183</v>
      </c>
      <c r="E70" s="8">
        <f>IF(J59=0,"",J59)</f>
      </c>
      <c r="F70" s="8" t="s">
        <v>184</v>
      </c>
      <c r="K70" s="8" t="s">
        <v>21</v>
      </c>
      <c r="L70" s="8" t="str">
        <f>IF(AND(J59=0,I69&gt;1),"＞ 1",IF(AND(J59=0,I69&lt;=1),"≤ 1",IF(AND(J59=1,I69&gt;0.8),"＞ 0.80",IF(AND(J59=1,I69&lt;=0.8),"≤ 0.80",IF(AND(J59=2,I69&gt;0.64),"＞ 0.64",IF(AND(J59=2,I69&lt;=0.64),"≤ 0.64"))))))</f>
        <v>≤ 1</v>
      </c>
      <c r="O70" s="8" t="s">
        <v>66</v>
      </c>
      <c r="AC70" s="158" t="s">
        <v>185</v>
      </c>
      <c r="AD70" s="159"/>
      <c r="AE70" s="160"/>
      <c r="AF70" s="152">
        <v>310</v>
      </c>
      <c r="AG70" s="157"/>
      <c r="AH70" s="157"/>
      <c r="AI70" s="155">
        <f>AF70</f>
        <v>310</v>
      </c>
      <c r="AJ70" s="154"/>
      <c r="AK70" s="154"/>
      <c r="AL70" s="155">
        <f>AF70</f>
        <v>310</v>
      </c>
      <c r="AM70" s="154"/>
      <c r="AN70" s="154"/>
      <c r="AO70" s="152">
        <v>310</v>
      </c>
      <c r="AP70" s="157"/>
      <c r="AQ70" s="157"/>
      <c r="AR70" s="152">
        <v>310</v>
      </c>
      <c r="AS70" s="157"/>
      <c r="AT70" s="157"/>
      <c r="AU70" s="155">
        <f>AR70</f>
        <v>310</v>
      </c>
      <c r="AV70" s="154"/>
      <c r="AW70" s="154"/>
      <c r="AX70" s="152">
        <v>294</v>
      </c>
      <c r="AY70" s="157"/>
      <c r="AZ70" s="157"/>
      <c r="BA70" s="155">
        <f>AX70</f>
        <v>294</v>
      </c>
      <c r="BB70" s="154"/>
      <c r="BC70" s="154"/>
      <c r="BD70" s="155">
        <f>AX70</f>
        <v>294</v>
      </c>
      <c r="BE70" s="154"/>
      <c r="BF70" s="154"/>
      <c r="BG70" s="155">
        <f>AX70</f>
        <v>294</v>
      </c>
      <c r="BH70" s="154"/>
      <c r="BI70" s="154"/>
      <c r="BJ70" s="152">
        <v>262</v>
      </c>
      <c r="BK70" s="157"/>
      <c r="BL70" s="157"/>
      <c r="BM70" s="155">
        <f>BJ70</f>
        <v>262</v>
      </c>
      <c r="BN70" s="154"/>
      <c r="BO70" s="154"/>
      <c r="BP70" s="155">
        <f>BJ70</f>
        <v>262</v>
      </c>
      <c r="BQ70" s="154"/>
      <c r="BR70" s="154"/>
    </row>
    <row r="71" spans="3:24" ht="24.75" customHeight="1">
      <c r="C71" s="8" t="str">
        <f>IF(AND(J59=0,I69&gt;1),"(b/100t)⁴[(σ/345)²+ { τ / 77 + 58(b/a)²}²]",IF(AND(J59=0,I69&lt;=1),"(b/100t)⁴[(σ/345)²+ { τ / 58 + 77(b/a)²}²]",IF(AND(J59=1,I69&gt;0.8),"(b/100t)⁴[(σ/900)²+ { τ / 120 + 58(b/a)²}²]",IF(AND(J59=1,I69&lt;=0.8),"(b/100t)⁴[(σ/900)²+ { τ / 90 + 77(b/a)²}²]",IF(AND(J59=2,I69&gt;0.64),"(b/100t)⁴[(σ/3000)²+ { τ / 187 + 58(b/a)²}²]",IF(AND(J59=2,I69&lt;=0.64),"(b/100t)⁴[(σ/3000)²+ { τ / 140 + 77(b/a)²}²]"))))))</f>
        <v>(b/100t)⁴[(σ/345)²+ { τ / 58 + 77(b/a)²}²]</v>
      </c>
      <c r="O71" s="8" t="s">
        <v>9</v>
      </c>
      <c r="P71" s="23">
        <f>ROUND(IF(AND(J59=0,I69&gt;1),((J65/(100*J66))^4)*(((K60/345)^2)+((K61/(77+58*(J65/J64)^2))^2)),IF(AND(J59=0,I69&lt;=1),((J65/(100*J66))^4)*(((K60/345)^2)+((K61/(58+77*(J65/J64)^2))^2)),IF(AND(J59=1,I69&gt;0.8),((J65/(100*J66))^4)*(((K60/900)^2)+((K61/(120+58*(J65/J64)^2))^2)),IF(AND(J59=1,I69&lt;=0.8),((J65/(100*J66))^4)*(((K60/900)^2)+((K61/(90+77*(J65/J64)^2))^2)),IF(AND(J59=2,I69&gt;0.64),((J65/(100*J66))^4)*(((K60/3000)^2)+((K61/(187+58*(J65/J64)^2))^2)),IF(AND(J59=2,I69&lt;=0.64),((J65/(100*J66))^4)*(((K60/3000)^2)+((K61/(140+77*(J65/J64)^2))^2)))))))),3)</f>
        <v>0.407</v>
      </c>
      <c r="Q71" s="23"/>
      <c r="S71" s="11" t="str">
        <f>IF(P71&lt;=U71,"＜","＞")</f>
        <v>＜</v>
      </c>
      <c r="U71" s="23">
        <v>1</v>
      </c>
      <c r="X71" s="8" t="str">
        <f>IF(P71&lt;=U71,"O.K","N.G")</f>
        <v>O.K</v>
      </c>
    </row>
    <row r="72" spans="2:8" ht="24.75" customHeight="1">
      <c r="B72" s="7" t="s">
        <v>186</v>
      </c>
      <c r="H72" s="120" t="s">
        <v>187</v>
      </c>
    </row>
    <row r="73" spans="3:14" ht="24.75" customHeight="1">
      <c r="C73" s="8" t="s">
        <v>22</v>
      </c>
      <c r="E73" s="8" t="s">
        <v>67</v>
      </c>
      <c r="H73" s="8" t="str">
        <f>"8.0 ("&amp;J65&amp;"/"&amp;J64&amp;")²="</f>
        <v>8.0 (2200/1250)²=</v>
      </c>
      <c r="M73" s="23">
        <f>ROUND(8*(J65/J64)^2,3)</f>
        <v>24.781</v>
      </c>
      <c r="N73" s="23"/>
    </row>
    <row r="74" spans="9:21" ht="24.75" customHeight="1">
      <c r="I74" s="8" t="str">
        <f>"( "&amp;J65&amp;" ×"&amp;J66&amp;"³/ 11 ) ×"&amp;M73&amp;" ="</f>
        <v>( 2200 ×14³/ 11 ) ×24.781 =</v>
      </c>
      <c r="R74" s="42">
        <f>ROUND((J65*J66^3/11)*M73,3)</f>
        <v>13599812.8</v>
      </c>
      <c r="S74" s="24"/>
      <c r="T74" s="24"/>
      <c r="U74" s="7" t="s">
        <v>89</v>
      </c>
    </row>
    <row r="75" spans="17:19" ht="24.75" customHeight="1">
      <c r="Q75" s="24"/>
      <c r="R75" s="24"/>
      <c r="S75" s="24"/>
    </row>
    <row r="76" spans="5:24" ht="24.75" customHeight="1">
      <c r="E76" s="8" t="str">
        <f>"⅓ × "&amp;K63&amp;" × "&amp;K62&amp;"³="</f>
        <v>⅓ × 16 × 200³=</v>
      </c>
      <c r="J76" s="23">
        <f>ROUND(K63*K62^3/3,3)</f>
        <v>42666666.667</v>
      </c>
      <c r="K76" s="23"/>
      <c r="L76" s="23"/>
      <c r="M76" s="7" t="s">
        <v>89</v>
      </c>
      <c r="O76" s="11" t="str">
        <f>IF(J76&gt;R74,"＞","＜")</f>
        <v>＞</v>
      </c>
      <c r="T76" s="8" t="str">
        <f>IF(J76&gt;R74,"O.K","N.G")</f>
        <v>O.K</v>
      </c>
      <c r="W76" s="25"/>
      <c r="X76" s="25"/>
    </row>
    <row r="77" spans="10:24" ht="24.75" customHeight="1">
      <c r="J77" s="23"/>
      <c r="K77" s="23"/>
      <c r="L77" s="23"/>
      <c r="O77" s="11"/>
      <c r="W77" s="25"/>
      <c r="X77" s="25"/>
    </row>
    <row r="78" ht="24.75" customHeight="1">
      <c r="B78" s="8" t="s">
        <v>188</v>
      </c>
    </row>
    <row r="79" spans="3:22" ht="24.75" customHeight="1">
      <c r="C79" s="8" t="s">
        <v>53</v>
      </c>
      <c r="E79" s="8" t="str">
        <f>J65&amp;" / 30 + 50 ="</f>
        <v>2200 / 30 + 50 =</v>
      </c>
      <c r="I79" s="21">
        <f>ROUND(J65/30+50,3)</f>
        <v>123.333</v>
      </c>
      <c r="J79" s="23"/>
      <c r="K79" s="8" t="s">
        <v>33</v>
      </c>
      <c r="M79" s="11" t="str">
        <f>IF(I79&gt;Q79,"＞","＜")</f>
        <v>＜</v>
      </c>
      <c r="O79" s="8" t="s">
        <v>50</v>
      </c>
      <c r="Q79" s="21">
        <f>K62</f>
        <v>200</v>
      </c>
      <c r="R79" s="21"/>
      <c r="S79" s="8" t="s">
        <v>33</v>
      </c>
      <c r="V79" s="8" t="str">
        <f>IF(Q79&gt;I79,"O.K","N.G")</f>
        <v>O.K</v>
      </c>
    </row>
    <row r="80" ht="24.75" customHeight="1">
      <c r="B80" s="8" t="s">
        <v>79</v>
      </c>
    </row>
    <row r="81" spans="3:22" ht="24.75" customHeight="1">
      <c r="C81" s="8" t="s">
        <v>54</v>
      </c>
      <c r="E81" s="70" t="str">
        <f>K62&amp;" / 13 ="</f>
        <v>200 / 13 =</v>
      </c>
      <c r="H81" s="21">
        <f>ROUND(K62/13,3)</f>
        <v>15.385</v>
      </c>
      <c r="I81" s="23"/>
      <c r="J81" s="8" t="s">
        <v>33</v>
      </c>
      <c r="L81" s="11" t="str">
        <f>IF(H81&gt;P81,"＞","＜")</f>
        <v>＜</v>
      </c>
      <c r="N81" s="8" t="s">
        <v>51</v>
      </c>
      <c r="P81" s="71">
        <f>K63</f>
        <v>16</v>
      </c>
      <c r="Q81" s="21"/>
      <c r="R81" s="8" t="s">
        <v>33</v>
      </c>
      <c r="U81" s="72" t="s">
        <v>15</v>
      </c>
      <c r="V81" s="8" t="str">
        <f>IF(H81&lt;P81,"O.K","N.G")</f>
        <v>O.K</v>
      </c>
    </row>
    <row r="82" spans="5:19" ht="24.75" customHeight="1">
      <c r="E82" s="70"/>
      <c r="H82" s="23"/>
      <c r="I82" s="23"/>
      <c r="L82" s="11"/>
      <c r="P82" s="71"/>
      <c r="Q82" s="21"/>
      <c r="S82" s="72"/>
    </row>
    <row r="84" spans="1:14" ht="24.75" customHeight="1">
      <c r="A84" s="37" t="s">
        <v>189</v>
      </c>
      <c r="H84" s="9" t="s">
        <v>190</v>
      </c>
      <c r="I84" s="156" t="s">
        <v>191</v>
      </c>
      <c r="J84" s="156"/>
      <c r="K84" s="156"/>
      <c r="L84" s="156"/>
      <c r="M84" s="7" t="s">
        <v>192</v>
      </c>
      <c r="N84" s="9"/>
    </row>
    <row r="85" spans="2:24" ht="24.75" customHeight="1">
      <c r="B85" s="72" t="s">
        <v>193</v>
      </c>
      <c r="H85" s="8" t="s">
        <v>12</v>
      </c>
      <c r="I85" s="8" t="s">
        <v>19</v>
      </c>
      <c r="J85" s="23">
        <f>J64</f>
        <v>1250</v>
      </c>
      <c r="K85" s="23"/>
      <c r="L85" s="8" t="s">
        <v>33</v>
      </c>
      <c r="S85" s="10"/>
      <c r="T85" s="10"/>
      <c r="U85" s="10"/>
      <c r="V85" s="10"/>
      <c r="W85" s="10"/>
      <c r="X85" s="10"/>
    </row>
    <row r="86" spans="2:24" ht="24.75" customHeight="1">
      <c r="B86" s="8" t="s">
        <v>81</v>
      </c>
      <c r="H86" s="8" t="s">
        <v>12</v>
      </c>
      <c r="I86" s="8" t="s">
        <v>20</v>
      </c>
      <c r="J86" s="23">
        <f>J65</f>
        <v>2200</v>
      </c>
      <c r="K86" s="23"/>
      <c r="L86" s="8" t="s">
        <v>33</v>
      </c>
      <c r="S86" s="10"/>
      <c r="T86" s="10"/>
      <c r="U86" s="10"/>
      <c r="V86" s="10"/>
      <c r="W86" s="10"/>
      <c r="X86" s="10"/>
    </row>
    <row r="87" spans="2:24" ht="24.75" customHeight="1">
      <c r="B87" s="8" t="s">
        <v>194</v>
      </c>
      <c r="H87" s="8" t="s">
        <v>12</v>
      </c>
      <c r="I87" s="8" t="s">
        <v>55</v>
      </c>
      <c r="K87" s="19">
        <v>150</v>
      </c>
      <c r="L87" s="21"/>
      <c r="M87" s="8" t="s">
        <v>33</v>
      </c>
      <c r="S87" s="10"/>
      <c r="T87" s="10"/>
      <c r="U87" s="10"/>
      <c r="V87" s="10"/>
      <c r="W87" s="10"/>
      <c r="X87" s="10"/>
    </row>
    <row r="88" spans="2:27" ht="24.75" customHeight="1">
      <c r="B88" s="8" t="s">
        <v>195</v>
      </c>
      <c r="H88" s="8" t="s">
        <v>12</v>
      </c>
      <c r="I88" s="8" t="s">
        <v>56</v>
      </c>
      <c r="K88" s="19">
        <v>14</v>
      </c>
      <c r="L88" s="21"/>
      <c r="M88" s="8" t="s">
        <v>33</v>
      </c>
      <c r="O88" s="73" t="s">
        <v>57</v>
      </c>
      <c r="P88" s="73"/>
      <c r="Q88" s="73"/>
      <c r="R88" s="73"/>
      <c r="S88" s="73" t="s">
        <v>23</v>
      </c>
      <c r="T88" s="74">
        <v>16</v>
      </c>
      <c r="U88" s="73" t="s">
        <v>9</v>
      </c>
      <c r="V88" s="75">
        <f>ROUND(K87/T88,2)</f>
        <v>9.38</v>
      </c>
      <c r="W88" s="75"/>
      <c r="X88" s="73" t="s">
        <v>33</v>
      </c>
      <c r="Y88" s="25"/>
      <c r="Z88" s="10"/>
      <c r="AA88" s="10"/>
    </row>
    <row r="89" spans="8:27" ht="24.75" customHeight="1"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73"/>
      <c r="AA89" s="25"/>
    </row>
    <row r="90" spans="2:8" ht="24.75" customHeight="1">
      <c r="B90" s="7" t="s">
        <v>196</v>
      </c>
      <c r="H90" s="76" t="s">
        <v>197</v>
      </c>
    </row>
    <row r="91" spans="3:16" ht="24.75" customHeight="1">
      <c r="C91" s="8" t="s">
        <v>22</v>
      </c>
      <c r="E91" s="8" t="s">
        <v>24</v>
      </c>
      <c r="I91" s="8" t="str">
        <f>"30.0 × ("&amp;J85&amp;"/"&amp;J86&amp;") ="</f>
        <v>30.0 × (1250/2200) =</v>
      </c>
      <c r="O91" s="23">
        <f>ROUND(30*J85/J86,3)</f>
        <v>17.045</v>
      </c>
      <c r="P91" s="23"/>
    </row>
    <row r="92" spans="8:20" ht="24.75" customHeight="1">
      <c r="H92" s="8" t="str">
        <f>"( "&amp;J86&amp;" ×"&amp;J66&amp;"³/ 11 ) ×"&amp;O91&amp;" ="</f>
        <v>( 2200 ×14³/ 11 ) ×17.045 =</v>
      </c>
      <c r="Q92" s="42">
        <f>ROUND((J86*J66^3/11)*O91,3)</f>
        <v>9354296</v>
      </c>
      <c r="R92" s="24"/>
      <c r="S92" s="24"/>
      <c r="T92" s="8" t="s">
        <v>198</v>
      </c>
    </row>
    <row r="93" spans="3:22" ht="24.75" customHeight="1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5:20" ht="24.75" customHeight="1">
      <c r="E94" s="8" t="str">
        <f>"⅓ × "&amp;K88&amp;" × "&amp;K87&amp;"³="</f>
        <v>⅓ × 14 × 150³=</v>
      </c>
      <c r="J94" s="41">
        <f>ROUND(K88*K87^3/3,3)</f>
        <v>15750000</v>
      </c>
      <c r="K94" s="23"/>
      <c r="L94" s="23"/>
      <c r="M94" s="8" t="s">
        <v>34</v>
      </c>
      <c r="O94" s="11" t="str">
        <f>IF(J94&gt;Q92,"＞","＜")</f>
        <v>＞</v>
      </c>
      <c r="T94" s="8" t="str">
        <f>IF(J94&gt;Q92,"O.K","N.G")</f>
        <v>O.K</v>
      </c>
    </row>
    <row r="95" spans="2:17" ht="24.75" customHeight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8" ht="24.75" customHeight="1">
      <c r="B96" s="8">
        <f>IF(J59=0,"","水平補剛材の取付け位置")</f>
      </c>
      <c r="H96" s="76" t="s">
        <v>197</v>
      </c>
    </row>
    <row r="97" spans="3:9" ht="24.75" customHeight="1">
      <c r="C97" s="72" t="s">
        <v>199</v>
      </c>
      <c r="I97" s="8">
        <f>IF(J59=0,"",IF(J59=1,"0.20b = 0.20 × "&amp;J86&amp;" = "&amp;0.2*J86&amp;" mm","0.14b および 0.36b  ただし、 "&amp;0.14*J86&amp;" mm および "&amp;0.36*J86&amp;" mm"))</f>
      </c>
    </row>
  </sheetData>
  <mergeCells count="221">
    <mergeCell ref="AO67:AQ67"/>
    <mergeCell ref="AO68:AQ68"/>
    <mergeCell ref="AO69:AQ69"/>
    <mergeCell ref="AO70:AQ70"/>
    <mergeCell ref="AC61:AE61"/>
    <mergeCell ref="AF61:AH61"/>
    <mergeCell ref="AI61:AK61"/>
    <mergeCell ref="AL61:AN61"/>
    <mergeCell ref="T46:U46"/>
    <mergeCell ref="AC58:AM58"/>
    <mergeCell ref="AC59:AE59"/>
    <mergeCell ref="AF59:AH59"/>
    <mergeCell ref="AI59:AK59"/>
    <mergeCell ref="AL59:AN59"/>
    <mergeCell ref="AI48:AK48"/>
    <mergeCell ref="AL48:AN48"/>
    <mergeCell ref="AC48:AE48"/>
    <mergeCell ref="H44:I44"/>
    <mergeCell ref="T45:V45"/>
    <mergeCell ref="C35:C36"/>
    <mergeCell ref="D35:D36"/>
    <mergeCell ref="O35:O36"/>
    <mergeCell ref="F36:G36"/>
    <mergeCell ref="P35:P36"/>
    <mergeCell ref="N44:O44"/>
    <mergeCell ref="I4:J4"/>
    <mergeCell ref="N11:N12"/>
    <mergeCell ref="H35:H36"/>
    <mergeCell ref="L35:L36"/>
    <mergeCell ref="M35:N36"/>
    <mergeCell ref="H3:K3"/>
    <mergeCell ref="N9:N10"/>
    <mergeCell ref="AC34:AM34"/>
    <mergeCell ref="AC35:AE35"/>
    <mergeCell ref="AF35:AH35"/>
    <mergeCell ref="AI35:AK35"/>
    <mergeCell ref="AL35:AN35"/>
    <mergeCell ref="Q35:Q36"/>
    <mergeCell ref="R35:R36"/>
    <mergeCell ref="T35:Y36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AC36:AE36"/>
    <mergeCell ref="AF36:AH36"/>
    <mergeCell ref="AI36:AK36"/>
    <mergeCell ref="AL36:AN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AR59:AT59"/>
    <mergeCell ref="AU59:AW59"/>
    <mergeCell ref="AX59:AZ59"/>
    <mergeCell ref="BA59:BC59"/>
    <mergeCell ref="BD59:BF59"/>
    <mergeCell ref="BG59:BI59"/>
    <mergeCell ref="BJ59:BL59"/>
    <mergeCell ref="BM59:BO59"/>
    <mergeCell ref="BP59:BR59"/>
    <mergeCell ref="AC60:AE60"/>
    <mergeCell ref="AF60:AH60"/>
    <mergeCell ref="AI60:AK60"/>
    <mergeCell ref="AL60:AN60"/>
    <mergeCell ref="AR60:AT60"/>
    <mergeCell ref="AU60:AW60"/>
    <mergeCell ref="AX60:AZ60"/>
    <mergeCell ref="BA60:BC60"/>
    <mergeCell ref="BD60:BF60"/>
    <mergeCell ref="BG60:BI60"/>
    <mergeCell ref="BJ60:BL60"/>
    <mergeCell ref="BM60:BO60"/>
    <mergeCell ref="BP60:BR60"/>
    <mergeCell ref="AR61:AT61"/>
    <mergeCell ref="AU61:AW61"/>
    <mergeCell ref="AX61:AZ61"/>
    <mergeCell ref="BA61:BC61"/>
    <mergeCell ref="BD61:BF61"/>
    <mergeCell ref="BG61:BI61"/>
    <mergeCell ref="BJ61:BL61"/>
    <mergeCell ref="BM61:BO61"/>
    <mergeCell ref="BP61:BR61"/>
    <mergeCell ref="AC62:AE62"/>
    <mergeCell ref="AF62:AH62"/>
    <mergeCell ref="AI62:AK62"/>
    <mergeCell ref="AL62:AN62"/>
    <mergeCell ref="AR62:AT62"/>
    <mergeCell ref="AU62:AW62"/>
    <mergeCell ref="AX62:AZ62"/>
    <mergeCell ref="BA62:BC62"/>
    <mergeCell ref="BD62:BF62"/>
    <mergeCell ref="BG62:BI62"/>
    <mergeCell ref="BJ62:BL62"/>
    <mergeCell ref="BM62:BO62"/>
    <mergeCell ref="BP62:BR62"/>
    <mergeCell ref="AC45:AE45"/>
    <mergeCell ref="AF45:AH45"/>
    <mergeCell ref="AI45:AK45"/>
    <mergeCell ref="AL45:AN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AC46:AE46"/>
    <mergeCell ref="AF46:AH46"/>
    <mergeCell ref="AI46:AK46"/>
    <mergeCell ref="AL46:AN46"/>
    <mergeCell ref="AR46:AT46"/>
    <mergeCell ref="AU46:AW46"/>
    <mergeCell ref="AX46:AZ46"/>
    <mergeCell ref="BA46:BC46"/>
    <mergeCell ref="BP46:BR46"/>
    <mergeCell ref="AU47:AW47"/>
    <mergeCell ref="AX47:AZ47"/>
    <mergeCell ref="BA47:BC47"/>
    <mergeCell ref="BP47:BR47"/>
    <mergeCell ref="BD46:BF46"/>
    <mergeCell ref="BG46:BI46"/>
    <mergeCell ref="BJ46:BL46"/>
    <mergeCell ref="BM46:BO46"/>
    <mergeCell ref="BD69:BF69"/>
    <mergeCell ref="BG69:BI69"/>
    <mergeCell ref="BJ69:BL69"/>
    <mergeCell ref="BM69:BO69"/>
    <mergeCell ref="BP69:BR69"/>
    <mergeCell ref="BD47:BF47"/>
    <mergeCell ref="BG47:BI47"/>
    <mergeCell ref="BJ47:BL47"/>
    <mergeCell ref="BM47:BO47"/>
    <mergeCell ref="BG68:BI68"/>
    <mergeCell ref="BJ68:BL68"/>
    <mergeCell ref="BM68:BO68"/>
    <mergeCell ref="BP68:BR68"/>
    <mergeCell ref="BP67:BR67"/>
    <mergeCell ref="AR69:AT69"/>
    <mergeCell ref="AU69:AW69"/>
    <mergeCell ref="AX69:AZ69"/>
    <mergeCell ref="BA69:BC69"/>
    <mergeCell ref="AC69:AE69"/>
    <mergeCell ref="AF69:AH69"/>
    <mergeCell ref="AI69:AK69"/>
    <mergeCell ref="AL69:AN69"/>
    <mergeCell ref="AC68:AE68"/>
    <mergeCell ref="AF68:AH68"/>
    <mergeCell ref="AI68:AK68"/>
    <mergeCell ref="AL68:AN68"/>
    <mergeCell ref="BD48:BF48"/>
    <mergeCell ref="BD67:BF67"/>
    <mergeCell ref="AR68:AT68"/>
    <mergeCell ref="AU68:AW68"/>
    <mergeCell ref="AX68:AZ68"/>
    <mergeCell ref="BA68:BC68"/>
    <mergeCell ref="BD68:BF68"/>
    <mergeCell ref="AU48:AW48"/>
    <mergeCell ref="AX48:AZ48"/>
    <mergeCell ref="BA48:BC48"/>
    <mergeCell ref="BG48:BI48"/>
    <mergeCell ref="BJ48:BL48"/>
    <mergeCell ref="BM48:BO48"/>
    <mergeCell ref="BP48:BR48"/>
    <mergeCell ref="BG67:BI67"/>
    <mergeCell ref="BJ67:BL67"/>
    <mergeCell ref="BM67:BO67"/>
    <mergeCell ref="AR67:AT67"/>
    <mergeCell ref="AU67:AW67"/>
    <mergeCell ref="AX67:AZ67"/>
    <mergeCell ref="BA67:BC67"/>
    <mergeCell ref="AC67:AE67"/>
    <mergeCell ref="AF67:AH67"/>
    <mergeCell ref="AI67:AK67"/>
    <mergeCell ref="AL67:AN67"/>
    <mergeCell ref="AR48:AT48"/>
    <mergeCell ref="AR47:AT47"/>
    <mergeCell ref="AI47:AK47"/>
    <mergeCell ref="AL47:AN47"/>
    <mergeCell ref="AO48:AQ48"/>
    <mergeCell ref="I47:L47"/>
    <mergeCell ref="I58:L58"/>
    <mergeCell ref="AF48:AH48"/>
    <mergeCell ref="AC47:AE47"/>
    <mergeCell ref="AF47:AH47"/>
    <mergeCell ref="AC70:AE70"/>
    <mergeCell ref="AF70:AH70"/>
    <mergeCell ref="AI70:AK70"/>
    <mergeCell ref="AL70:AN70"/>
    <mergeCell ref="BP70:BR70"/>
    <mergeCell ref="I84:L84"/>
    <mergeCell ref="BD70:BF70"/>
    <mergeCell ref="BG70:BI70"/>
    <mergeCell ref="BJ70:BL70"/>
    <mergeCell ref="BM70:BO70"/>
    <mergeCell ref="AR70:AT70"/>
    <mergeCell ref="AU70:AW70"/>
    <mergeCell ref="AX70:AZ70"/>
    <mergeCell ref="BA70:BC70"/>
    <mergeCell ref="AC66:AO66"/>
    <mergeCell ref="AO35:AQ35"/>
    <mergeCell ref="AO36:AQ36"/>
    <mergeCell ref="AO59:AQ59"/>
    <mergeCell ref="AO60:AQ60"/>
    <mergeCell ref="AO61:AQ61"/>
    <mergeCell ref="AO62:AQ62"/>
    <mergeCell ref="AO45:AQ45"/>
    <mergeCell ref="AO46:AQ46"/>
    <mergeCell ref="AO47:AQ47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1"/>
  <headerFooter alignWithMargins="0">
    <oddHeader>&amp;R
</oddHeader>
  </headerFooter>
  <rowBreaks count="2" manualBreakCount="2">
    <brk id="56" max="255" man="1"/>
    <brk id="83" max="255" man="1"/>
  </rowBreaks>
  <drawing r:id="rId10"/>
  <legacyDrawing r:id="rId9"/>
  <oleObjects>
    <oleObject progId="HunEquation" shapeId="13613092" r:id="rId1"/>
    <oleObject progId="HunEquation" shapeId="13613093" r:id="rId2"/>
    <oleObject progId="HunEquation" shapeId="13613094" r:id="rId3"/>
    <oleObject progId="HunEquation" shapeId="13613095" r:id="rId4"/>
    <oleObject progId="HunEquation" shapeId="13613096" r:id="rId5"/>
    <oleObject progId="HunEquation" shapeId="13613097" r:id="rId6"/>
    <oleObject progId="HunEquation" shapeId="13613098" r:id="rId7"/>
    <oleObject progId="HunEquation" shapeId="13613099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BR133"/>
  <sheetViews>
    <sheetView zoomScaleSheetLayoutView="100" workbookViewId="0" topLeftCell="A115">
      <selection activeCell="AK31" sqref="AK31"/>
    </sheetView>
  </sheetViews>
  <sheetFormatPr defaultColWidth="8.88671875" defaultRowHeight="24.75" customHeight="1"/>
  <cols>
    <col min="1" max="27" width="2.88671875" style="8" customWidth="1"/>
    <col min="28" max="28" width="2.88671875" style="10" customWidth="1"/>
    <col min="29" max="67" width="1.77734375" style="10" customWidth="1"/>
    <col min="68" max="16384" width="2.88671875" style="10" customWidth="1"/>
  </cols>
  <sheetData>
    <row r="1" spans="1:27" s="5" customFormat="1" ht="24.75" customHeight="1">
      <c r="A1" s="3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5" customFormat="1" ht="24.75" customHeight="1">
      <c r="A2" s="6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9" ht="24.75" customHeight="1">
      <c r="A3" s="7" t="s">
        <v>84</v>
      </c>
      <c r="G3" s="9" t="s">
        <v>36</v>
      </c>
      <c r="H3" s="156" t="s">
        <v>377</v>
      </c>
      <c r="I3" s="156"/>
      <c r="J3" s="156"/>
      <c r="K3" s="156"/>
      <c r="L3" s="7" t="s">
        <v>61</v>
      </c>
      <c r="M3" s="9"/>
      <c r="P3" s="76" t="s">
        <v>69</v>
      </c>
      <c r="AC3" s="2"/>
    </row>
    <row r="4" spans="9:10" ht="24.75" customHeight="1">
      <c r="I4" s="191">
        <f>J16</f>
        <v>2400</v>
      </c>
      <c r="J4" s="189"/>
    </row>
    <row r="5" ht="24.75" customHeight="1">
      <c r="N5" s="12">
        <f>J17</f>
        <v>21</v>
      </c>
    </row>
    <row r="9" ht="24.75" customHeight="1">
      <c r="N9" s="181">
        <f>J15</f>
        <v>1250.2</v>
      </c>
    </row>
    <row r="10" ht="24.75" customHeight="1">
      <c r="N10" s="181"/>
    </row>
    <row r="11" ht="24.75" customHeight="1">
      <c r="N11" s="192">
        <f>N9</f>
        <v>1250.2</v>
      </c>
    </row>
    <row r="12" ht="24.75" customHeight="1">
      <c r="N12" s="192"/>
    </row>
    <row r="14" spans="2:15" ht="24.75" customHeight="1">
      <c r="B14" s="72" t="s">
        <v>60</v>
      </c>
      <c r="L14" s="13" t="s">
        <v>12</v>
      </c>
      <c r="M14" s="14" t="s">
        <v>13</v>
      </c>
      <c r="N14" s="11" t="s">
        <v>9</v>
      </c>
      <c r="O14" s="15">
        <v>6</v>
      </c>
    </row>
    <row r="15" spans="2:12" ht="24.75" customHeight="1">
      <c r="B15" s="8" t="s">
        <v>59</v>
      </c>
      <c r="G15" s="8" t="s">
        <v>12</v>
      </c>
      <c r="H15" s="14" t="s">
        <v>14</v>
      </c>
      <c r="I15" s="11" t="s">
        <v>9</v>
      </c>
      <c r="J15" s="16">
        <v>1250.2</v>
      </c>
      <c r="K15" s="17"/>
      <c r="L15" s="8" t="s">
        <v>40</v>
      </c>
    </row>
    <row r="16" spans="2:12" ht="24.75" customHeight="1">
      <c r="B16" s="108" t="s">
        <v>74</v>
      </c>
      <c r="G16" s="13" t="s">
        <v>12</v>
      </c>
      <c r="H16" s="14" t="s">
        <v>8</v>
      </c>
      <c r="I16" s="11" t="s">
        <v>9</v>
      </c>
      <c r="J16" s="16">
        <v>2400</v>
      </c>
      <c r="K16" s="17"/>
      <c r="L16" s="8" t="s">
        <v>40</v>
      </c>
    </row>
    <row r="17" spans="2:11" ht="24.75" customHeight="1">
      <c r="B17" s="8" t="s">
        <v>103</v>
      </c>
      <c r="G17" s="8" t="s">
        <v>12</v>
      </c>
      <c r="H17" s="14" t="s">
        <v>11</v>
      </c>
      <c r="I17" s="11" t="s">
        <v>9</v>
      </c>
      <c r="J17" s="18">
        <v>21</v>
      </c>
      <c r="K17" s="8" t="s">
        <v>40</v>
      </c>
    </row>
    <row r="18" spans="2:11" ht="24.75" customHeight="1">
      <c r="B18" s="116" t="s">
        <v>75</v>
      </c>
      <c r="G18" s="8" t="s">
        <v>12</v>
      </c>
      <c r="H18" s="14" t="s">
        <v>41</v>
      </c>
      <c r="I18" s="11" t="s">
        <v>9</v>
      </c>
      <c r="J18" s="15">
        <v>150</v>
      </c>
      <c r="K18" s="8" t="s">
        <v>40</v>
      </c>
    </row>
    <row r="19" spans="2:26" ht="24.75" customHeight="1">
      <c r="B19" s="117" t="s">
        <v>76</v>
      </c>
      <c r="G19" s="8" t="s">
        <v>12</v>
      </c>
      <c r="H19" s="14" t="s">
        <v>41</v>
      </c>
      <c r="I19" s="11" t="s">
        <v>6</v>
      </c>
      <c r="J19" s="17">
        <v>16</v>
      </c>
      <c r="K19" s="15"/>
      <c r="L19" s="8" t="s">
        <v>9</v>
      </c>
      <c r="M19" s="8" t="str">
        <f>J18&amp;" / "&amp;J19&amp;" = "&amp;ROUND(J18/J19,2)&amp;" mm"</f>
        <v>150 / 16 = 9.38 mm</v>
      </c>
      <c r="S19" s="8" t="s">
        <v>31</v>
      </c>
      <c r="U19" s="19">
        <v>14</v>
      </c>
      <c r="V19" s="20"/>
      <c r="W19" s="7" t="s">
        <v>104</v>
      </c>
      <c r="Z19" s="8" t="str">
        <f>IF(U19&gt;=J18/J19,"O.K","N.G")</f>
        <v>O.K</v>
      </c>
    </row>
    <row r="20" spans="2:22" ht="24.75" customHeight="1">
      <c r="B20" s="118" t="s">
        <v>77</v>
      </c>
      <c r="H20" s="8" t="s">
        <v>12</v>
      </c>
      <c r="I20" s="7" t="s">
        <v>42</v>
      </c>
      <c r="L20" s="8" t="str">
        <f>"bt/10n = ("&amp;J16&amp;" ×"&amp;J17&amp;") / (10 ×"&amp;O14&amp;") ="</f>
        <v>bt/10n = (2400 ×21) / (10 ×6) =</v>
      </c>
      <c r="T20" s="21">
        <f>ROUND(J16*J17/(10*O14),3)</f>
        <v>840</v>
      </c>
      <c r="U20" s="22"/>
      <c r="V20" s="8" t="s">
        <v>32</v>
      </c>
    </row>
    <row r="21" spans="2:47" ht="24.75" customHeight="1">
      <c r="B21" s="117" t="s">
        <v>78</v>
      </c>
      <c r="H21" s="8" t="s">
        <v>12</v>
      </c>
      <c r="I21" s="8" t="str">
        <f>"A₁= "&amp;J18&amp;" ×"&amp;U19&amp;" = "</f>
        <v>A₁= 150 ×14 = </v>
      </c>
      <c r="N21" s="21">
        <f>J18*U19</f>
        <v>2100</v>
      </c>
      <c r="O21" s="23"/>
      <c r="P21" s="8" t="s">
        <v>32</v>
      </c>
      <c r="S21" s="8" t="str">
        <f>IF(N21&gt;=T20,"≥","＜")</f>
        <v>≥</v>
      </c>
      <c r="U21" s="7" t="s">
        <v>43</v>
      </c>
      <c r="X21" s="7" t="s">
        <v>15</v>
      </c>
      <c r="Z21" s="8" t="str">
        <f>IF(N21&gt;=T20,"O.K","N.G")</f>
        <v>O.K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2:47" ht="24.75" customHeight="1">
      <c r="B22" s="119" t="s">
        <v>271</v>
      </c>
      <c r="K22" s="8" t="s">
        <v>12</v>
      </c>
      <c r="L22" s="8" t="str">
        <f>"I₁= ⅓ × "&amp;U19&amp;" × "&amp;J18&amp;"³="</f>
        <v>I₁= ⅓ × 14 × 150³=</v>
      </c>
      <c r="R22" s="17">
        <f>ROUND(U19*J18^3/3,3)</f>
        <v>15750000</v>
      </c>
      <c r="S22" s="23"/>
      <c r="T22" s="23"/>
      <c r="U22" s="7" t="s">
        <v>44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2:47" ht="24.75" customHeight="1">
      <c r="B23" s="8" t="s">
        <v>272</v>
      </c>
      <c r="H23" s="8" t="s">
        <v>12</v>
      </c>
      <c r="L23" s="23">
        <f>ROUND(J15/J16,3)</f>
        <v>0.521</v>
      </c>
      <c r="M23" s="23"/>
      <c r="N23" s="11" t="str">
        <f>IF(L23&lt;Q23,"＜","＞")</f>
        <v>＜</v>
      </c>
      <c r="O23" s="23" t="s">
        <v>45</v>
      </c>
      <c r="P23" s="23"/>
      <c r="Q23" s="24">
        <f>M26</f>
        <v>2.628971466933421</v>
      </c>
      <c r="R23" s="23"/>
      <c r="S23" s="23"/>
      <c r="T23" s="23"/>
      <c r="U23" s="7"/>
      <c r="AB23" s="8"/>
      <c r="AC23" s="115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2:47" ht="24.75" customHeight="1">
      <c r="B24" s="7" t="s">
        <v>273</v>
      </c>
      <c r="G24" s="8" t="s">
        <v>274</v>
      </c>
      <c r="M24" s="8" t="str">
        <f>R22&amp;" / ("&amp;J16&amp;" × "&amp;J17&amp;"³/ 11 ) ="</f>
        <v>15750000 / (2400 × 21³/ 11 ) =</v>
      </c>
      <c r="V24" s="24">
        <f>R22/(J16*J17^3/11)</f>
        <v>7.794784580498867</v>
      </c>
      <c r="W24" s="23"/>
      <c r="AB24" s="8"/>
      <c r="AC24" s="10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2:6" ht="24.75" customHeight="1">
      <c r="B25" s="25"/>
      <c r="C25" s="25"/>
      <c r="D25" s="25"/>
      <c r="E25" s="25"/>
      <c r="F25" s="25"/>
    </row>
    <row r="26" spans="2:14" ht="24.75" customHeight="1">
      <c r="B26" s="8" t="s">
        <v>275</v>
      </c>
      <c r="G26" s="25"/>
      <c r="H26" s="8" t="s">
        <v>12</v>
      </c>
      <c r="M26" s="24">
        <f>(1+(O14*V24))^(1/4)</f>
        <v>2.628971466933421</v>
      </c>
      <c r="N26" s="23"/>
    </row>
    <row r="27" spans="2:20" ht="24.75" customHeight="1">
      <c r="B27" s="8" t="s">
        <v>276</v>
      </c>
      <c r="I27" s="8" t="s">
        <v>12</v>
      </c>
      <c r="M27" s="8" t="str">
        <f>N21&amp;" / ( "&amp;J16&amp;" × "&amp;J17&amp;" ) ="</f>
        <v>2100 / ( 2400 × 21 ) =</v>
      </c>
      <c r="S27" s="26">
        <f>N21/(J16*J17)</f>
        <v>0.041666666666666664</v>
      </c>
      <c r="T27" s="23"/>
    </row>
    <row r="28" ht="24.75" customHeight="1">
      <c r="B28" s="72" t="s">
        <v>277</v>
      </c>
    </row>
    <row r="29" spans="3:29" ht="24.75" customHeight="1">
      <c r="C29" s="27" t="s">
        <v>278</v>
      </c>
      <c r="D29" s="11" t="s">
        <v>9</v>
      </c>
      <c r="E29" s="8" t="s">
        <v>46</v>
      </c>
      <c r="AC29" s="1"/>
    </row>
    <row r="30" spans="4:16" ht="24.75" customHeight="1">
      <c r="D30" s="11" t="s">
        <v>9</v>
      </c>
      <c r="E30" s="23" t="str">
        <f>0.65&amp;" (0/"&amp;O14&amp;")²+ 0.13 (0/"&amp;O14&amp;") + 1.0 ="</f>
        <v>0.65 (0/6)²+ 0.13 (0/6) + 1.0 =</v>
      </c>
      <c r="F30" s="23"/>
      <c r="G30" s="23"/>
      <c r="H30" s="23"/>
      <c r="I30" s="23"/>
      <c r="J30" s="23"/>
      <c r="K30" s="23"/>
      <c r="L30" s="23"/>
      <c r="M30" s="23"/>
      <c r="N30" s="22">
        <f>ROUND(0.65*(0/O14)^2+0.13*(0/O14)+1,3)</f>
        <v>1</v>
      </c>
      <c r="O30" s="28"/>
      <c r="P30" s="23" t="s">
        <v>7</v>
      </c>
    </row>
    <row r="31" spans="4:29" ht="24.75" customHeight="1">
      <c r="D31" s="7" t="s">
        <v>279</v>
      </c>
      <c r="E31" s="25"/>
      <c r="AC31" s="1"/>
    </row>
    <row r="32" ht="24.75" customHeight="1">
      <c r="C32" s="108" t="s">
        <v>82</v>
      </c>
    </row>
    <row r="33" spans="1:27" ht="24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2:67" ht="24.75" customHeight="1">
      <c r="B34" s="72" t="s">
        <v>280</v>
      </c>
      <c r="I34" s="76" t="s">
        <v>281</v>
      </c>
      <c r="AC34" s="142" t="s">
        <v>282</v>
      </c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3:70" ht="24.75" customHeight="1">
      <c r="C35" s="189" t="s">
        <v>283</v>
      </c>
      <c r="D35" s="189" t="s">
        <v>284</v>
      </c>
      <c r="E35" s="31"/>
      <c r="F35" s="32" t="s">
        <v>285</v>
      </c>
      <c r="G35" s="31"/>
      <c r="H35" s="189" t="s">
        <v>284</v>
      </c>
      <c r="I35" s="33">
        <f>J16</f>
        <v>2400</v>
      </c>
      <c r="J35" s="23"/>
      <c r="K35" s="33"/>
      <c r="L35" s="189" t="s">
        <v>284</v>
      </c>
      <c r="M35" s="193">
        <f>I35/(E36*N30*O14)</f>
        <v>18.181818181818183</v>
      </c>
      <c r="N35" s="193"/>
      <c r="O35" s="189" t="s">
        <v>33</v>
      </c>
      <c r="P35" s="189" t="str">
        <f>IF(M35&lt;R35,"＜","＞")</f>
        <v>＜</v>
      </c>
      <c r="Q35" s="189" t="s">
        <v>16</v>
      </c>
      <c r="R35" s="190">
        <f>J17</f>
        <v>21</v>
      </c>
      <c r="T35" s="189" t="str">
        <f>IF(L23&lt;=Q23,"であり、α ≤ αo なので","であり、α ＞αo なので")</f>
        <v>であり、α ≤ αo なので</v>
      </c>
      <c r="U35" s="189"/>
      <c r="V35" s="189"/>
      <c r="W35" s="189"/>
      <c r="X35" s="189"/>
      <c r="Y35" s="189"/>
      <c r="Z35" s="25"/>
      <c r="AA35" s="25"/>
      <c r="AC35" s="163">
        <v>2</v>
      </c>
      <c r="AD35" s="164"/>
      <c r="AE35" s="155"/>
      <c r="AF35" s="165" t="s">
        <v>286</v>
      </c>
      <c r="AG35" s="166"/>
      <c r="AH35" s="167"/>
      <c r="AI35" s="165" t="s">
        <v>287</v>
      </c>
      <c r="AJ35" s="166"/>
      <c r="AK35" s="167"/>
      <c r="AL35" s="165" t="s">
        <v>288</v>
      </c>
      <c r="AM35" s="166"/>
      <c r="AN35" s="167"/>
      <c r="AO35" s="147" t="s">
        <v>289</v>
      </c>
      <c r="AP35" s="148"/>
      <c r="AQ35" s="149"/>
      <c r="AR35" s="147" t="s">
        <v>35</v>
      </c>
      <c r="AS35" s="148"/>
      <c r="AT35" s="149"/>
      <c r="AU35" s="168" t="s">
        <v>290</v>
      </c>
      <c r="AV35" s="169"/>
      <c r="AW35" s="170"/>
      <c r="AX35" s="165" t="s">
        <v>291</v>
      </c>
      <c r="AY35" s="166"/>
      <c r="AZ35" s="167"/>
      <c r="BA35" s="165" t="s">
        <v>292</v>
      </c>
      <c r="BB35" s="166"/>
      <c r="BC35" s="167"/>
      <c r="BD35" s="165" t="s">
        <v>293</v>
      </c>
      <c r="BE35" s="166"/>
      <c r="BF35" s="167"/>
      <c r="BG35" s="168" t="s">
        <v>294</v>
      </c>
      <c r="BH35" s="169"/>
      <c r="BI35" s="170"/>
      <c r="BJ35" s="165" t="s">
        <v>295</v>
      </c>
      <c r="BK35" s="166"/>
      <c r="BL35" s="167"/>
      <c r="BM35" s="165" t="s">
        <v>296</v>
      </c>
      <c r="BN35" s="166"/>
      <c r="BO35" s="167"/>
      <c r="BP35" s="168" t="s">
        <v>297</v>
      </c>
      <c r="BQ35" s="169"/>
      <c r="BR35" s="170"/>
    </row>
    <row r="36" spans="3:70" ht="24.75" customHeight="1">
      <c r="C36" s="189"/>
      <c r="D36" s="189"/>
      <c r="E36" s="8">
        <f>HLOOKUP(H3,AF35:BR36,AC35,FALSE)</f>
        <v>22</v>
      </c>
      <c r="F36" s="189" t="s">
        <v>298</v>
      </c>
      <c r="G36" s="189"/>
      <c r="H36" s="189"/>
      <c r="I36" s="8" t="str">
        <f>E36&amp;" ×"&amp;N30&amp;" ×"&amp;O14</f>
        <v>22 ×1 ×6</v>
      </c>
      <c r="J36" s="35"/>
      <c r="L36" s="189"/>
      <c r="M36" s="193"/>
      <c r="N36" s="193"/>
      <c r="O36" s="189"/>
      <c r="P36" s="189"/>
      <c r="Q36" s="189"/>
      <c r="R36" s="190"/>
      <c r="T36" s="189"/>
      <c r="U36" s="189"/>
      <c r="V36" s="189"/>
      <c r="W36" s="189"/>
      <c r="X36" s="189"/>
      <c r="Y36" s="189"/>
      <c r="Z36" s="25"/>
      <c r="AA36" s="25"/>
      <c r="AC36" s="202" t="s">
        <v>299</v>
      </c>
      <c r="AD36" s="177"/>
      <c r="AE36" s="177"/>
      <c r="AF36" s="157">
        <v>28</v>
      </c>
      <c r="AG36" s="157"/>
      <c r="AH36" s="157"/>
      <c r="AI36" s="179">
        <f>AF36</f>
        <v>28</v>
      </c>
      <c r="AJ36" s="179"/>
      <c r="AK36" s="179"/>
      <c r="AL36" s="154">
        <f>AF36</f>
        <v>28</v>
      </c>
      <c r="AM36" s="154"/>
      <c r="AN36" s="154"/>
      <c r="AO36" s="157">
        <v>28</v>
      </c>
      <c r="AP36" s="157"/>
      <c r="AQ36" s="157"/>
      <c r="AR36" s="138">
        <v>24</v>
      </c>
      <c r="AS36" s="138"/>
      <c r="AT36" s="138"/>
      <c r="AU36" s="174">
        <f>AR36</f>
        <v>24</v>
      </c>
      <c r="AV36" s="174"/>
      <c r="AW36" s="174"/>
      <c r="AX36" s="138">
        <v>22</v>
      </c>
      <c r="AY36" s="138"/>
      <c r="AZ36" s="138"/>
      <c r="BA36" s="174">
        <f>AX36</f>
        <v>22</v>
      </c>
      <c r="BB36" s="174"/>
      <c r="BC36" s="174"/>
      <c r="BD36" s="174">
        <f>AX36</f>
        <v>22</v>
      </c>
      <c r="BE36" s="174"/>
      <c r="BF36" s="174"/>
      <c r="BG36" s="154">
        <f>AX36</f>
        <v>22</v>
      </c>
      <c r="BH36" s="154"/>
      <c r="BI36" s="154"/>
      <c r="BJ36" s="157">
        <v>22</v>
      </c>
      <c r="BK36" s="157"/>
      <c r="BL36" s="157"/>
      <c r="BM36" s="154">
        <f>BJ36</f>
        <v>22</v>
      </c>
      <c r="BN36" s="154"/>
      <c r="BO36" s="154"/>
      <c r="BP36" s="154">
        <f>BJ36</f>
        <v>22</v>
      </c>
      <c r="BQ36" s="154"/>
      <c r="BR36" s="154"/>
    </row>
    <row r="37" spans="2:70" ht="24.75" customHeight="1">
      <c r="B37" s="108" t="str">
        <f>IF(AND(L23&lt;=Q23,R35&gt;=M35),"α ≤ αo　及び　t ≥ to　より、",IF(AND(L23&lt;=Q23,R35&lt;M35),"α ≤ αo　及び　t ＜  to　より、",IF(AND(L23&gt;Q23,R35&gt;=M35),"α ＞αo　及び　t ≥ to　より、","α ＞αo　及び　t ＜ to　より、")))</f>
        <v>α ≤ αo　及び　t ≥ to　より、</v>
      </c>
      <c r="C37" s="11"/>
      <c r="D37" s="11"/>
      <c r="F37" s="11"/>
      <c r="G37" s="11"/>
      <c r="H37" s="11"/>
      <c r="J37" s="73"/>
      <c r="L37" s="11"/>
      <c r="M37" s="106"/>
      <c r="N37" s="106"/>
      <c r="O37" s="11"/>
      <c r="P37" s="11"/>
      <c r="Q37" s="11"/>
      <c r="R37" s="34"/>
      <c r="T37" s="11"/>
      <c r="U37" s="11"/>
      <c r="V37" s="11"/>
      <c r="W37" s="11"/>
      <c r="X37" s="11"/>
      <c r="Y37" s="11"/>
      <c r="Z37" s="25"/>
      <c r="AA37" s="25"/>
      <c r="AC37" s="122"/>
      <c r="AD37" s="130"/>
      <c r="AE37" s="107"/>
      <c r="AF37" s="112"/>
      <c r="AG37" s="112"/>
      <c r="AH37" s="112"/>
      <c r="AI37" s="114"/>
      <c r="AJ37" s="114"/>
      <c r="AK37" s="114"/>
      <c r="AL37" s="113"/>
      <c r="AM37" s="113"/>
      <c r="AN37" s="113"/>
      <c r="AO37" s="112"/>
      <c r="AP37" s="112"/>
      <c r="AQ37" s="112"/>
      <c r="AR37" s="112"/>
      <c r="AS37" s="112"/>
      <c r="AT37" s="112"/>
      <c r="AU37" s="113"/>
      <c r="AV37" s="113"/>
      <c r="AW37" s="113"/>
      <c r="AX37" s="112"/>
      <c r="AY37" s="112"/>
      <c r="AZ37" s="112"/>
      <c r="BA37" s="113"/>
      <c r="BB37" s="113"/>
      <c r="BC37" s="113"/>
      <c r="BD37" s="113"/>
      <c r="BE37" s="113"/>
      <c r="BF37" s="113"/>
      <c r="BG37" s="113"/>
      <c r="BH37" s="113"/>
      <c r="BI37" s="113"/>
      <c r="BJ37" s="112"/>
      <c r="BK37" s="112"/>
      <c r="BL37" s="112"/>
      <c r="BM37" s="113"/>
      <c r="BN37" s="113"/>
      <c r="BO37" s="113"/>
      <c r="BP37" s="113"/>
      <c r="BQ37" s="113"/>
      <c r="BR37" s="113"/>
    </row>
    <row r="38" spans="2:15" ht="24.75" customHeight="1">
      <c r="B38" s="7" t="s">
        <v>300</v>
      </c>
      <c r="E38" s="8" t="str">
        <f>IF(AND(L23&lt;=Q23,R35&gt;=M35),"4α²n (to/t)²( 1+nδ₁) - (α²+1)²/ n",IF(AND(L23&lt;=Q23,R35&lt;M35),"4α²n ( 1+nδ₁) - (α²+1)²/ n",IF(AND(L23&gt;Q23,R35&gt;=M35),"1/n[{2n²(to/t)²( 1+nδ₁) - 1}² - 1 ]","1/n[{2n²( 1+nδ₁)² - 1}² - 1 ]")))</f>
        <v>4α²n (to/t)²( 1+nδ₁) - (α²+1)²/ n</v>
      </c>
      <c r="O38" s="7"/>
    </row>
    <row r="39" spans="1:27" s="36" customFormat="1" ht="24.75" customHeight="1">
      <c r="A39" s="9"/>
      <c r="B39" s="9"/>
      <c r="D39" s="37" t="s">
        <v>284</v>
      </c>
      <c r="E39" s="26">
        <f>IF(AND(L23&lt;=Q23,R35&gt;=M35),4*L23^2*O14*(M35/R35)^2*(1+O14*S27)-(L23^2+1)^2/O14,IF(AND(L23&lt;=Q23,R35&lt;M35),4*L23^2*O14*(1+O14*S27)-(L23^2+1)^2/O14,IF(AND(L23&gt;Q23,R35&gt;=M35),1/O14*((2*O14^2*(M35/R35)^2*(1+O14*S27)-1)^2-1),1/O14*((2*O14^2*(1+O14*S27)-1)^2-1))))</f>
        <v>5.834828881162766</v>
      </c>
      <c r="F39" s="23"/>
      <c r="G39" s="9"/>
      <c r="H39" s="9"/>
      <c r="I39" s="9"/>
      <c r="J39" s="9"/>
      <c r="K39" s="9"/>
      <c r="L39" s="9"/>
      <c r="M39" s="9"/>
      <c r="N39" s="9"/>
      <c r="O39" s="3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ht="24.75" customHeight="1">
      <c r="C40" s="7"/>
    </row>
    <row r="41" spans="3:20" ht="24.75" customHeight="1">
      <c r="C41" s="39"/>
      <c r="E41" s="40"/>
      <c r="F41" s="23"/>
      <c r="I41" s="41">
        <f>ROUND(J16*J17^3*E39/11,3)</f>
        <v>11789749.149</v>
      </c>
      <c r="J41" s="23"/>
      <c r="K41" s="23"/>
      <c r="M41" s="8" t="str">
        <f>IF(I41&lt;P41,"＜","＞")</f>
        <v>＜</v>
      </c>
      <c r="P41" s="42">
        <f>R22</f>
        <v>15750000</v>
      </c>
      <c r="Q41" s="23"/>
      <c r="R41" s="23"/>
      <c r="T41" s="8" t="str">
        <f>IF(I41&lt;P41,"O.K","N.G")</f>
        <v>O.K</v>
      </c>
    </row>
    <row r="42" spans="3:16" ht="24.75" customHeight="1">
      <c r="C42" s="39"/>
      <c r="E42" s="40"/>
      <c r="F42" s="23"/>
      <c r="H42" s="23"/>
      <c r="I42" s="23"/>
      <c r="J42" s="23"/>
      <c r="O42" s="40"/>
      <c r="P42" s="23"/>
    </row>
    <row r="43" spans="2:16" ht="24.75" customHeight="1">
      <c r="B43" s="8" t="s">
        <v>301</v>
      </c>
      <c r="H43" s="23"/>
      <c r="I43" s="76" t="s">
        <v>302</v>
      </c>
      <c r="J43" s="23"/>
      <c r="O43" s="40"/>
      <c r="P43" s="23"/>
    </row>
    <row r="44" spans="3:67" ht="24.75" customHeight="1">
      <c r="C44" s="8" t="s">
        <v>303</v>
      </c>
      <c r="E44" s="40"/>
      <c r="F44" s="23"/>
      <c r="H44" s="194">
        <f>J18</f>
        <v>150</v>
      </c>
      <c r="I44" s="194"/>
      <c r="J44" s="43" t="s">
        <v>304</v>
      </c>
      <c r="K44" s="21">
        <f>U19</f>
        <v>14</v>
      </c>
      <c r="L44" s="23"/>
      <c r="M44" s="11" t="s">
        <v>284</v>
      </c>
      <c r="N44" s="196">
        <f>H44/K44</f>
        <v>10.714285714285714</v>
      </c>
      <c r="O44" s="196"/>
      <c r="P44" s="23"/>
      <c r="R44" s="8" t="str">
        <f>IF(N44&gt;16,"鋼材厚さ確認要望",IF(N44&lt;=LOOKUP(AC46,AF46:BR46,AF48:BR48),"∴ b / t ≤ "&amp;LOOKUP(AC46,AF46:BR46,AF48:BR48),"∴ 16  &lt; b / t ≤ "&amp;LOOKUP(AC46,AF46:BR46,AF48:BR48)))</f>
        <v>∴ 16  &lt; b / t ≤ 10.5</v>
      </c>
      <c r="S44" s="23"/>
      <c r="T44" s="23"/>
      <c r="U44" s="23"/>
      <c r="V44" s="23"/>
      <c r="W44" s="23"/>
      <c r="X44" s="23"/>
      <c r="Y44" s="23"/>
      <c r="AC44" s="29" t="s">
        <v>305</v>
      </c>
      <c r="AD44" s="29"/>
      <c r="AE44" s="29"/>
      <c r="AF44" s="29"/>
      <c r="AG44" s="29"/>
      <c r="AH44" s="29"/>
      <c r="AI44" s="29"/>
      <c r="AJ44" s="29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</row>
    <row r="45" spans="3:70" ht="24.75" customHeight="1">
      <c r="C45" s="8" t="s">
        <v>306</v>
      </c>
      <c r="E45" s="50" t="str">
        <f>IF(N44&gt;16,"適用基準なし- リブの最小厚さ確認要望",IF(N44&lt;=LOOKUP(AC46,AF46:BR46,AF48:BR48),ROUND(LOOKUP(AC46,AF46:BR46,AF47:BR47),1)&amp;" N/㎟","23000 ×( t / b )² =  "&amp;ROUND(23000/N44^2,1)&amp;" N/㎟"))</f>
        <v>23000 ×( t / b )² =  200.4 N/㎟</v>
      </c>
      <c r="F45" s="26"/>
      <c r="G45" s="23"/>
      <c r="H45" s="23"/>
      <c r="I45" s="23"/>
      <c r="J45" s="23"/>
      <c r="K45" s="23"/>
      <c r="L45" s="23"/>
      <c r="M45" s="23"/>
      <c r="N45" s="23"/>
      <c r="O45" s="40"/>
      <c r="P45" s="23" t="str">
        <f>IF(N44&gt;16,"無効",IF(IF(N44&lt;=LOOKUP(AC46,AF46:BR46,AF48:BR48),ROUND(LOOKUP(AC46,AF46:BR46,AF47:BR47),1),ROUND(23000/N44^2,1))&lt;T45,"＜","＞"))</f>
        <v>＞</v>
      </c>
      <c r="R45" s="8" t="s">
        <v>307</v>
      </c>
      <c r="T45" s="195">
        <v>-27.8502</v>
      </c>
      <c r="U45" s="195"/>
      <c r="V45" s="195"/>
      <c r="W45" s="8" t="s">
        <v>47</v>
      </c>
      <c r="Z45" s="13" t="str">
        <f>IF(P45="＞","O.K","N.G")</f>
        <v>O.K</v>
      </c>
      <c r="AC45" s="163">
        <f>AC59</f>
        <v>2</v>
      </c>
      <c r="AD45" s="164"/>
      <c r="AE45" s="155"/>
      <c r="AF45" s="165" t="s">
        <v>286</v>
      </c>
      <c r="AG45" s="166"/>
      <c r="AH45" s="167"/>
      <c r="AI45" s="165" t="s">
        <v>287</v>
      </c>
      <c r="AJ45" s="166"/>
      <c r="AK45" s="167"/>
      <c r="AL45" s="165" t="s">
        <v>288</v>
      </c>
      <c r="AM45" s="166"/>
      <c r="AN45" s="167"/>
      <c r="AO45" s="147" t="s">
        <v>289</v>
      </c>
      <c r="AP45" s="148"/>
      <c r="AQ45" s="149"/>
      <c r="AR45" s="147" t="s">
        <v>35</v>
      </c>
      <c r="AS45" s="148"/>
      <c r="AT45" s="149"/>
      <c r="AU45" s="168" t="s">
        <v>290</v>
      </c>
      <c r="AV45" s="169"/>
      <c r="AW45" s="170"/>
      <c r="AX45" s="165" t="s">
        <v>291</v>
      </c>
      <c r="AY45" s="166"/>
      <c r="AZ45" s="167"/>
      <c r="BA45" s="165" t="s">
        <v>292</v>
      </c>
      <c r="BB45" s="166"/>
      <c r="BC45" s="167"/>
      <c r="BD45" s="165" t="s">
        <v>293</v>
      </c>
      <c r="BE45" s="166"/>
      <c r="BF45" s="167"/>
      <c r="BG45" s="168" t="s">
        <v>294</v>
      </c>
      <c r="BH45" s="169"/>
      <c r="BI45" s="170"/>
      <c r="BJ45" s="165" t="s">
        <v>295</v>
      </c>
      <c r="BK45" s="166"/>
      <c r="BL45" s="167"/>
      <c r="BM45" s="165" t="s">
        <v>296</v>
      </c>
      <c r="BN45" s="166"/>
      <c r="BO45" s="167"/>
      <c r="BP45" s="168" t="s">
        <v>297</v>
      </c>
      <c r="BQ45" s="169"/>
      <c r="BR45" s="170"/>
    </row>
    <row r="46" spans="3:70" ht="24.75" customHeight="1">
      <c r="C46" s="39"/>
      <c r="E46" s="40"/>
      <c r="F46" s="23"/>
      <c r="O46" s="40"/>
      <c r="P46" s="23"/>
      <c r="R46" s="44" t="s">
        <v>308</v>
      </c>
      <c r="S46" s="44"/>
      <c r="T46" s="197">
        <v>4</v>
      </c>
      <c r="U46" s="197"/>
      <c r="V46" s="77" t="s">
        <v>309</v>
      </c>
      <c r="W46" s="44"/>
      <c r="X46" s="44"/>
      <c r="Y46" s="44"/>
      <c r="AC46" s="175">
        <f>HLOOKUP(H3,AF45:BR46,2,FALSE)</f>
        <v>9</v>
      </c>
      <c r="AD46" s="175"/>
      <c r="AE46" s="175"/>
      <c r="AF46" s="153">
        <v>1</v>
      </c>
      <c r="AG46" s="153"/>
      <c r="AH46" s="153"/>
      <c r="AI46" s="153">
        <v>2</v>
      </c>
      <c r="AJ46" s="153"/>
      <c r="AK46" s="153"/>
      <c r="AL46" s="153">
        <v>3</v>
      </c>
      <c r="AM46" s="153"/>
      <c r="AN46" s="153"/>
      <c r="AO46" s="153">
        <v>4</v>
      </c>
      <c r="AP46" s="153"/>
      <c r="AQ46" s="153"/>
      <c r="AR46" s="153">
        <v>5</v>
      </c>
      <c r="AS46" s="153"/>
      <c r="AT46" s="153"/>
      <c r="AU46" s="153">
        <v>6</v>
      </c>
      <c r="AV46" s="153"/>
      <c r="AW46" s="153"/>
      <c r="AX46" s="153">
        <v>7</v>
      </c>
      <c r="AY46" s="153"/>
      <c r="AZ46" s="153"/>
      <c r="BA46" s="153">
        <v>8</v>
      </c>
      <c r="BB46" s="153"/>
      <c r="BC46" s="153"/>
      <c r="BD46" s="153">
        <v>9</v>
      </c>
      <c r="BE46" s="153"/>
      <c r="BF46" s="153"/>
      <c r="BG46" s="153">
        <v>10</v>
      </c>
      <c r="BH46" s="153"/>
      <c r="BI46" s="153"/>
      <c r="BJ46" s="153">
        <v>11</v>
      </c>
      <c r="BK46" s="153"/>
      <c r="BL46" s="153"/>
      <c r="BM46" s="153">
        <v>12</v>
      </c>
      <c r="BN46" s="153"/>
      <c r="BO46" s="153"/>
      <c r="BP46" s="153">
        <v>13</v>
      </c>
      <c r="BQ46" s="153"/>
      <c r="BR46" s="153"/>
    </row>
    <row r="47" spans="1:70" ht="24.75" customHeight="1">
      <c r="A47" s="7" t="s">
        <v>310</v>
      </c>
      <c r="H47" s="9" t="s">
        <v>311</v>
      </c>
      <c r="I47" s="156" t="s">
        <v>71</v>
      </c>
      <c r="J47" s="156"/>
      <c r="K47" s="156"/>
      <c r="L47" s="156"/>
      <c r="M47" s="7" t="s">
        <v>312</v>
      </c>
      <c r="N47" s="9"/>
      <c r="V47" s="25"/>
      <c r="W47" s="25"/>
      <c r="X47" s="25"/>
      <c r="Y47" s="25"/>
      <c r="Z47" s="25"/>
      <c r="AA47" s="25"/>
      <c r="AB47" s="45"/>
      <c r="AC47" s="141" t="s">
        <v>313</v>
      </c>
      <c r="AD47" s="136"/>
      <c r="AE47" s="137"/>
      <c r="AF47" s="152">
        <f>IF(AC45=2,140,125)</f>
        <v>140</v>
      </c>
      <c r="AG47" s="157"/>
      <c r="AH47" s="157"/>
      <c r="AI47" s="154">
        <f>AF47</f>
        <v>140</v>
      </c>
      <c r="AJ47" s="154"/>
      <c r="AK47" s="154"/>
      <c r="AL47" s="154">
        <f>AF47</f>
        <v>140</v>
      </c>
      <c r="AM47" s="154"/>
      <c r="AN47" s="154"/>
      <c r="AO47" s="154">
        <f>AI47</f>
        <v>140</v>
      </c>
      <c r="AP47" s="154"/>
      <c r="AQ47" s="154"/>
      <c r="AR47" s="138">
        <f>IF(AC45=2,185,175)</f>
        <v>185</v>
      </c>
      <c r="AS47" s="138"/>
      <c r="AT47" s="138"/>
      <c r="AU47" s="138">
        <v>185</v>
      </c>
      <c r="AV47" s="138"/>
      <c r="AW47" s="138"/>
      <c r="AX47" s="138">
        <f>IF(AC45=2,210,IF(AC45=3,195,190))</f>
        <v>210</v>
      </c>
      <c r="AY47" s="138"/>
      <c r="AZ47" s="138"/>
      <c r="BA47" s="155">
        <f>AX47</f>
        <v>210</v>
      </c>
      <c r="BB47" s="154"/>
      <c r="BC47" s="154"/>
      <c r="BD47" s="155">
        <f>AX47</f>
        <v>210</v>
      </c>
      <c r="BE47" s="154"/>
      <c r="BF47" s="154"/>
      <c r="BG47" s="152">
        <v>210</v>
      </c>
      <c r="BH47" s="157"/>
      <c r="BI47" s="157"/>
      <c r="BJ47" s="157">
        <f>IF(AC45=2,255,IF(AC45=3,245,240))</f>
        <v>255</v>
      </c>
      <c r="BK47" s="157"/>
      <c r="BL47" s="157"/>
      <c r="BM47" s="154">
        <f>BJ47</f>
        <v>255</v>
      </c>
      <c r="BN47" s="154"/>
      <c r="BO47" s="154"/>
      <c r="BP47" s="157">
        <v>255</v>
      </c>
      <c r="BQ47" s="157"/>
      <c r="BR47" s="157"/>
    </row>
    <row r="48" spans="1:70" ht="24.75" customHeight="1">
      <c r="A48" s="25"/>
      <c r="B48" s="8" t="s">
        <v>314</v>
      </c>
      <c r="H48" s="8" t="s">
        <v>48</v>
      </c>
      <c r="J48" s="46">
        <v>350</v>
      </c>
      <c r="K48" s="8" t="s">
        <v>33</v>
      </c>
      <c r="L48" s="25"/>
      <c r="Z48" s="47"/>
      <c r="AA48" s="48">
        <f>J17</f>
        <v>21</v>
      </c>
      <c r="AC48" s="158" t="str">
        <f>IF(AC45=2,"40",IF(AC45=3,"40-70","75-100"))</f>
        <v>40</v>
      </c>
      <c r="AD48" s="159"/>
      <c r="AE48" s="160"/>
      <c r="AF48" s="161">
        <f>IF(AC45=2,12.8,13.6)</f>
        <v>12.8</v>
      </c>
      <c r="AG48" s="162"/>
      <c r="AH48" s="162"/>
      <c r="AI48" s="139">
        <f>AF48</f>
        <v>12.8</v>
      </c>
      <c r="AJ48" s="140"/>
      <c r="AK48" s="140"/>
      <c r="AL48" s="139">
        <f>AF48</f>
        <v>12.8</v>
      </c>
      <c r="AM48" s="140"/>
      <c r="AN48" s="140"/>
      <c r="AO48" s="139">
        <f>AI48</f>
        <v>12.8</v>
      </c>
      <c r="AP48" s="140"/>
      <c r="AQ48" s="140"/>
      <c r="AR48" s="161">
        <f>IF(AC45=2,11.2,11.5)</f>
        <v>11.2</v>
      </c>
      <c r="AS48" s="162"/>
      <c r="AT48" s="162"/>
      <c r="AU48" s="161">
        <v>11.2</v>
      </c>
      <c r="AV48" s="162"/>
      <c r="AW48" s="162"/>
      <c r="AX48" s="161">
        <f>IF(AC45=2,10.5,IF(AC45=3,10.9,11))</f>
        <v>10.5</v>
      </c>
      <c r="AY48" s="162"/>
      <c r="AZ48" s="162"/>
      <c r="BA48" s="139">
        <f>AX48</f>
        <v>10.5</v>
      </c>
      <c r="BB48" s="140"/>
      <c r="BC48" s="140"/>
      <c r="BD48" s="139">
        <f>AX48</f>
        <v>10.5</v>
      </c>
      <c r="BE48" s="140"/>
      <c r="BF48" s="140"/>
      <c r="BG48" s="161">
        <v>10.5</v>
      </c>
      <c r="BH48" s="162"/>
      <c r="BI48" s="162"/>
      <c r="BJ48" s="161">
        <f>IF(AC45=2,9.5,IF(AC45=3,9.7,9.8))</f>
        <v>9.5</v>
      </c>
      <c r="BK48" s="162"/>
      <c r="BL48" s="162"/>
      <c r="BM48" s="139">
        <f>BJ48</f>
        <v>9.5</v>
      </c>
      <c r="BN48" s="140"/>
      <c r="BO48" s="140"/>
      <c r="BP48" s="161">
        <v>9.5</v>
      </c>
      <c r="BQ48" s="162"/>
      <c r="BR48" s="162"/>
    </row>
    <row r="49" spans="2:26" ht="24.75" customHeight="1">
      <c r="B49" s="8" t="s">
        <v>315</v>
      </c>
      <c r="H49" s="8" t="s">
        <v>49</v>
      </c>
      <c r="J49" s="49">
        <v>12</v>
      </c>
      <c r="K49" s="8" t="s">
        <v>33</v>
      </c>
      <c r="Q49" s="24"/>
      <c r="R49" s="50">
        <f>J49</f>
        <v>12</v>
      </c>
      <c r="S49" s="51"/>
      <c r="V49" s="52">
        <f>J48</f>
        <v>350</v>
      </c>
      <c r="Z49" s="53"/>
    </row>
    <row r="50" spans="2:22" ht="24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M50" s="11"/>
      <c r="N50" s="25"/>
      <c r="V50" s="54">
        <v>16</v>
      </c>
    </row>
    <row r="51" spans="2:28" ht="24.75" customHeight="1">
      <c r="B51" s="8" t="s">
        <v>316</v>
      </c>
      <c r="S51" s="55">
        <v>200</v>
      </c>
      <c r="T51" s="56"/>
      <c r="AB51" s="45"/>
    </row>
    <row r="52" spans="3:33" ht="24.75" customHeight="1">
      <c r="C52" s="8" t="s">
        <v>317</v>
      </c>
      <c r="E52" s="7" t="s">
        <v>318</v>
      </c>
      <c r="J52" s="25"/>
      <c r="K52" s="25"/>
      <c r="L52" s="25"/>
      <c r="M52" s="25"/>
      <c r="N52" s="25"/>
      <c r="P52" s="41">
        <f>ROUND((J16*J17^3/11)*((1+O14*E39)/(4*L23^3)),3)</f>
        <v>128621632.709</v>
      </c>
      <c r="Q52" s="23"/>
      <c r="R52" s="23"/>
      <c r="S52" s="23"/>
      <c r="T52" s="7" t="s">
        <v>44</v>
      </c>
      <c r="V52" s="25"/>
      <c r="W52" s="25"/>
      <c r="X52" s="25"/>
      <c r="Y52" s="25"/>
      <c r="AB52" s="45"/>
      <c r="AC52" s="1"/>
      <c r="AF52" s="57"/>
      <c r="AG52" s="57"/>
    </row>
    <row r="53" spans="2:28" ht="24.75" customHeight="1">
      <c r="B53" s="8" t="s">
        <v>319</v>
      </c>
      <c r="X53" s="25"/>
      <c r="Y53" s="25"/>
      <c r="Z53" s="25"/>
      <c r="AA53" s="25"/>
      <c r="AB53" s="45"/>
    </row>
    <row r="54" spans="3:23" ht="24.75" customHeight="1">
      <c r="C54" s="7" t="s">
        <v>320</v>
      </c>
      <c r="E54" s="58" t="s">
        <v>17</v>
      </c>
      <c r="F54" s="23" t="s">
        <v>5</v>
      </c>
      <c r="G54" s="34">
        <f>J49</f>
        <v>12</v>
      </c>
      <c r="H54" s="23" t="s">
        <v>5</v>
      </c>
      <c r="I54" s="59">
        <f>J48</f>
        <v>350</v>
      </c>
      <c r="J54" s="23"/>
      <c r="K54" s="21">
        <f>S51</f>
        <v>200</v>
      </c>
      <c r="L54" s="28"/>
      <c r="M54" s="23" t="s">
        <v>5</v>
      </c>
      <c r="N54" s="60">
        <f>V50</f>
        <v>16</v>
      </c>
      <c r="O54" s="23"/>
      <c r="P54" s="23"/>
      <c r="Q54" s="23"/>
      <c r="R54" s="21">
        <f>K54*N54</f>
        <v>3200</v>
      </c>
      <c r="S54" s="28"/>
      <c r="T54" s="23" t="s">
        <v>5</v>
      </c>
      <c r="U54" s="61">
        <f>V49+V50/2</f>
        <v>358</v>
      </c>
      <c r="V54" s="62"/>
      <c r="W54" s="23"/>
    </row>
    <row r="55" spans="4:19" ht="24.75" customHeight="1">
      <c r="D55" s="23" t="s">
        <v>9</v>
      </c>
      <c r="E55" s="41">
        <f>ROUND(1/3*G54*I54^3+K54*N54^3/12+R54*U54^2,3)</f>
        <v>581693066.667</v>
      </c>
      <c r="F55" s="23"/>
      <c r="G55" s="23"/>
      <c r="H55" s="23"/>
      <c r="I55" s="7" t="s">
        <v>44</v>
      </c>
      <c r="J55" s="25"/>
      <c r="K55" s="11" t="str">
        <f>IF(E55&gt;P52,"＞","＜")</f>
        <v>＞</v>
      </c>
      <c r="L55" s="8" t="s">
        <v>317</v>
      </c>
      <c r="P55" s="8" t="str">
        <f>IF(E55&gt;P52,"O.K","N.G")</f>
        <v>O.K</v>
      </c>
      <c r="R55" s="25"/>
      <c r="S55" s="25"/>
    </row>
    <row r="56" spans="4:19" ht="24.75" customHeight="1">
      <c r="D56" s="23"/>
      <c r="E56" s="23"/>
      <c r="F56" s="23"/>
      <c r="G56" s="23"/>
      <c r="H56" s="7"/>
      <c r="R56" s="25"/>
      <c r="S56" s="25"/>
    </row>
    <row r="57" spans="1:67" s="5" customFormat="1" ht="24.75" customHeight="1">
      <c r="A57" s="4" t="s">
        <v>321</v>
      </c>
      <c r="B57" s="4"/>
      <c r="C57" s="4"/>
      <c r="D57" s="63"/>
      <c r="E57" s="63"/>
      <c r="F57" s="63"/>
      <c r="G57" s="63"/>
      <c r="H57" s="4"/>
      <c r="I57" s="4"/>
      <c r="J57" s="4"/>
      <c r="K57" s="4"/>
      <c r="L57" s="4"/>
      <c r="M57" s="4"/>
      <c r="N57" s="4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</row>
    <row r="58" spans="1:70" ht="24.75" customHeight="1">
      <c r="A58" s="37" t="s">
        <v>322</v>
      </c>
      <c r="H58" s="9" t="s">
        <v>311</v>
      </c>
      <c r="I58" s="156" t="s">
        <v>70</v>
      </c>
      <c r="J58" s="156"/>
      <c r="K58" s="156"/>
      <c r="L58" s="156"/>
      <c r="M58" s="7" t="s">
        <v>312</v>
      </c>
      <c r="N58" s="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C58" s="142" t="s">
        <v>323</v>
      </c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6"/>
      <c r="BQ58" s="36"/>
      <c r="BR58" s="36"/>
    </row>
    <row r="59" spans="2:70" ht="24.75" customHeight="1">
      <c r="B59" s="8" t="s">
        <v>324</v>
      </c>
      <c r="H59" s="8" t="s">
        <v>12</v>
      </c>
      <c r="I59" s="8" t="s">
        <v>18</v>
      </c>
      <c r="J59" s="65">
        <v>1</v>
      </c>
      <c r="AB59" s="8"/>
      <c r="AC59" s="198">
        <f>IF(J67&lt;=40,2,IF(J67&lt;=75,3,4))</f>
        <v>2</v>
      </c>
      <c r="AD59" s="199"/>
      <c r="AE59" s="200"/>
      <c r="AF59" s="165" t="s">
        <v>286</v>
      </c>
      <c r="AG59" s="166"/>
      <c r="AH59" s="167"/>
      <c r="AI59" s="165" t="s">
        <v>287</v>
      </c>
      <c r="AJ59" s="166"/>
      <c r="AK59" s="167"/>
      <c r="AL59" s="165" t="s">
        <v>288</v>
      </c>
      <c r="AM59" s="166"/>
      <c r="AN59" s="167"/>
      <c r="AO59" s="147" t="s">
        <v>289</v>
      </c>
      <c r="AP59" s="148"/>
      <c r="AQ59" s="149"/>
      <c r="AR59" s="147" t="s">
        <v>35</v>
      </c>
      <c r="AS59" s="148"/>
      <c r="AT59" s="149"/>
      <c r="AU59" s="168" t="s">
        <v>290</v>
      </c>
      <c r="AV59" s="169"/>
      <c r="AW59" s="170"/>
      <c r="AX59" s="165" t="s">
        <v>291</v>
      </c>
      <c r="AY59" s="166"/>
      <c r="AZ59" s="167"/>
      <c r="BA59" s="165" t="s">
        <v>292</v>
      </c>
      <c r="BB59" s="166"/>
      <c r="BC59" s="167"/>
      <c r="BD59" s="165" t="s">
        <v>293</v>
      </c>
      <c r="BE59" s="166"/>
      <c r="BF59" s="167"/>
      <c r="BG59" s="168" t="s">
        <v>294</v>
      </c>
      <c r="BH59" s="169"/>
      <c r="BI59" s="170"/>
      <c r="BJ59" s="165" t="s">
        <v>295</v>
      </c>
      <c r="BK59" s="166"/>
      <c r="BL59" s="167"/>
      <c r="BM59" s="165" t="s">
        <v>296</v>
      </c>
      <c r="BN59" s="166"/>
      <c r="BO59" s="167"/>
      <c r="BP59" s="168" t="s">
        <v>297</v>
      </c>
      <c r="BQ59" s="169"/>
      <c r="BR59" s="170"/>
    </row>
    <row r="60" spans="2:70" ht="24.75" customHeight="1">
      <c r="B60" s="8" t="s">
        <v>325</v>
      </c>
      <c r="K60" s="8" t="s">
        <v>12</v>
      </c>
      <c r="L60" s="8" t="s">
        <v>326</v>
      </c>
      <c r="M60" s="8">
        <v>-0.000415747</v>
      </c>
      <c r="N60" s="15">
        <v>152.92</v>
      </c>
      <c r="O60" s="23"/>
      <c r="P60" s="8" t="s">
        <v>327</v>
      </c>
      <c r="T60" s="8" t="s">
        <v>328</v>
      </c>
      <c r="U60" s="8">
        <v>0.000354772</v>
      </c>
      <c r="V60" s="15">
        <v>-165.15</v>
      </c>
      <c r="W60" s="23"/>
      <c r="X60" s="8" t="s">
        <v>329</v>
      </c>
      <c r="AB60" s="8"/>
      <c r="AC60" s="177">
        <v>40</v>
      </c>
      <c r="AD60" s="177"/>
      <c r="AE60" s="177"/>
      <c r="AF60" s="150">
        <v>140</v>
      </c>
      <c r="AG60" s="151"/>
      <c r="AH60" s="152"/>
      <c r="AI60" s="163">
        <f>AF60</f>
        <v>140</v>
      </c>
      <c r="AJ60" s="164"/>
      <c r="AK60" s="155"/>
      <c r="AL60" s="163">
        <f>AF60</f>
        <v>140</v>
      </c>
      <c r="AM60" s="164"/>
      <c r="AN60" s="155"/>
      <c r="AO60" s="150">
        <v>140</v>
      </c>
      <c r="AP60" s="151"/>
      <c r="AQ60" s="152"/>
      <c r="AR60" s="150">
        <v>185</v>
      </c>
      <c r="AS60" s="151"/>
      <c r="AT60" s="152"/>
      <c r="AU60" s="163">
        <f>AR60</f>
        <v>185</v>
      </c>
      <c r="AV60" s="164"/>
      <c r="AW60" s="155"/>
      <c r="AX60" s="150">
        <v>210</v>
      </c>
      <c r="AY60" s="151"/>
      <c r="AZ60" s="152"/>
      <c r="BA60" s="163">
        <f>AX60</f>
        <v>210</v>
      </c>
      <c r="BB60" s="164"/>
      <c r="BC60" s="155"/>
      <c r="BD60" s="163">
        <f>AX60</f>
        <v>210</v>
      </c>
      <c r="BE60" s="164"/>
      <c r="BF60" s="155"/>
      <c r="BG60" s="150">
        <v>210</v>
      </c>
      <c r="BH60" s="151"/>
      <c r="BI60" s="152"/>
      <c r="BJ60" s="150">
        <v>255</v>
      </c>
      <c r="BK60" s="151"/>
      <c r="BL60" s="152"/>
      <c r="BM60" s="163">
        <f>BJ60</f>
        <v>255</v>
      </c>
      <c r="BN60" s="164"/>
      <c r="BO60" s="155"/>
      <c r="BP60" s="163">
        <f>BM60</f>
        <v>255</v>
      </c>
      <c r="BQ60" s="164"/>
      <c r="BR60" s="155"/>
    </row>
    <row r="61" spans="2:70" ht="24.75" customHeight="1">
      <c r="B61" s="8" t="s">
        <v>330</v>
      </c>
      <c r="K61" s="8" t="s">
        <v>12</v>
      </c>
      <c r="L61" s="8" t="s">
        <v>326</v>
      </c>
      <c r="M61" s="8">
        <v>-27.8502</v>
      </c>
      <c r="N61" s="15">
        <v>123.45</v>
      </c>
      <c r="O61" s="23"/>
      <c r="P61" s="8" t="s">
        <v>327</v>
      </c>
      <c r="T61" s="8" t="s">
        <v>328</v>
      </c>
      <c r="U61" s="8">
        <v>32.0229</v>
      </c>
      <c r="V61" s="15">
        <v>-134.16</v>
      </c>
      <c r="W61" s="23"/>
      <c r="X61" s="8" t="s">
        <v>329</v>
      </c>
      <c r="AB61" s="8"/>
      <c r="AC61" s="176" t="s">
        <v>331</v>
      </c>
      <c r="AD61" s="176"/>
      <c r="AE61" s="176"/>
      <c r="AF61" s="150">
        <v>125</v>
      </c>
      <c r="AG61" s="151"/>
      <c r="AH61" s="152"/>
      <c r="AI61" s="163">
        <f>AF61</f>
        <v>125</v>
      </c>
      <c r="AJ61" s="164"/>
      <c r="AK61" s="155"/>
      <c r="AL61" s="163">
        <f>AF61</f>
        <v>125</v>
      </c>
      <c r="AM61" s="164"/>
      <c r="AN61" s="155"/>
      <c r="AO61" s="150">
        <v>140</v>
      </c>
      <c r="AP61" s="151"/>
      <c r="AQ61" s="152"/>
      <c r="AR61" s="150">
        <v>175</v>
      </c>
      <c r="AS61" s="151"/>
      <c r="AT61" s="152"/>
      <c r="AU61" s="163">
        <f>AU60</f>
        <v>185</v>
      </c>
      <c r="AV61" s="164"/>
      <c r="AW61" s="155"/>
      <c r="AX61" s="150">
        <v>195</v>
      </c>
      <c r="AY61" s="151"/>
      <c r="AZ61" s="152"/>
      <c r="BA61" s="163">
        <f>AX61</f>
        <v>195</v>
      </c>
      <c r="BB61" s="164"/>
      <c r="BC61" s="155"/>
      <c r="BD61" s="163">
        <f>AX61</f>
        <v>195</v>
      </c>
      <c r="BE61" s="164"/>
      <c r="BF61" s="155"/>
      <c r="BG61" s="150">
        <v>210</v>
      </c>
      <c r="BH61" s="151"/>
      <c r="BI61" s="152"/>
      <c r="BJ61" s="150">
        <v>245</v>
      </c>
      <c r="BK61" s="151"/>
      <c r="BL61" s="152"/>
      <c r="BM61" s="163">
        <f>BJ61</f>
        <v>245</v>
      </c>
      <c r="BN61" s="164"/>
      <c r="BO61" s="155"/>
      <c r="BP61" s="163">
        <f>BP60</f>
        <v>255</v>
      </c>
      <c r="BQ61" s="164"/>
      <c r="BR61" s="155"/>
    </row>
    <row r="62" spans="2:70" ht="24.75" customHeight="1">
      <c r="B62" s="8" t="s">
        <v>332</v>
      </c>
      <c r="H62" s="8" t="s">
        <v>12</v>
      </c>
      <c r="I62" s="8" t="s">
        <v>333</v>
      </c>
      <c r="K62" s="15">
        <v>18.2263</v>
      </c>
      <c r="L62" s="23"/>
      <c r="M62" s="23"/>
      <c r="N62" s="8" t="s">
        <v>47</v>
      </c>
      <c r="AB62" s="8"/>
      <c r="AC62" s="176" t="s">
        <v>334</v>
      </c>
      <c r="AD62" s="176"/>
      <c r="AE62" s="176"/>
      <c r="AF62" s="150">
        <v>125</v>
      </c>
      <c r="AG62" s="151"/>
      <c r="AH62" s="152"/>
      <c r="AI62" s="163">
        <f>AF62</f>
        <v>125</v>
      </c>
      <c r="AJ62" s="164"/>
      <c r="AK62" s="155"/>
      <c r="AL62" s="163">
        <f>AF62</f>
        <v>125</v>
      </c>
      <c r="AM62" s="164"/>
      <c r="AN62" s="155"/>
      <c r="AO62" s="150">
        <v>140</v>
      </c>
      <c r="AP62" s="151"/>
      <c r="AQ62" s="152"/>
      <c r="AR62" s="150">
        <v>175</v>
      </c>
      <c r="AS62" s="151"/>
      <c r="AT62" s="152"/>
      <c r="AU62" s="163">
        <f>AU60</f>
        <v>185</v>
      </c>
      <c r="AV62" s="164"/>
      <c r="AW62" s="155"/>
      <c r="AX62" s="150">
        <v>190</v>
      </c>
      <c r="AY62" s="151"/>
      <c r="AZ62" s="152"/>
      <c r="BA62" s="163">
        <f>AX62</f>
        <v>190</v>
      </c>
      <c r="BB62" s="164"/>
      <c r="BC62" s="155"/>
      <c r="BD62" s="163">
        <f>AX62</f>
        <v>190</v>
      </c>
      <c r="BE62" s="164"/>
      <c r="BF62" s="155"/>
      <c r="BG62" s="150">
        <v>210</v>
      </c>
      <c r="BH62" s="151"/>
      <c r="BI62" s="152"/>
      <c r="BJ62" s="150">
        <v>240</v>
      </c>
      <c r="BK62" s="151"/>
      <c r="BL62" s="152"/>
      <c r="BM62" s="163">
        <f>BJ62</f>
        <v>240</v>
      </c>
      <c r="BN62" s="164"/>
      <c r="BO62" s="155"/>
      <c r="BP62" s="163">
        <f>BP60</f>
        <v>255</v>
      </c>
      <c r="BQ62" s="164"/>
      <c r="BR62" s="155"/>
    </row>
    <row r="63" spans="2:13" ht="24.75" customHeight="1">
      <c r="B63" s="8" t="s">
        <v>335</v>
      </c>
      <c r="H63" s="8" t="s">
        <v>12</v>
      </c>
      <c r="I63" s="8" t="s">
        <v>50</v>
      </c>
      <c r="K63" s="19">
        <v>200</v>
      </c>
      <c r="L63" s="21"/>
      <c r="M63" s="8" t="s">
        <v>33</v>
      </c>
    </row>
    <row r="64" spans="2:29" ht="24.75" customHeight="1">
      <c r="B64" s="8" t="s">
        <v>336</v>
      </c>
      <c r="H64" s="8" t="s">
        <v>12</v>
      </c>
      <c r="I64" s="8" t="s">
        <v>51</v>
      </c>
      <c r="K64" s="19">
        <v>16</v>
      </c>
      <c r="L64" s="21"/>
      <c r="M64" s="8" t="s">
        <v>33</v>
      </c>
      <c r="AC64" s="1"/>
    </row>
    <row r="65" spans="2:12" ht="24.75" customHeight="1">
      <c r="B65" s="8" t="s">
        <v>337</v>
      </c>
      <c r="H65" s="8" t="s">
        <v>12</v>
      </c>
      <c r="I65" s="8" t="s">
        <v>19</v>
      </c>
      <c r="J65" s="23">
        <f>J15</f>
        <v>1250.2</v>
      </c>
      <c r="K65" s="23"/>
      <c r="L65" s="8" t="s">
        <v>33</v>
      </c>
    </row>
    <row r="66" spans="2:29" ht="24.75" customHeight="1">
      <c r="B66" s="108" t="s">
        <v>81</v>
      </c>
      <c r="H66" s="8" t="s">
        <v>12</v>
      </c>
      <c r="I66" s="8" t="s">
        <v>20</v>
      </c>
      <c r="J66" s="15">
        <v>2200</v>
      </c>
      <c r="K66" s="23"/>
      <c r="L66" s="8" t="s">
        <v>33</v>
      </c>
      <c r="U66" s="120" t="str">
        <f>IF(J59=3,"","[道路橋示方書 10.4.2]")</f>
        <v>[道路橋示方書 10.4.2]</v>
      </c>
      <c r="Y66" s="15"/>
      <c r="AC66" s="115"/>
    </row>
    <row r="67" spans="2:67" ht="24.75" customHeight="1">
      <c r="B67" s="72" t="s">
        <v>165</v>
      </c>
      <c r="G67" s="25"/>
      <c r="H67" s="8" t="s">
        <v>12</v>
      </c>
      <c r="I67" s="8" t="s">
        <v>16</v>
      </c>
      <c r="J67" s="15">
        <v>12</v>
      </c>
      <c r="K67" s="23"/>
      <c r="L67" s="8" t="s">
        <v>33</v>
      </c>
      <c r="M67" s="125" t="str">
        <f>IF(J59=3,"",IF(J67&gt;=W67," ≥","＜ "))</f>
        <v> ≥</v>
      </c>
      <c r="N67" s="66" t="str">
        <f>IF(J59=3,"","twmin = b /(")</f>
        <v>twmin = b /(</v>
      </c>
      <c r="O67" s="66"/>
      <c r="P67" s="66"/>
      <c r="Q67" s="66">
        <f>IF(J59=3,"",HLOOKUP(I58,AF68:BR71,AC68,FALSE))</f>
        <v>256</v>
      </c>
      <c r="R67" s="126" t="str">
        <f>IF(J59=3,"","×")</f>
        <v>×</v>
      </c>
      <c r="S67" s="26">
        <f>IF(J59=3,"",X68)</f>
        <v>0.957</v>
      </c>
      <c r="T67" s="26"/>
      <c r="U67" s="8" t="str">
        <f>IF(J59=3,"",")")</f>
        <v>)</v>
      </c>
      <c r="V67" s="67" t="str">
        <f>IF(J59=3,"","=")</f>
        <v>=</v>
      </c>
      <c r="W67" s="68">
        <f>IF(J59=3,"",J66/(Q67*S67))</f>
        <v>8.979885057471265</v>
      </c>
      <c r="X67" s="68"/>
      <c r="Y67" s="66" t="str">
        <f>IF(J59=3,"","mm")</f>
        <v>mm</v>
      </c>
      <c r="Z67" s="66" t="str">
        <f>IF(J59=3,"",IF(J67&gt;=W67,"O.K.","N.G."))</f>
        <v>O.K.</v>
      </c>
      <c r="AA67" s="66"/>
      <c r="AB67" s="69"/>
      <c r="AC67" s="142" t="s">
        <v>166</v>
      </c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7:70" ht="24.75" customHeight="1">
      <c r="G68" s="25"/>
      <c r="I68" s="37" t="str">
        <f>IF(J59=3,"","ここに,")</f>
        <v>ここに,</v>
      </c>
      <c r="K68" s="115" t="str">
        <f>IF(J59=3,"","√(σca/σc) = √("&amp;HLOOKUP(I58,AF59:BR62,AC59,FALSE)&amp;"/"&amp;IF(ABS(N60)&gt;=N61,ROUND(N60,3),ROUND(N61,3))&amp;")")</f>
        <v>√(σca/σc) = √(140/152.92)</v>
      </c>
      <c r="P68" s="14"/>
      <c r="Q68" s="11" t="str">
        <f>IF(J59=3,"","=")</f>
        <v>=</v>
      </c>
      <c r="R68" s="26">
        <f>IF(J59=3,"",SQRT(HLOOKUP(I58,AF59:BR62,AC59,FALSE)/IF(ABS(N60)&gt;=N61,ROUND(N60,3),ROUND(N61,3))))</f>
        <v>0.9568235879714512</v>
      </c>
      <c r="S68" s="80"/>
      <c r="T68" s="8" t="str">
        <f>IF(J59=3,"",IF(R68&gt;1.2,"＞","＜"))</f>
        <v>＜</v>
      </c>
      <c r="U68" s="8">
        <f>IF(J59=3,"",1.2)</f>
        <v>1.2</v>
      </c>
      <c r="W68" s="115" t="str">
        <f>IF(J59=3,"","⇒")</f>
        <v>⇒</v>
      </c>
      <c r="X68" s="23">
        <f>IF(J59=3,"",IF(R68&gt;1.2,1.2,ROUND(R68,3)))</f>
        <v>0.957</v>
      </c>
      <c r="Y68" s="23"/>
      <c r="AC68" s="163">
        <f>J59+2</f>
        <v>3</v>
      </c>
      <c r="AD68" s="164"/>
      <c r="AE68" s="155"/>
      <c r="AF68" s="165" t="s">
        <v>167</v>
      </c>
      <c r="AG68" s="166"/>
      <c r="AH68" s="167"/>
      <c r="AI68" s="165" t="s">
        <v>168</v>
      </c>
      <c r="AJ68" s="166"/>
      <c r="AK68" s="167"/>
      <c r="AL68" s="165" t="s">
        <v>169</v>
      </c>
      <c r="AM68" s="166"/>
      <c r="AN68" s="167"/>
      <c r="AO68" s="147" t="s">
        <v>170</v>
      </c>
      <c r="AP68" s="148"/>
      <c r="AQ68" s="149"/>
      <c r="AR68" s="147" t="s">
        <v>35</v>
      </c>
      <c r="AS68" s="148"/>
      <c r="AT68" s="149"/>
      <c r="AU68" s="168" t="s">
        <v>171</v>
      </c>
      <c r="AV68" s="169"/>
      <c r="AW68" s="170"/>
      <c r="AX68" s="165" t="s">
        <v>172</v>
      </c>
      <c r="AY68" s="166"/>
      <c r="AZ68" s="167"/>
      <c r="BA68" s="165" t="s">
        <v>173</v>
      </c>
      <c r="BB68" s="166"/>
      <c r="BC68" s="167"/>
      <c r="BD68" s="165" t="s">
        <v>174</v>
      </c>
      <c r="BE68" s="166"/>
      <c r="BF68" s="167"/>
      <c r="BG68" s="168" t="s">
        <v>175</v>
      </c>
      <c r="BH68" s="169"/>
      <c r="BI68" s="170"/>
      <c r="BJ68" s="165" t="s">
        <v>176</v>
      </c>
      <c r="BK68" s="166"/>
      <c r="BL68" s="167"/>
      <c r="BM68" s="165" t="s">
        <v>177</v>
      </c>
      <c r="BN68" s="166"/>
      <c r="BO68" s="167"/>
      <c r="BP68" s="168" t="s">
        <v>178</v>
      </c>
      <c r="BQ68" s="169"/>
      <c r="BR68" s="170"/>
    </row>
    <row r="69" spans="2:70" ht="24.75" customHeight="1">
      <c r="B69" s="8" t="s">
        <v>179</v>
      </c>
      <c r="H69" s="120" t="s">
        <v>180</v>
      </c>
      <c r="AC69" s="201" t="s">
        <v>181</v>
      </c>
      <c r="AD69" s="172"/>
      <c r="AE69" s="173"/>
      <c r="AF69" s="152">
        <v>152</v>
      </c>
      <c r="AG69" s="157"/>
      <c r="AH69" s="157"/>
      <c r="AI69" s="155">
        <f>AF69</f>
        <v>152</v>
      </c>
      <c r="AJ69" s="154"/>
      <c r="AK69" s="154"/>
      <c r="AL69" s="155">
        <f>AF69</f>
        <v>152</v>
      </c>
      <c r="AM69" s="154"/>
      <c r="AN69" s="154"/>
      <c r="AO69" s="152">
        <v>152</v>
      </c>
      <c r="AP69" s="157"/>
      <c r="AQ69" s="157"/>
      <c r="AR69" s="152">
        <v>130</v>
      </c>
      <c r="AS69" s="157"/>
      <c r="AT69" s="157"/>
      <c r="AU69" s="155">
        <f>AR69</f>
        <v>130</v>
      </c>
      <c r="AV69" s="154"/>
      <c r="AW69" s="154"/>
      <c r="AX69" s="152">
        <v>123</v>
      </c>
      <c r="AY69" s="157"/>
      <c r="AZ69" s="157"/>
      <c r="BA69" s="155">
        <f>AX69</f>
        <v>123</v>
      </c>
      <c r="BB69" s="154"/>
      <c r="BC69" s="154"/>
      <c r="BD69" s="155">
        <f>AX69</f>
        <v>123</v>
      </c>
      <c r="BE69" s="154"/>
      <c r="BF69" s="154"/>
      <c r="BG69" s="155">
        <f>AX69</f>
        <v>123</v>
      </c>
      <c r="BH69" s="154"/>
      <c r="BI69" s="154"/>
      <c r="BJ69" s="152">
        <v>110</v>
      </c>
      <c r="BK69" s="157"/>
      <c r="BL69" s="157"/>
      <c r="BM69" s="155">
        <f>BJ69</f>
        <v>110</v>
      </c>
      <c r="BN69" s="154"/>
      <c r="BO69" s="154"/>
      <c r="BP69" s="155">
        <f>BJ69</f>
        <v>110</v>
      </c>
      <c r="BQ69" s="154"/>
      <c r="BR69" s="154"/>
    </row>
    <row r="70" spans="3:70" ht="24.75" customHeight="1">
      <c r="C70" s="8" t="str">
        <f>"a / b = "&amp;J65&amp;" / "&amp;J66&amp;"  ="</f>
        <v>a / b = 1250.2 / 2200  =</v>
      </c>
      <c r="I70" s="24">
        <f>ROUND(J65/J66,3)</f>
        <v>0.568</v>
      </c>
      <c r="J70" s="23"/>
      <c r="K70" s="11" t="str">
        <f>IF(I70&lt;=M70,"≤","＞")</f>
        <v>≤</v>
      </c>
      <c r="M70" s="128">
        <v>3</v>
      </c>
      <c r="P70" s="8" t="str">
        <f>IF(I70&lt;=M70,"O.K","N.G")</f>
        <v>O.K</v>
      </c>
      <c r="AC70" s="165" t="s">
        <v>182</v>
      </c>
      <c r="AD70" s="166"/>
      <c r="AE70" s="167"/>
      <c r="AF70" s="152">
        <v>256</v>
      </c>
      <c r="AG70" s="157"/>
      <c r="AH70" s="157"/>
      <c r="AI70" s="154">
        <f>AF70</f>
        <v>256</v>
      </c>
      <c r="AJ70" s="154"/>
      <c r="AK70" s="154"/>
      <c r="AL70" s="154">
        <f>AF70</f>
        <v>256</v>
      </c>
      <c r="AM70" s="154"/>
      <c r="AN70" s="154"/>
      <c r="AO70" s="152">
        <v>256</v>
      </c>
      <c r="AP70" s="157"/>
      <c r="AQ70" s="157"/>
      <c r="AR70" s="138">
        <v>220</v>
      </c>
      <c r="AS70" s="138"/>
      <c r="AT70" s="138"/>
      <c r="AU70" s="174">
        <f>AR70</f>
        <v>220</v>
      </c>
      <c r="AV70" s="174"/>
      <c r="AW70" s="174"/>
      <c r="AX70" s="138">
        <v>209</v>
      </c>
      <c r="AY70" s="138"/>
      <c r="AZ70" s="138"/>
      <c r="BA70" s="155">
        <f>AX70</f>
        <v>209</v>
      </c>
      <c r="BB70" s="154"/>
      <c r="BC70" s="154"/>
      <c r="BD70" s="155">
        <f>AX70</f>
        <v>209</v>
      </c>
      <c r="BE70" s="154"/>
      <c r="BF70" s="154"/>
      <c r="BG70" s="155">
        <f>AX70</f>
        <v>209</v>
      </c>
      <c r="BH70" s="154"/>
      <c r="BI70" s="154"/>
      <c r="BJ70" s="157">
        <v>188</v>
      </c>
      <c r="BK70" s="157"/>
      <c r="BL70" s="157"/>
      <c r="BM70" s="154">
        <f>BJ70</f>
        <v>188</v>
      </c>
      <c r="BN70" s="154"/>
      <c r="BO70" s="154"/>
      <c r="BP70" s="154">
        <f>BJ70</f>
        <v>188</v>
      </c>
      <c r="BQ70" s="154"/>
      <c r="BR70" s="154"/>
    </row>
    <row r="71" spans="2:70" ht="24.75" customHeight="1">
      <c r="B71" s="72" t="s">
        <v>183</v>
      </c>
      <c r="E71" s="8">
        <f>IF(J59=0,"",J59)</f>
        <v>1</v>
      </c>
      <c r="F71" s="8" t="str">
        <f>IF(J59=0,"使わなくて","段使って、")</f>
        <v>段使って、</v>
      </c>
      <c r="K71" s="8" t="s">
        <v>21</v>
      </c>
      <c r="L71" s="8" t="str">
        <f>IF(AND(J59=0,I70&gt;1),"＞ 1",IF(AND(J59=0,I70&lt;=1),"≤ 1",IF(AND(J59=1,I70&gt;0.8),"＞ 0.80",IF(AND(J59=1,I70&lt;=0.8),"≤ 0.80",IF(AND(J59=2,I70&gt;0.64),"＞ 0.64",IF(AND(J59=2,I70&lt;=0.64),"≤ 0.64"))))))</f>
        <v>≤ 0.80</v>
      </c>
      <c r="O71" s="8" t="s">
        <v>66</v>
      </c>
      <c r="AC71" s="158" t="s">
        <v>185</v>
      </c>
      <c r="AD71" s="159"/>
      <c r="AE71" s="160"/>
      <c r="AF71" s="152">
        <v>310</v>
      </c>
      <c r="AG71" s="157"/>
      <c r="AH71" s="157"/>
      <c r="AI71" s="155">
        <f>AF71</f>
        <v>310</v>
      </c>
      <c r="AJ71" s="154"/>
      <c r="AK71" s="154"/>
      <c r="AL71" s="155">
        <f>AF71</f>
        <v>310</v>
      </c>
      <c r="AM71" s="154"/>
      <c r="AN71" s="154"/>
      <c r="AO71" s="152">
        <v>310</v>
      </c>
      <c r="AP71" s="157"/>
      <c r="AQ71" s="157"/>
      <c r="AR71" s="152">
        <v>310</v>
      </c>
      <c r="AS71" s="157"/>
      <c r="AT71" s="157"/>
      <c r="AU71" s="155">
        <f>AR71</f>
        <v>310</v>
      </c>
      <c r="AV71" s="154"/>
      <c r="AW71" s="154"/>
      <c r="AX71" s="152">
        <v>294</v>
      </c>
      <c r="AY71" s="157"/>
      <c r="AZ71" s="157"/>
      <c r="BA71" s="155">
        <f>AX71</f>
        <v>294</v>
      </c>
      <c r="BB71" s="154"/>
      <c r="BC71" s="154"/>
      <c r="BD71" s="155">
        <f>AX71</f>
        <v>294</v>
      </c>
      <c r="BE71" s="154"/>
      <c r="BF71" s="154"/>
      <c r="BG71" s="155">
        <f>AX71</f>
        <v>294</v>
      </c>
      <c r="BH71" s="154"/>
      <c r="BI71" s="154"/>
      <c r="BJ71" s="152">
        <v>262</v>
      </c>
      <c r="BK71" s="157"/>
      <c r="BL71" s="157"/>
      <c r="BM71" s="155">
        <f>BJ71</f>
        <v>262</v>
      </c>
      <c r="BN71" s="154"/>
      <c r="BO71" s="154"/>
      <c r="BP71" s="155">
        <f>BJ71</f>
        <v>262</v>
      </c>
      <c r="BQ71" s="154"/>
      <c r="BR71" s="154"/>
    </row>
    <row r="72" spans="3:29" ht="24.75" customHeight="1">
      <c r="C72" s="8" t="str">
        <f>IF(AND(J59=0,I70&gt;1),"(b/100t)⁴[(σ/345)²+ { τ / 77 + 58(b/a)²}²]",IF(AND(J59=0,I70&lt;=1),"(b/100t)⁴[(σ/345)²+ { τ / 58 + 77(b/a)²}²]",IF(AND(J59=1,I70&gt;0.8),"(b/100t)⁴[(σ/900)²+ { τ / 120 + 58(b/a)²}²]",IF(AND(J59=1,I70&lt;=0.8),"(b/100t)⁴[(σ/900)²+ { τ / 90 + 77(b/a)²}²]",IF(AND(J59=2,I70&gt;0.64),"(b/100t)⁴[(σ/3000)²+ { τ / 187 + 58(b/a)²}²]",IF(AND(J59=2,I70&lt;=0.64),"(b/100t)⁴[(σ/3000)²+ { τ / 140 + 77(b/a)²}²]"))))))</f>
        <v>(b/100t)⁴[(σ/900)²+ { τ / 90 + 77(b/a)²}²]</v>
      </c>
      <c r="O72" s="8" t="s">
        <v>9</v>
      </c>
      <c r="P72" s="23">
        <f>ROUND(IF(AND(J59=0,I70&gt;1),((J66/(100*J67))^4)*(((N60/345)^2)+((K62/(77+58*(J66/J65)^2))^2)),IF(AND(J59=0,I70&lt;=1),((J66/(100*J67))^4)*(((N60/345)^2)+((K62/(58+77*(J66/J65)^2))^2)),IF(AND(J59=1,I70&gt;0.8),((J66/(100*J67))^4)*(((N60/900)^2)+((K62/(120+58*(J66/J65)^2))^2)),IF(AND(J59=1,I70&lt;=0.8),((J66/(100*J67))^4)*(((N60/900)^2)+((K62/(90+77*(J66/J65)^2))^2)),IF(AND(J59=2,I70&gt;0.64),((J66/(100*J67))^4)*(((N60/3000)^2)+((K62/(187+58*(J66/J65)^2))^2)),IF(AND(J59=2,I70&lt;=0.64),((J66/(100*J67))^4)*(((N60/3000)^2)+((K62/(140+77*(J66/J65)^2))^2)))))))),3)</f>
        <v>0.361</v>
      </c>
      <c r="Q72" s="23"/>
      <c r="S72" s="11" t="str">
        <f>IF(P72&lt;=U72,"＜","＞")</f>
        <v>＜</v>
      </c>
      <c r="U72" s="23">
        <v>1</v>
      </c>
      <c r="X72" s="8" t="str">
        <f>IF(P72&lt;=U72,"O.K","N.G")</f>
        <v>O.K</v>
      </c>
      <c r="AC72" s="1"/>
    </row>
    <row r="73" spans="2:29" ht="24.75" customHeight="1">
      <c r="B73" s="7" t="s">
        <v>186</v>
      </c>
      <c r="H73" s="120" t="s">
        <v>187</v>
      </c>
      <c r="AC73" s="1"/>
    </row>
    <row r="74" spans="3:14" ht="24.75" customHeight="1">
      <c r="C74" s="8" t="s">
        <v>22</v>
      </c>
      <c r="E74" s="8" t="s">
        <v>52</v>
      </c>
      <c r="H74" s="8" t="str">
        <f>"8.0 ("&amp;J66&amp;"/"&amp;J65&amp;")²="</f>
        <v>8.0 (2200/1250.2)²=</v>
      </c>
      <c r="M74" s="23">
        <f>ROUND(8*(J66/J65)^2,3)</f>
        <v>24.773</v>
      </c>
      <c r="N74" s="23"/>
    </row>
    <row r="75" spans="9:29" ht="24.75" customHeight="1">
      <c r="I75" s="8" t="str">
        <f>"( "&amp;J66&amp;" ×"&amp;J67&amp;"³/ 11 ) ×"&amp;M74&amp;" ="</f>
        <v>( 2200 ×12³/ 11 ) ×24.773 =</v>
      </c>
      <c r="R75" s="42">
        <f>ROUND((J66*J67^3/11)*M74,3)</f>
        <v>8561548.8</v>
      </c>
      <c r="S75" s="24"/>
      <c r="T75" s="24"/>
      <c r="U75" s="7" t="s">
        <v>44</v>
      </c>
      <c r="AC75" s="1"/>
    </row>
    <row r="76" spans="17:19" ht="24.75" customHeight="1">
      <c r="Q76" s="24"/>
      <c r="R76" s="24"/>
      <c r="S76" s="24"/>
    </row>
    <row r="77" spans="5:24" ht="24.75" customHeight="1">
      <c r="E77" s="8" t="str">
        <f>"⅓ × "&amp;K64&amp;" × "&amp;K63&amp;"³="</f>
        <v>⅓ × 16 × 200³=</v>
      </c>
      <c r="J77" s="23">
        <f>ROUND(K64*K63^3/3,3)</f>
        <v>42666666.667</v>
      </c>
      <c r="K77" s="23"/>
      <c r="L77" s="23"/>
      <c r="M77" s="7" t="s">
        <v>44</v>
      </c>
      <c r="O77" s="11" t="str">
        <f>IF(J77&gt;R75,"＞","＜")</f>
        <v>＞</v>
      </c>
      <c r="T77" s="8" t="str">
        <f>IF(J77&gt;R75,"O.K","N.G")</f>
        <v>O.K</v>
      </c>
      <c r="W77" s="25"/>
      <c r="X77" s="25"/>
    </row>
    <row r="78" spans="10:24" ht="24.75" customHeight="1">
      <c r="J78" s="23"/>
      <c r="K78" s="23"/>
      <c r="L78" s="23"/>
      <c r="O78" s="11"/>
      <c r="W78" s="25"/>
      <c r="X78" s="25"/>
    </row>
    <row r="79" ht="24.75" customHeight="1">
      <c r="B79" s="108" t="s">
        <v>188</v>
      </c>
    </row>
    <row r="80" spans="2:22" ht="24.75" customHeight="1">
      <c r="B80" s="108"/>
      <c r="C80" s="8" t="s">
        <v>53</v>
      </c>
      <c r="E80" s="8" t="str">
        <f>J66&amp;" / 30 + 50 ="</f>
        <v>2200 / 30 + 50 =</v>
      </c>
      <c r="I80" s="21">
        <f>ROUND(J66/30+50,3)</f>
        <v>123.333</v>
      </c>
      <c r="J80" s="23"/>
      <c r="K80" s="8" t="s">
        <v>33</v>
      </c>
      <c r="M80" s="11" t="str">
        <f>IF(I80&gt;Q80,"＞","＜")</f>
        <v>＜</v>
      </c>
      <c r="O80" s="8" t="s">
        <v>50</v>
      </c>
      <c r="Q80" s="21">
        <f>K63</f>
        <v>200</v>
      </c>
      <c r="R80" s="21"/>
      <c r="S80" s="8" t="s">
        <v>33</v>
      </c>
      <c r="V80" s="8" t="str">
        <f>IF(Q80&gt;I80,"O.K","N.G")</f>
        <v>O.K</v>
      </c>
    </row>
    <row r="81" ht="24.75" customHeight="1">
      <c r="B81" s="108" t="s">
        <v>79</v>
      </c>
    </row>
    <row r="82" spans="3:22" ht="24.75" customHeight="1">
      <c r="C82" s="8" t="s">
        <v>54</v>
      </c>
      <c r="E82" s="70" t="str">
        <f>K63&amp;" / 13 ="</f>
        <v>200 / 13 =</v>
      </c>
      <c r="H82" s="21">
        <f>ROUND(K63/13,3)</f>
        <v>15.385</v>
      </c>
      <c r="I82" s="23"/>
      <c r="J82" s="8" t="s">
        <v>33</v>
      </c>
      <c r="L82" s="11" t="str">
        <f>IF(H82&gt;P82,"＞","＜")</f>
        <v>＜</v>
      </c>
      <c r="N82" s="8" t="s">
        <v>51</v>
      </c>
      <c r="P82" s="71">
        <f>K64</f>
        <v>16</v>
      </c>
      <c r="Q82" s="21"/>
      <c r="R82" s="8" t="s">
        <v>33</v>
      </c>
      <c r="U82" s="72" t="s">
        <v>15</v>
      </c>
      <c r="V82" s="8" t="str">
        <f>IF(H82&lt;P82,"O.K","N.G")</f>
        <v>O.K</v>
      </c>
    </row>
    <row r="83" spans="5:19" ht="24.75" customHeight="1">
      <c r="E83" s="70"/>
      <c r="H83" s="23"/>
      <c r="I83" s="23"/>
      <c r="L83" s="11"/>
      <c r="P83" s="71"/>
      <c r="Q83" s="21"/>
      <c r="S83" s="72"/>
    </row>
    <row r="84" spans="5:19" ht="24.75" customHeight="1">
      <c r="E84" s="70"/>
      <c r="H84" s="23"/>
      <c r="I84" s="23"/>
      <c r="L84" s="11"/>
      <c r="P84" s="71"/>
      <c r="Q84" s="21"/>
      <c r="S84" s="72"/>
    </row>
    <row r="85" spans="1:14" ht="24.75" customHeight="1">
      <c r="A85" s="109" t="s">
        <v>338</v>
      </c>
      <c r="B85" s="108"/>
      <c r="H85" s="9" t="s">
        <v>190</v>
      </c>
      <c r="I85" s="156" t="s">
        <v>72</v>
      </c>
      <c r="J85" s="156"/>
      <c r="K85" s="156"/>
      <c r="L85" s="156"/>
      <c r="M85" s="7" t="s">
        <v>192</v>
      </c>
      <c r="N85" s="9"/>
    </row>
    <row r="86" spans="1:14" ht="24.75" customHeight="1">
      <c r="A86" s="110"/>
      <c r="B86" s="111" t="s">
        <v>339</v>
      </c>
      <c r="H86" s="25"/>
      <c r="J86" s="8" t="s">
        <v>12</v>
      </c>
      <c r="K86" s="8" t="s">
        <v>19</v>
      </c>
      <c r="L86" s="23">
        <f>J65</f>
        <v>1250.2</v>
      </c>
      <c r="M86" s="23"/>
      <c r="N86" s="8" t="s">
        <v>33</v>
      </c>
    </row>
    <row r="87" spans="1:14" ht="24.75" customHeight="1">
      <c r="A87" s="108"/>
      <c r="B87" s="111" t="s">
        <v>340</v>
      </c>
      <c r="J87" s="8" t="s">
        <v>12</v>
      </c>
      <c r="K87" s="8" t="s">
        <v>20</v>
      </c>
      <c r="L87" s="23">
        <f>J66</f>
        <v>2200</v>
      </c>
      <c r="M87" s="23"/>
      <c r="N87" s="8" t="s">
        <v>33</v>
      </c>
    </row>
    <row r="88" spans="1:15" ht="24.75" customHeight="1">
      <c r="A88" s="108"/>
      <c r="B88" s="110"/>
      <c r="I88" s="25"/>
      <c r="J88" s="8" t="s">
        <v>12</v>
      </c>
      <c r="K88" s="8" t="s">
        <v>55</v>
      </c>
      <c r="M88" s="19">
        <v>150</v>
      </c>
      <c r="N88" s="21"/>
      <c r="O88" s="8" t="s">
        <v>33</v>
      </c>
    </row>
    <row r="89" spans="1:27" ht="24.75" customHeight="1">
      <c r="A89" s="108"/>
      <c r="B89" s="111" t="s">
        <v>80</v>
      </c>
      <c r="J89" s="8" t="s">
        <v>12</v>
      </c>
      <c r="K89" s="8" t="s">
        <v>56</v>
      </c>
      <c r="M89" s="19">
        <v>12</v>
      </c>
      <c r="N89" s="21"/>
      <c r="O89" s="8" t="s">
        <v>33</v>
      </c>
      <c r="Q89" s="73" t="s">
        <v>57</v>
      </c>
      <c r="R89" s="73"/>
      <c r="S89" s="73"/>
      <c r="T89" s="73"/>
      <c r="U89" s="73" t="s">
        <v>23</v>
      </c>
      <c r="V89" s="74">
        <v>16</v>
      </c>
      <c r="W89" s="73" t="s">
        <v>9</v>
      </c>
      <c r="X89" s="75">
        <f>ROUND(M88/V89,2)</f>
        <v>9.38</v>
      </c>
      <c r="Y89" s="75"/>
      <c r="Z89" s="73" t="s">
        <v>33</v>
      </c>
      <c r="AA89" s="25"/>
    </row>
    <row r="90" spans="1:27" ht="24.75" customHeight="1">
      <c r="A90" s="108"/>
      <c r="B90" s="108"/>
      <c r="M90" s="19"/>
      <c r="N90" s="21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24.75" customHeight="1">
      <c r="A91" s="108"/>
      <c r="B91" s="108" t="s">
        <v>83</v>
      </c>
      <c r="H91" s="76" t="s">
        <v>341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3:16" ht="24.75" customHeight="1">
      <c r="C92" s="8" t="s">
        <v>22</v>
      </c>
      <c r="E92" s="8" t="s">
        <v>24</v>
      </c>
      <c r="I92" s="8" t="str">
        <f>"30.0 × ("&amp;L86&amp;"/"&amp;L87&amp;") ="</f>
        <v>30.0 × (1250.2/2200) =</v>
      </c>
      <c r="O92" s="23">
        <f>ROUND(30*L86/L87,3)</f>
        <v>17.048</v>
      </c>
      <c r="P92" s="23"/>
    </row>
    <row r="93" spans="8:29" ht="24.75" customHeight="1">
      <c r="H93" s="8" t="str">
        <f>"( "&amp;L87&amp;" ×"&amp;J67&amp;"³/ 11 ) ×"&amp;O92&amp;" ="</f>
        <v>( 2200 ×12³/ 11 ) ×17.048 =</v>
      </c>
      <c r="Q93" s="42">
        <f>ROUND((L87*J67^3/11)*O92,3)</f>
        <v>5891788.8</v>
      </c>
      <c r="R93" s="24"/>
      <c r="S93" s="24"/>
      <c r="T93" s="8" t="s">
        <v>342</v>
      </c>
      <c r="AC93" s="1"/>
    </row>
    <row r="94" spans="3:22" ht="24.75" customHeight="1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5:20" ht="24.75" customHeight="1">
      <c r="E95" s="8" t="str">
        <f>"⅓ × "&amp;M89&amp;" × "&amp;M88&amp;"³="</f>
        <v>⅓ × 12 × 150³=</v>
      </c>
      <c r="J95" s="41">
        <f>ROUND(M89*M88^3/3,3)</f>
        <v>13500000</v>
      </c>
      <c r="K95" s="23"/>
      <c r="L95" s="23"/>
      <c r="M95" s="8" t="s">
        <v>34</v>
      </c>
      <c r="O95" s="11" t="str">
        <f>IF(J95&gt;Q93,"＞","＜")</f>
        <v>＞</v>
      </c>
      <c r="T95" s="8" t="str">
        <f>IF(J95&gt;Q93,"O.K","N.G")</f>
        <v>O.K</v>
      </c>
    </row>
    <row r="96" spans="2:17" ht="24.75" customHeight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8" ht="24.75" customHeight="1">
      <c r="B97" s="72" t="s">
        <v>343</v>
      </c>
      <c r="H97" s="76" t="s">
        <v>341</v>
      </c>
    </row>
    <row r="98" spans="3:9" ht="24.75" customHeight="1">
      <c r="C98" s="72" t="s">
        <v>344</v>
      </c>
      <c r="I98" s="8" t="str">
        <f>IF(J59=1,"0.20b = 0.20 × "&amp;L87&amp;" = "&amp;0.2*L87&amp;" mm","0.14b および 0.36b  ただし、"&amp;0.14*L87&amp;" mm および "&amp;0.36*L87&amp;" mm")</f>
        <v>0.20b = 0.20 × 2200 = 440 mm</v>
      </c>
    </row>
    <row r="99" spans="5:19" ht="24.75" customHeight="1">
      <c r="E99" s="70"/>
      <c r="H99" s="23"/>
      <c r="I99" s="23"/>
      <c r="L99" s="11"/>
      <c r="P99" s="71"/>
      <c r="Q99" s="21"/>
      <c r="S99" s="72"/>
    </row>
    <row r="100" spans="2:18" ht="24.75" customHeight="1">
      <c r="B100" s="8" t="str">
        <f>IF(N60&gt;N61,"水平補剛材を使わなかった下側腹板の安定性に対して検討する。","水平補剛材を使わなかった上側腹板の安定性に対して検討する。")</f>
        <v>水平補剛材を使わなかった下側腹板の安定性に対して検討する。</v>
      </c>
      <c r="R100" s="76" t="s">
        <v>345</v>
      </c>
    </row>
    <row r="102" spans="9:29" ht="24.75" customHeight="1">
      <c r="I102" s="23"/>
      <c r="J102" s="37" t="str">
        <f>IF(N60&gt;N61,"σt = "&amp;V61,"σc = "&amp;N60)</f>
        <v>σt = -134.16</v>
      </c>
      <c r="K102" s="37"/>
      <c r="L102" s="37"/>
      <c r="M102" s="37"/>
      <c r="AC102" s="1"/>
    </row>
    <row r="103" spans="12:29" ht="24.75" customHeight="1">
      <c r="L103" s="78" t="s">
        <v>346</v>
      </c>
      <c r="AC103" s="1"/>
    </row>
    <row r="105" spans="9:24" ht="24.75" customHeight="1">
      <c r="I105" s="8" t="s">
        <v>347</v>
      </c>
      <c r="X105" s="11" t="s">
        <v>285</v>
      </c>
    </row>
    <row r="108" spans="12:15" ht="24.75" customHeight="1">
      <c r="L108" s="79" t="str">
        <f>IF(N60&gt;N61,"σc= "&amp;N61,"σt = "&amp;V60)</f>
        <v>σc= 123.45</v>
      </c>
      <c r="M108" s="37"/>
      <c r="N108" s="23"/>
      <c r="O108" s="23"/>
    </row>
    <row r="110" spans="9:29" ht="24.75" customHeight="1">
      <c r="I110" s="23"/>
      <c r="J110" s="37" t="str">
        <f>IF(N60&gt;N61,"σt = "&amp;V61,"σc = "&amp;N60)</f>
        <v>σt = -134.16</v>
      </c>
      <c r="K110" s="37"/>
      <c r="L110" s="37"/>
      <c r="M110" s="37"/>
      <c r="AC110" s="1"/>
    </row>
    <row r="111" spans="12:29" ht="24.75" customHeight="1">
      <c r="L111" s="10"/>
      <c r="AC111" s="1"/>
    </row>
    <row r="113" spans="9:24" ht="24.75" customHeight="1">
      <c r="I113" s="8" t="s">
        <v>347</v>
      </c>
      <c r="X113" s="11" t="s">
        <v>285</v>
      </c>
    </row>
    <row r="114" ht="24.75" customHeight="1">
      <c r="M114" s="78" t="s">
        <v>346</v>
      </c>
    </row>
    <row r="116" spans="12:15" ht="24.75" customHeight="1">
      <c r="L116" s="79" t="str">
        <f>IF(N60&gt;N61,"σc= "&amp;N61,"σt = "&amp;V60)</f>
        <v>σc= 123.45</v>
      </c>
      <c r="M116" s="37"/>
      <c r="N116" s="23"/>
      <c r="O116" s="23"/>
    </row>
    <row r="117" spans="28:41" ht="24.75" customHeight="1"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2:41" ht="24.75" customHeight="1">
      <c r="B118" s="8" t="s">
        <v>348</v>
      </c>
      <c r="D118" s="23">
        <f>J66</f>
        <v>2200</v>
      </c>
      <c r="E118" s="23"/>
      <c r="F118" s="8" t="s">
        <v>349</v>
      </c>
      <c r="G118" s="15">
        <v>440</v>
      </c>
      <c r="H118" s="15"/>
      <c r="I118" s="11" t="s">
        <v>284</v>
      </c>
      <c r="J118" s="23">
        <f>D118-G118</f>
        <v>1760</v>
      </c>
      <c r="K118" s="23"/>
      <c r="L118" s="11" t="s">
        <v>350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2:41" ht="24.75" customHeight="1">
      <c r="B119" s="8" t="s">
        <v>351</v>
      </c>
      <c r="D119" s="8" t="s">
        <v>352</v>
      </c>
      <c r="AB119" s="8"/>
      <c r="AC119" s="10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3:41" ht="24.75" customHeight="1">
      <c r="C120" s="8" t="s">
        <v>284</v>
      </c>
      <c r="D120" s="8" t="str">
        <f>IF(N60&gt;N61,N61&amp;" - { "&amp;N61&amp;" - ("&amp;V61&amp;") } × ( 1 - "&amp;J118&amp;" / "&amp;J66&amp;" )",N60&amp;" - { "&amp;N60&amp;" - ("&amp;V60&amp;") } × ( 1 - "&amp;J118&amp;" / "&amp;J66&amp;" )")</f>
        <v>123.45 - { 123.45 - (-134.16) } × ( 1 - 1760 / 2200 )</v>
      </c>
      <c r="R120" s="11" t="s">
        <v>284</v>
      </c>
      <c r="S120" s="80">
        <f>IF(N60&gt;N61,N61-(N61-V61)*(1-J118/J66),N60-(N60-V60)*(1-J118/J66))</f>
        <v>71.92800000000001</v>
      </c>
      <c r="T120" s="23"/>
      <c r="U120" s="8" t="s">
        <v>47</v>
      </c>
      <c r="W120" s="11"/>
      <c r="X120" s="80"/>
      <c r="Y120" s="23"/>
      <c r="AB120" s="8"/>
      <c r="AC120" s="10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ht="24.75" customHeight="1">
      <c r="B121" s="8" t="s">
        <v>353</v>
      </c>
      <c r="F121" s="23">
        <f>IF(N60&gt;N61,V61,V60)</f>
        <v>-134.16</v>
      </c>
      <c r="G121" s="23"/>
      <c r="H121" s="14" t="s">
        <v>304</v>
      </c>
      <c r="I121" s="80">
        <f>S120</f>
        <v>71.92800000000001</v>
      </c>
      <c r="J121" s="23"/>
      <c r="K121" s="8" t="s">
        <v>284</v>
      </c>
      <c r="L121" s="80">
        <f>F121/I121</f>
        <v>-1.8651985318651982</v>
      </c>
      <c r="M121" s="80"/>
      <c r="AB121" s="8"/>
      <c r="AC121" s="10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2:41" ht="24.75" customHeight="1">
      <c r="B122" s="8" t="s">
        <v>354</v>
      </c>
      <c r="F122" s="23">
        <f>K62</f>
        <v>18.2263</v>
      </c>
      <c r="G122" s="23"/>
      <c r="H122" s="14" t="s">
        <v>304</v>
      </c>
      <c r="I122" s="80">
        <f>I121</f>
        <v>71.92800000000001</v>
      </c>
      <c r="J122" s="80"/>
      <c r="K122" s="8" t="s">
        <v>284</v>
      </c>
      <c r="L122" s="80">
        <f>F122/I122</f>
        <v>0.25339645200756306</v>
      </c>
      <c r="M122" s="80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2:41" ht="24.75" customHeight="1">
      <c r="B123" s="8" t="s">
        <v>355</v>
      </c>
      <c r="F123" s="8" t="s">
        <v>284</v>
      </c>
      <c r="G123" s="8" t="s">
        <v>356</v>
      </c>
      <c r="J123" s="80">
        <f>L121</f>
        <v>-1.8651985318651982</v>
      </c>
      <c r="K123" s="80"/>
      <c r="L123" s="11" t="s">
        <v>284</v>
      </c>
      <c r="M123" s="80">
        <f>0.9-0.1*J123</f>
        <v>1.08651985318652</v>
      </c>
      <c r="N123" s="80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2:41" ht="24.75" customHeight="1">
      <c r="B124" s="8" t="s">
        <v>357</v>
      </c>
      <c r="D124" s="41">
        <v>23.9</v>
      </c>
      <c r="E124" s="41"/>
      <c r="F124" s="72" t="s">
        <v>358</v>
      </c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24.75" customHeight="1">
      <c r="B125" s="8" t="s">
        <v>359</v>
      </c>
      <c r="D125" s="80">
        <f>IF(P125&lt;=1,4,5.34)</f>
        <v>4</v>
      </c>
      <c r="E125" s="80"/>
      <c r="F125" s="11" t="s">
        <v>360</v>
      </c>
      <c r="G125" s="80">
        <f>IF(P125&lt;=1,5.34,4)</f>
        <v>5.34</v>
      </c>
      <c r="H125" s="80"/>
      <c r="I125" s="72" t="s">
        <v>361</v>
      </c>
      <c r="M125" s="11" t="s">
        <v>311</v>
      </c>
      <c r="N125" s="8" t="s">
        <v>362</v>
      </c>
      <c r="P125" s="26">
        <f>L86/J118</f>
        <v>0.7103409090909091</v>
      </c>
      <c r="Q125" s="26"/>
      <c r="R125" s="8" t="str">
        <f>IF(P125&lt;=1,"≤","＞")</f>
        <v>≤</v>
      </c>
      <c r="S125" s="11">
        <v>1</v>
      </c>
      <c r="T125" s="8" t="s">
        <v>363</v>
      </c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3:41" ht="24.75" customHeight="1">
      <c r="C126" s="37" t="s">
        <v>364</v>
      </c>
      <c r="D126" s="80">
        <f>D125</f>
        <v>4</v>
      </c>
      <c r="E126" s="80"/>
      <c r="F126" s="11" t="s">
        <v>360</v>
      </c>
      <c r="G126" s="80">
        <f>G125</f>
        <v>5.34</v>
      </c>
      <c r="H126" s="80"/>
      <c r="I126" s="14" t="s">
        <v>304</v>
      </c>
      <c r="J126" s="81">
        <f>P125</f>
        <v>0.7103409090909091</v>
      </c>
      <c r="K126" s="81"/>
      <c r="L126" s="8" t="s">
        <v>284</v>
      </c>
      <c r="M126" s="80">
        <f>D126+G126/J126^2</f>
        <v>14.582970938375665</v>
      </c>
      <c r="N126" s="80"/>
      <c r="O126" s="72" t="s">
        <v>365</v>
      </c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2:41" ht="24.75" customHeight="1">
      <c r="B127" s="8" t="s">
        <v>366</v>
      </c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3:41" ht="24.75" customHeight="1">
      <c r="C128" s="8" t="s">
        <v>364</v>
      </c>
      <c r="D128" s="8" t="s">
        <v>367</v>
      </c>
      <c r="J128" s="8" t="s">
        <v>368</v>
      </c>
      <c r="K128" s="80">
        <f>L121</f>
        <v>-1.8651985318651982</v>
      </c>
      <c r="L128" s="80"/>
      <c r="M128" s="8" t="s">
        <v>369</v>
      </c>
      <c r="N128" s="44" t="str">
        <f>"-4.3 x "&amp;ROUND(L122,2)</f>
        <v>-4.3 x 0.25</v>
      </c>
      <c r="O128" s="44"/>
      <c r="P128" s="44"/>
      <c r="Q128" s="8" t="s">
        <v>284</v>
      </c>
      <c r="R128" s="80">
        <f>1.25+(0.3+0.15*L121)*EXP(-4.3*L122)</f>
        <v>1.2568010591751784</v>
      </c>
      <c r="S128" s="80"/>
      <c r="T128" s="11" t="str">
        <f>IF(R128&gt;=1.25,"≥","＜")</f>
        <v>≥</v>
      </c>
      <c r="U128" s="82">
        <v>1.25</v>
      </c>
      <c r="V128" s="82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:41" ht="24.75" customHeight="1">
      <c r="B129" s="189" t="s">
        <v>370</v>
      </c>
      <c r="C129" s="189"/>
      <c r="D129" s="32" t="s">
        <v>347</v>
      </c>
      <c r="E129" s="83">
        <v>2</v>
      </c>
      <c r="F129" s="33" t="s">
        <v>371</v>
      </c>
      <c r="G129" s="33"/>
      <c r="H129" s="33"/>
      <c r="J129" s="33" t="s">
        <v>372</v>
      </c>
      <c r="K129" s="33"/>
      <c r="L129" s="189" t="s">
        <v>360</v>
      </c>
      <c r="N129" s="33" t="s">
        <v>373</v>
      </c>
      <c r="O129" s="33"/>
      <c r="P129" s="83">
        <v>2</v>
      </c>
      <c r="Q129" s="189" t="s">
        <v>360</v>
      </c>
      <c r="S129" s="32" t="s">
        <v>39</v>
      </c>
      <c r="T129" s="83">
        <v>2</v>
      </c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2:41" ht="24.75" customHeight="1">
      <c r="B130" s="189"/>
      <c r="C130" s="189"/>
      <c r="D130" s="11" t="s">
        <v>285</v>
      </c>
      <c r="F130" s="23" t="s">
        <v>374</v>
      </c>
      <c r="G130" s="23"/>
      <c r="H130" s="23"/>
      <c r="J130" s="23" t="s">
        <v>375</v>
      </c>
      <c r="K130" s="23"/>
      <c r="L130" s="189"/>
      <c r="N130" s="23" t="s">
        <v>375</v>
      </c>
      <c r="O130" s="23"/>
      <c r="Q130" s="189"/>
      <c r="S130" s="11" t="s">
        <v>38</v>
      </c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2:41" ht="24.75" customHeight="1">
      <c r="B131" s="189" t="s">
        <v>284</v>
      </c>
      <c r="C131" s="189" t="s">
        <v>370</v>
      </c>
      <c r="D131" s="189"/>
      <c r="E131" s="33">
        <f>J118</f>
        <v>1760</v>
      </c>
      <c r="F131" s="33"/>
      <c r="G131" s="83">
        <v>2</v>
      </c>
      <c r="H131" s="189" t="s">
        <v>368</v>
      </c>
      <c r="I131" s="84" t="str">
        <f>ROUND(R128,2)&amp;" × "&amp;ROUND(S120,2)</f>
        <v>1.26 × 71.93</v>
      </c>
      <c r="J131" s="33"/>
      <c r="K131" s="33"/>
      <c r="L131" s="33"/>
      <c r="N131" s="31" t="str">
        <f>"1 + ("&amp;ROUND(L121,2)&amp;")"</f>
        <v>1 + (-1.87)</v>
      </c>
      <c r="O131" s="31"/>
      <c r="Q131" s="189" t="s">
        <v>360</v>
      </c>
      <c r="S131" s="33" t="str">
        <f>"3 - ("&amp;ROUND(L121,2)&amp;")"</f>
        <v>3 - (-1.87)</v>
      </c>
      <c r="T131" s="33"/>
      <c r="U131" s="33"/>
      <c r="V131" s="83">
        <v>2</v>
      </c>
      <c r="W131" s="203" t="s">
        <v>360</v>
      </c>
      <c r="X131" s="84">
        <f>ROUND(L122,2)</f>
        <v>0.25</v>
      </c>
      <c r="Y131" s="84"/>
      <c r="Z131" s="83">
        <v>2</v>
      </c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2:41" ht="24.75" customHeight="1">
      <c r="B132" s="189"/>
      <c r="C132" s="189"/>
      <c r="D132" s="189"/>
      <c r="E132" s="23">
        <f>J66</f>
        <v>2200</v>
      </c>
      <c r="F132" s="23"/>
      <c r="H132" s="189"/>
      <c r="I132" s="37" t="str">
        <f>" (425×"&amp;ROUND(M123,2)&amp;")"</f>
        <v> (425×1.09)</v>
      </c>
      <c r="L132" s="85">
        <v>2</v>
      </c>
      <c r="N132" s="23" t="str">
        <f>"4×"&amp;D124</f>
        <v>4×23.9</v>
      </c>
      <c r="O132" s="23"/>
      <c r="P132" s="23"/>
      <c r="Q132" s="189"/>
      <c r="S132" s="23" t="str">
        <f>"4×"&amp;D124</f>
        <v>4×23.9</v>
      </c>
      <c r="T132" s="23"/>
      <c r="U132" s="23"/>
      <c r="W132" s="203"/>
      <c r="X132" s="80">
        <f>ROUND(M126,2)</f>
        <v>14.58</v>
      </c>
      <c r="Y132" s="80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2:41" ht="24.75" customHeight="1">
      <c r="B133" s="8" t="s">
        <v>284</v>
      </c>
      <c r="C133" s="86">
        <f>(1-E131/E132)^2*R128*S120/(425*M123)^2*((1+J927)/(4*D124)+SQRT(((3-L121)/(4*D124))^2+(L122/M126)^2))</f>
        <v>1.0893081186093552E-06</v>
      </c>
      <c r="D133" s="86"/>
      <c r="E133" s="86"/>
      <c r="F133" s="11" t="str">
        <f>IF(C133&gt;P133,"＞","≤")</f>
        <v>≤</v>
      </c>
      <c r="G133" s="8" t="s">
        <v>376</v>
      </c>
      <c r="J133" s="11" t="s">
        <v>284</v>
      </c>
      <c r="K133" s="37" t="str">
        <f>"( "&amp;J67&amp;" / "&amp;J66&amp;" )²"</f>
        <v>( 12 / 2200 )²</v>
      </c>
      <c r="M133" s="14"/>
      <c r="N133" s="129"/>
      <c r="O133" s="129" t="s">
        <v>284</v>
      </c>
      <c r="P133" s="86">
        <f>(J67/J66)^2</f>
        <v>2.9752066115702484E-05</v>
      </c>
      <c r="Q133" s="86"/>
      <c r="R133" s="86"/>
      <c r="S133" s="8" t="str">
        <f>IF(C133&gt;P133,"N.G. したがって、水平補剛材必要。","O.K. したがって、水平補剛材必要なし。")</f>
        <v>O.K. したがって、水平補剛材必要なし。</v>
      </c>
      <c r="W133" s="86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</sheetData>
  <mergeCells count="229">
    <mergeCell ref="B129:C130"/>
    <mergeCell ref="Q131:Q132"/>
    <mergeCell ref="W131:W132"/>
    <mergeCell ref="B131:B132"/>
    <mergeCell ref="L129:L130"/>
    <mergeCell ref="Q129:Q130"/>
    <mergeCell ref="C131:D132"/>
    <mergeCell ref="H131:H132"/>
    <mergeCell ref="AO68:AQ68"/>
    <mergeCell ref="AO69:AQ69"/>
    <mergeCell ref="AO70:AQ70"/>
    <mergeCell ref="AO71:AQ71"/>
    <mergeCell ref="AC61:AE61"/>
    <mergeCell ref="AF61:AH61"/>
    <mergeCell ref="AI61:AK61"/>
    <mergeCell ref="AL61:AN61"/>
    <mergeCell ref="T46:U46"/>
    <mergeCell ref="AC58:AM58"/>
    <mergeCell ref="AC59:AE59"/>
    <mergeCell ref="AF59:AH59"/>
    <mergeCell ref="AI59:AK59"/>
    <mergeCell ref="AL59:AN59"/>
    <mergeCell ref="AI48:AK48"/>
    <mergeCell ref="AL48:AN48"/>
    <mergeCell ref="AC48:AE48"/>
    <mergeCell ref="H44:I44"/>
    <mergeCell ref="T45:V45"/>
    <mergeCell ref="C35:C36"/>
    <mergeCell ref="D35:D36"/>
    <mergeCell ref="O35:O36"/>
    <mergeCell ref="F36:G36"/>
    <mergeCell ref="P35:P36"/>
    <mergeCell ref="N44:O44"/>
    <mergeCell ref="I4:J4"/>
    <mergeCell ref="N11:N12"/>
    <mergeCell ref="H35:H36"/>
    <mergeCell ref="L35:L36"/>
    <mergeCell ref="M35:N36"/>
    <mergeCell ref="H3:K3"/>
    <mergeCell ref="N9:N10"/>
    <mergeCell ref="AC34:AM34"/>
    <mergeCell ref="AC35:AE35"/>
    <mergeCell ref="AF35:AH35"/>
    <mergeCell ref="AI35:AK35"/>
    <mergeCell ref="AL35:AN35"/>
    <mergeCell ref="Q35:Q36"/>
    <mergeCell ref="R35:R36"/>
    <mergeCell ref="T35:Y36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AC36:AE36"/>
    <mergeCell ref="AF36:AH36"/>
    <mergeCell ref="AI36:AK36"/>
    <mergeCell ref="AL36:AN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AR59:AT59"/>
    <mergeCell ref="AU59:AW59"/>
    <mergeCell ref="AX59:AZ59"/>
    <mergeCell ref="BA59:BC59"/>
    <mergeCell ref="BD59:BF59"/>
    <mergeCell ref="BG59:BI59"/>
    <mergeCell ref="BJ59:BL59"/>
    <mergeCell ref="BM59:BO59"/>
    <mergeCell ref="BP59:BR59"/>
    <mergeCell ref="AC60:AE60"/>
    <mergeCell ref="AF60:AH60"/>
    <mergeCell ref="AI60:AK60"/>
    <mergeCell ref="AL60:AN60"/>
    <mergeCell ref="AR60:AT60"/>
    <mergeCell ref="AU60:AW60"/>
    <mergeCell ref="AX60:AZ60"/>
    <mergeCell ref="BA60:BC60"/>
    <mergeCell ref="BD60:BF60"/>
    <mergeCell ref="BG60:BI60"/>
    <mergeCell ref="BJ60:BL60"/>
    <mergeCell ref="BM60:BO60"/>
    <mergeCell ref="BP60:BR60"/>
    <mergeCell ref="AR61:AT61"/>
    <mergeCell ref="AU61:AW61"/>
    <mergeCell ref="AX61:AZ61"/>
    <mergeCell ref="BA61:BC61"/>
    <mergeCell ref="BD61:BF61"/>
    <mergeCell ref="BG61:BI61"/>
    <mergeCell ref="BJ61:BL61"/>
    <mergeCell ref="BM61:BO61"/>
    <mergeCell ref="BP61:BR61"/>
    <mergeCell ref="AC62:AE62"/>
    <mergeCell ref="AF62:AH62"/>
    <mergeCell ref="AI62:AK62"/>
    <mergeCell ref="AL62:AN62"/>
    <mergeCell ref="AR62:AT62"/>
    <mergeCell ref="AU62:AW62"/>
    <mergeCell ref="AX62:AZ62"/>
    <mergeCell ref="BA62:BC62"/>
    <mergeCell ref="BD62:BF62"/>
    <mergeCell ref="BG62:BI62"/>
    <mergeCell ref="BJ62:BL62"/>
    <mergeCell ref="BM62:BO62"/>
    <mergeCell ref="BP62:BR62"/>
    <mergeCell ref="AC45:AE45"/>
    <mergeCell ref="AF45:AH45"/>
    <mergeCell ref="AI45:AK45"/>
    <mergeCell ref="AL45:AN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AC46:AE46"/>
    <mergeCell ref="AF46:AH46"/>
    <mergeCell ref="AI46:AK46"/>
    <mergeCell ref="AL46:AN46"/>
    <mergeCell ref="AR46:AT46"/>
    <mergeCell ref="AU46:AW46"/>
    <mergeCell ref="AX46:AZ46"/>
    <mergeCell ref="BA46:BC46"/>
    <mergeCell ref="BP46:BR46"/>
    <mergeCell ref="AU47:AW47"/>
    <mergeCell ref="AX47:AZ47"/>
    <mergeCell ref="BA47:BC47"/>
    <mergeCell ref="BP47:BR47"/>
    <mergeCell ref="BD46:BF46"/>
    <mergeCell ref="BG46:BI46"/>
    <mergeCell ref="BJ46:BL46"/>
    <mergeCell ref="BM46:BO46"/>
    <mergeCell ref="BD70:BF70"/>
    <mergeCell ref="BG70:BI70"/>
    <mergeCell ref="BJ70:BL70"/>
    <mergeCell ref="BM70:BO70"/>
    <mergeCell ref="BP70:BR70"/>
    <mergeCell ref="BD47:BF47"/>
    <mergeCell ref="BG47:BI47"/>
    <mergeCell ref="BJ47:BL47"/>
    <mergeCell ref="BM47:BO47"/>
    <mergeCell ref="BG69:BI69"/>
    <mergeCell ref="BJ69:BL69"/>
    <mergeCell ref="BM69:BO69"/>
    <mergeCell ref="BP69:BR69"/>
    <mergeCell ref="BP68:BR68"/>
    <mergeCell ref="AR70:AT70"/>
    <mergeCell ref="AU70:AW70"/>
    <mergeCell ref="AX70:AZ70"/>
    <mergeCell ref="BA70:BC70"/>
    <mergeCell ref="AC70:AE70"/>
    <mergeCell ref="AF70:AH70"/>
    <mergeCell ref="AI70:AK70"/>
    <mergeCell ref="AL70:AN70"/>
    <mergeCell ref="AC69:AE69"/>
    <mergeCell ref="AF69:AH69"/>
    <mergeCell ref="AI69:AK69"/>
    <mergeCell ref="AL69:AN69"/>
    <mergeCell ref="BD48:BF48"/>
    <mergeCell ref="BD68:BF68"/>
    <mergeCell ref="AR69:AT69"/>
    <mergeCell ref="AU69:AW69"/>
    <mergeCell ref="AX69:AZ69"/>
    <mergeCell ref="BA69:BC69"/>
    <mergeCell ref="BD69:BF69"/>
    <mergeCell ref="AU48:AW48"/>
    <mergeCell ref="AX48:AZ48"/>
    <mergeCell ref="BA48:BC48"/>
    <mergeCell ref="BG48:BI48"/>
    <mergeCell ref="BJ48:BL48"/>
    <mergeCell ref="BM48:BO48"/>
    <mergeCell ref="BP48:BR48"/>
    <mergeCell ref="BG68:BI68"/>
    <mergeCell ref="BJ68:BL68"/>
    <mergeCell ref="BM68:BO68"/>
    <mergeCell ref="AR68:AT68"/>
    <mergeCell ref="AU68:AW68"/>
    <mergeCell ref="AX68:AZ68"/>
    <mergeCell ref="BA68:BC68"/>
    <mergeCell ref="AC68:AE68"/>
    <mergeCell ref="AF68:AH68"/>
    <mergeCell ref="AI68:AK68"/>
    <mergeCell ref="AL68:AN68"/>
    <mergeCell ref="AR48:AT48"/>
    <mergeCell ref="AR47:AT47"/>
    <mergeCell ref="AI47:AK47"/>
    <mergeCell ref="AL47:AN47"/>
    <mergeCell ref="AO48:AQ48"/>
    <mergeCell ref="I47:L47"/>
    <mergeCell ref="I58:L58"/>
    <mergeCell ref="AF48:AH48"/>
    <mergeCell ref="AC47:AE47"/>
    <mergeCell ref="AF47:AH47"/>
    <mergeCell ref="AC71:AE71"/>
    <mergeCell ref="AF71:AH71"/>
    <mergeCell ref="AI71:AK71"/>
    <mergeCell ref="AL71:AN71"/>
    <mergeCell ref="BP71:BR71"/>
    <mergeCell ref="I85:L85"/>
    <mergeCell ref="BD71:BF71"/>
    <mergeCell ref="BG71:BI71"/>
    <mergeCell ref="BJ71:BL71"/>
    <mergeCell ref="BM71:BO71"/>
    <mergeCell ref="AR71:AT71"/>
    <mergeCell ref="AU71:AW71"/>
    <mergeCell ref="AX71:AZ71"/>
    <mergeCell ref="BA71:BC71"/>
    <mergeCell ref="AC67:AO67"/>
    <mergeCell ref="AO35:AQ35"/>
    <mergeCell ref="AO36:AQ36"/>
    <mergeCell ref="AO59:AQ59"/>
    <mergeCell ref="AO60:AQ60"/>
    <mergeCell ref="AO61:AQ61"/>
    <mergeCell ref="AO62:AQ62"/>
    <mergeCell ref="AO45:AQ45"/>
    <mergeCell ref="AO46:AQ46"/>
    <mergeCell ref="AO47:AQ47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1"/>
  <headerFooter alignWithMargins="0">
    <oddHeader>&amp;R
</oddHeader>
  </headerFooter>
  <rowBreaks count="2" manualBreakCount="2">
    <brk id="56" max="255" man="1"/>
    <brk id="84" max="255" man="1"/>
  </rowBreaks>
  <drawing r:id="rId10"/>
  <legacyDrawing r:id="rId9"/>
  <oleObjects>
    <oleObject progId="HunEquation" shapeId="13613107" r:id="rId1"/>
    <oleObject progId="HunEquation" shapeId="13613108" r:id="rId2"/>
    <oleObject progId="HunEquation" shapeId="13613109" r:id="rId3"/>
    <oleObject progId="HunEquation" shapeId="13613110" r:id="rId4"/>
    <oleObject progId="HunEquation" shapeId="13613111" r:id="rId5"/>
    <oleObject progId="HunEquation" shapeId="13613112" r:id="rId6"/>
    <oleObject progId="HunEquation" shapeId="13613113" r:id="rId7"/>
    <oleObject progId="HunEquation" shapeId="13613114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BP33"/>
  <sheetViews>
    <sheetView tabSelected="1" zoomScaleSheetLayoutView="100" workbookViewId="0" topLeftCell="A1">
      <selection activeCell="W7" sqref="W7"/>
    </sheetView>
  </sheetViews>
  <sheetFormatPr defaultColWidth="8.88671875" defaultRowHeight="34.5" customHeight="1"/>
  <cols>
    <col min="1" max="26" width="2.88671875" style="90" customWidth="1"/>
    <col min="27" max="65" width="1.77734375" style="90" customWidth="1"/>
    <col min="66" max="16384" width="2.88671875" style="90" customWidth="1"/>
  </cols>
  <sheetData>
    <row r="1" s="89" customFormat="1" ht="21.75" customHeight="1">
      <c r="A1" s="88" t="s">
        <v>378</v>
      </c>
    </row>
    <row r="2" ht="21.75" customHeight="1">
      <c r="B2" s="215" t="s">
        <v>379</v>
      </c>
    </row>
    <row r="3" ht="21.75" customHeight="1"/>
    <row r="4" ht="21.75" customHeight="1"/>
    <row r="5" ht="21.75" customHeight="1"/>
    <row r="6" ht="21.75" customHeight="1"/>
    <row r="7" ht="21.75" customHeight="1"/>
    <row r="8" spans="1:32" ht="21.75" customHeight="1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131"/>
      <c r="AA8" s="131"/>
      <c r="AB8" s="131"/>
      <c r="AC8" s="132"/>
      <c r="AD8" s="92"/>
      <c r="AE8" s="92"/>
      <c r="AF8" s="92"/>
    </row>
    <row r="9" spans="1:25" ht="21.7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7" ht="19.5" customHeight="1">
      <c r="A10" s="92"/>
      <c r="B10" s="92" t="s">
        <v>380</v>
      </c>
      <c r="C10" s="92"/>
      <c r="D10" s="92"/>
      <c r="E10" s="92"/>
      <c r="F10" s="92"/>
      <c r="G10" s="92" t="s">
        <v>12</v>
      </c>
      <c r="H10" s="216" t="s">
        <v>381</v>
      </c>
      <c r="I10" s="216"/>
      <c r="J10" s="216"/>
      <c r="K10" s="216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AA10" s="217"/>
    </row>
    <row r="11" spans="1:28" ht="19.5" customHeight="1">
      <c r="A11" s="92"/>
      <c r="B11" s="92" t="s">
        <v>382</v>
      </c>
      <c r="C11" s="92"/>
      <c r="D11" s="92"/>
      <c r="E11" s="92"/>
      <c r="F11" s="92"/>
      <c r="G11" s="92" t="s">
        <v>12</v>
      </c>
      <c r="H11" s="92" t="s">
        <v>0</v>
      </c>
      <c r="I11" s="92"/>
      <c r="J11" s="218">
        <v>4348.43</v>
      </c>
      <c r="K11" s="218"/>
      <c r="L11" s="218"/>
      <c r="M11" s="218"/>
      <c r="N11" s="218"/>
      <c r="O11" s="219">
        <v>7</v>
      </c>
      <c r="P11" s="219"/>
      <c r="Q11" s="92" t="s">
        <v>10</v>
      </c>
      <c r="R11" s="92"/>
      <c r="S11" s="92"/>
      <c r="T11" s="92"/>
      <c r="U11" s="92"/>
      <c r="V11" s="92"/>
      <c r="W11" s="92"/>
      <c r="X11" s="92"/>
      <c r="Z11" s="131"/>
      <c r="AA11" s="131"/>
      <c r="AB11" s="131"/>
    </row>
    <row r="12" spans="1:24" ht="19.5" customHeight="1">
      <c r="A12" s="92"/>
      <c r="B12" s="91" t="s">
        <v>383</v>
      </c>
      <c r="C12" s="92"/>
      <c r="D12" s="92"/>
      <c r="E12" s="92"/>
      <c r="F12" s="92"/>
      <c r="G12" s="92" t="s">
        <v>12</v>
      </c>
      <c r="H12" s="92" t="s">
        <v>20</v>
      </c>
      <c r="I12" s="220">
        <v>240</v>
      </c>
      <c r="J12" s="220"/>
      <c r="K12" s="92" t="s">
        <v>384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19.5" customHeight="1">
      <c r="A13" s="92"/>
      <c r="B13" s="91" t="s">
        <v>385</v>
      </c>
      <c r="C13" s="92"/>
      <c r="D13" s="92"/>
      <c r="E13" s="92"/>
      <c r="F13" s="92"/>
      <c r="G13" s="92" t="s">
        <v>12</v>
      </c>
      <c r="H13" s="92" t="s">
        <v>25</v>
      </c>
      <c r="I13" s="220">
        <v>2200</v>
      </c>
      <c r="J13" s="220"/>
      <c r="K13" s="92" t="s">
        <v>384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X13" s="92"/>
    </row>
    <row r="14" spans="1:23" ht="19.5" customHeight="1">
      <c r="A14" s="92"/>
      <c r="B14" s="91" t="s">
        <v>386</v>
      </c>
      <c r="C14" s="92"/>
      <c r="D14" s="92"/>
      <c r="E14" s="92"/>
      <c r="F14" s="92"/>
      <c r="G14" s="92" t="s">
        <v>12</v>
      </c>
      <c r="H14" s="92" t="s">
        <v>1</v>
      </c>
      <c r="I14" s="220">
        <v>20</v>
      </c>
      <c r="J14" s="220"/>
      <c r="K14" s="92" t="s">
        <v>384</v>
      </c>
      <c r="L14" s="92" t="s">
        <v>387</v>
      </c>
      <c r="M14" s="92"/>
      <c r="N14" s="92"/>
      <c r="O14" s="92" t="s">
        <v>23</v>
      </c>
      <c r="P14" s="133">
        <v>13</v>
      </c>
      <c r="Q14" s="93"/>
      <c r="R14" s="92" t="s">
        <v>9</v>
      </c>
      <c r="S14" s="93">
        <f>ROUND(I12/P14,2)</f>
        <v>18.46</v>
      </c>
      <c r="T14" s="94"/>
      <c r="U14" s="92" t="s">
        <v>384</v>
      </c>
      <c r="V14" s="92"/>
      <c r="W14" s="90" t="str">
        <f>IF(I14&gt;=S14,"O.K","N.G")</f>
        <v>O.K</v>
      </c>
    </row>
    <row r="15" spans="1:65" ht="19.5" customHeight="1">
      <c r="A15" s="92"/>
      <c r="B15" s="91" t="s">
        <v>388</v>
      </c>
      <c r="C15" s="92"/>
      <c r="D15" s="92"/>
      <c r="E15" s="92"/>
      <c r="F15" s="92"/>
      <c r="G15" s="92" t="s">
        <v>12</v>
      </c>
      <c r="H15" s="92" t="s">
        <v>26</v>
      </c>
      <c r="I15" s="220">
        <v>20</v>
      </c>
      <c r="J15" s="220"/>
      <c r="K15" s="92" t="s">
        <v>384</v>
      </c>
      <c r="L15" s="92"/>
      <c r="M15" s="92"/>
      <c r="N15" s="92"/>
      <c r="O15" s="92"/>
      <c r="P15" s="92"/>
      <c r="Q15" s="92"/>
      <c r="R15" s="92"/>
      <c r="S15" s="7" t="s">
        <v>389</v>
      </c>
      <c r="T15" s="92"/>
      <c r="U15" s="92"/>
      <c r="V15" s="92"/>
      <c r="W15" s="92"/>
      <c r="X15" s="92"/>
      <c r="BE15" s="221" t="s">
        <v>390</v>
      </c>
      <c r="BF15" s="222"/>
      <c r="BG15" s="223"/>
      <c r="BH15" s="221" t="s">
        <v>391</v>
      </c>
      <c r="BI15" s="222"/>
      <c r="BJ15" s="223"/>
      <c r="BK15" s="221" t="s">
        <v>392</v>
      </c>
      <c r="BL15" s="222"/>
      <c r="BM15" s="223"/>
    </row>
    <row r="16" spans="1:65" ht="19.5" customHeight="1">
      <c r="A16" s="92"/>
      <c r="B16" s="92" t="s">
        <v>393</v>
      </c>
      <c r="C16" s="92"/>
      <c r="D16" s="92"/>
      <c r="E16" s="92"/>
      <c r="F16" s="92"/>
      <c r="G16" s="92" t="s">
        <v>12</v>
      </c>
      <c r="H16" s="92" t="s">
        <v>18</v>
      </c>
      <c r="I16" s="224">
        <v>2</v>
      </c>
      <c r="J16" s="224"/>
      <c r="K16" s="92" t="s">
        <v>27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AA16" s="121" t="s">
        <v>394</v>
      </c>
      <c r="AB16" s="121"/>
      <c r="AC16" s="121"/>
      <c r="AD16" s="121"/>
      <c r="AE16" s="121"/>
      <c r="AF16" s="121"/>
      <c r="AG16" s="121"/>
      <c r="AH16" s="121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1">
        <f>HLOOKUP(H10,AD29:BP32,AA29,FALSE)</f>
        <v>140</v>
      </c>
      <c r="BF16" s="222"/>
      <c r="BG16" s="223"/>
      <c r="BH16" s="226">
        <f>HLOOKUP(H10,AD29:BP32,AA29,FALSE)-LOOKUP(AA18,AD18:BP18,AD21:BP21)*(D29-LOOKUP(AA18,AD18:BP18,AD19:BP19))</f>
        <v>147.9102168085478</v>
      </c>
      <c r="BI16" s="227"/>
      <c r="BJ16" s="209"/>
      <c r="BK16" s="228">
        <f>1200000/(LOOKUP(AA18,AD18:BP18,AD22:BP22)+D29^2)</f>
        <v>177.25836629003055</v>
      </c>
      <c r="BL16" s="229"/>
      <c r="BM16" s="230"/>
    </row>
    <row r="17" spans="1:68" ht="19.5" customHeight="1">
      <c r="A17" s="92"/>
      <c r="B17" s="92" t="s">
        <v>395</v>
      </c>
      <c r="C17" s="92"/>
      <c r="D17" s="92"/>
      <c r="E17" s="92"/>
      <c r="F17" s="92"/>
      <c r="G17" s="92" t="s">
        <v>12</v>
      </c>
      <c r="H17" s="92" t="s">
        <v>2</v>
      </c>
      <c r="I17" s="220">
        <v>12</v>
      </c>
      <c r="J17" s="220"/>
      <c r="K17" s="92" t="s">
        <v>384</v>
      </c>
      <c r="L17" s="92"/>
      <c r="M17" s="92"/>
      <c r="N17" s="92"/>
      <c r="O17" s="92"/>
      <c r="P17" s="92"/>
      <c r="AA17" s="183">
        <f>AA29</f>
        <v>2</v>
      </c>
      <c r="AB17" s="184"/>
      <c r="AC17" s="185"/>
      <c r="AD17" s="186" t="s">
        <v>396</v>
      </c>
      <c r="AE17" s="187"/>
      <c r="AF17" s="188"/>
      <c r="AG17" s="186" t="s">
        <v>397</v>
      </c>
      <c r="AH17" s="187"/>
      <c r="AI17" s="188"/>
      <c r="AJ17" s="186" t="s">
        <v>381</v>
      </c>
      <c r="AK17" s="187"/>
      <c r="AL17" s="188"/>
      <c r="AM17" s="186" t="s">
        <v>398</v>
      </c>
      <c r="AN17" s="187"/>
      <c r="AO17" s="188"/>
      <c r="AP17" s="186" t="s">
        <v>35</v>
      </c>
      <c r="AQ17" s="187"/>
      <c r="AR17" s="188"/>
      <c r="AS17" s="231" t="s">
        <v>399</v>
      </c>
      <c r="AT17" s="232"/>
      <c r="AU17" s="233"/>
      <c r="AV17" s="186" t="s">
        <v>400</v>
      </c>
      <c r="AW17" s="187"/>
      <c r="AX17" s="188"/>
      <c r="AY17" s="186" t="s">
        <v>401</v>
      </c>
      <c r="AZ17" s="187"/>
      <c r="BA17" s="188"/>
      <c r="BB17" s="186" t="s">
        <v>402</v>
      </c>
      <c r="BC17" s="187"/>
      <c r="BD17" s="188"/>
      <c r="BE17" s="231" t="s">
        <v>403</v>
      </c>
      <c r="BF17" s="232"/>
      <c r="BG17" s="233"/>
      <c r="BH17" s="186" t="s">
        <v>404</v>
      </c>
      <c r="BI17" s="187"/>
      <c r="BJ17" s="188"/>
      <c r="BK17" s="186" t="s">
        <v>405</v>
      </c>
      <c r="BL17" s="187"/>
      <c r="BM17" s="188"/>
      <c r="BN17" s="231" t="s">
        <v>406</v>
      </c>
      <c r="BO17" s="232"/>
      <c r="BP17" s="233"/>
    </row>
    <row r="18" spans="3:68" ht="19.5" customHeight="1">
      <c r="C18" s="90" t="s">
        <v>26</v>
      </c>
      <c r="D18" s="211">
        <f>I15</f>
        <v>20</v>
      </c>
      <c r="E18" s="211"/>
      <c r="F18" s="92" t="s">
        <v>384</v>
      </c>
      <c r="H18" s="95" t="str">
        <f>IF(D18&lt;L18,"＜","＞")</f>
        <v>＜</v>
      </c>
      <c r="J18" s="90" t="s">
        <v>3</v>
      </c>
      <c r="L18" s="96">
        <f>24*I17</f>
        <v>288</v>
      </c>
      <c r="M18" s="96"/>
      <c r="N18" s="92" t="s">
        <v>407</v>
      </c>
      <c r="AA18" s="234">
        <f>HLOOKUP(H10,AD17:BP18,2,FALSE)</f>
        <v>3</v>
      </c>
      <c r="AB18" s="234"/>
      <c r="AC18" s="234"/>
      <c r="AD18" s="179">
        <v>1</v>
      </c>
      <c r="AE18" s="179"/>
      <c r="AF18" s="179"/>
      <c r="AG18" s="179">
        <v>2</v>
      </c>
      <c r="AH18" s="179"/>
      <c r="AI18" s="179"/>
      <c r="AJ18" s="179">
        <v>3</v>
      </c>
      <c r="AK18" s="179"/>
      <c r="AL18" s="179"/>
      <c r="AM18" s="179">
        <v>4</v>
      </c>
      <c r="AN18" s="179"/>
      <c r="AO18" s="179"/>
      <c r="AP18" s="179">
        <v>5</v>
      </c>
      <c r="AQ18" s="179"/>
      <c r="AR18" s="179"/>
      <c r="AS18" s="179">
        <v>6</v>
      </c>
      <c r="AT18" s="179"/>
      <c r="AU18" s="179"/>
      <c r="AV18" s="179">
        <v>7</v>
      </c>
      <c r="AW18" s="179"/>
      <c r="AX18" s="179"/>
      <c r="AY18" s="179">
        <v>8</v>
      </c>
      <c r="AZ18" s="179"/>
      <c r="BA18" s="179"/>
      <c r="BB18" s="179">
        <v>9</v>
      </c>
      <c r="BC18" s="179"/>
      <c r="BD18" s="179"/>
      <c r="BE18" s="179">
        <v>10</v>
      </c>
      <c r="BF18" s="179"/>
      <c r="BG18" s="179"/>
      <c r="BH18" s="179">
        <v>11</v>
      </c>
      <c r="BI18" s="179"/>
      <c r="BJ18" s="179"/>
      <c r="BK18" s="179">
        <v>12</v>
      </c>
      <c r="BL18" s="179"/>
      <c r="BM18" s="179"/>
      <c r="BN18" s="179">
        <v>13</v>
      </c>
      <c r="BO18" s="179"/>
      <c r="BP18" s="179"/>
    </row>
    <row r="19" spans="2:68" ht="19.5" customHeight="1">
      <c r="B19" s="90" t="s">
        <v>408</v>
      </c>
      <c r="F19" s="90" t="str">
        <f>IF(L18&gt;=D18,"Be = 2·12td + "&amp;I16-1&amp;"·d = ","Be = 2·12td + "&amp;I16-1&amp;"·24 td = ")</f>
        <v>Be = 2·12td + 1·d = </v>
      </c>
      <c r="M19" s="96">
        <f>IF(L18&gt;=D18,2*12*I17+(I16-1)*D18,2*12*I17+(I16-1)*24*I17)</f>
        <v>308</v>
      </c>
      <c r="N19" s="96"/>
      <c r="O19" s="92" t="s">
        <v>384</v>
      </c>
      <c r="AA19" s="235" t="s">
        <v>409</v>
      </c>
      <c r="AB19" s="236"/>
      <c r="AC19" s="237"/>
      <c r="AD19" s="185">
        <f>IF(AA17=2,18,19)</f>
        <v>18</v>
      </c>
      <c r="AE19" s="179"/>
      <c r="AF19" s="179"/>
      <c r="AG19" s="185">
        <f>AD19</f>
        <v>18</v>
      </c>
      <c r="AH19" s="179"/>
      <c r="AI19" s="179"/>
      <c r="AJ19" s="185">
        <f>AD19</f>
        <v>18</v>
      </c>
      <c r="AK19" s="179"/>
      <c r="AL19" s="179"/>
      <c r="AM19" s="185">
        <v>18</v>
      </c>
      <c r="AN19" s="179"/>
      <c r="AO19" s="179"/>
      <c r="AP19" s="183">
        <v>16</v>
      </c>
      <c r="AQ19" s="184"/>
      <c r="AR19" s="185"/>
      <c r="AS19" s="185">
        <f>AP19</f>
        <v>16</v>
      </c>
      <c r="AT19" s="179"/>
      <c r="AU19" s="179"/>
      <c r="AV19" s="185">
        <f>IF(AA17=2,15,IF(AA17=3,15,16))</f>
        <v>15</v>
      </c>
      <c r="AW19" s="179"/>
      <c r="AX19" s="179"/>
      <c r="AY19" s="185">
        <f>AV19</f>
        <v>15</v>
      </c>
      <c r="AZ19" s="179"/>
      <c r="BA19" s="179"/>
      <c r="BB19" s="185">
        <f>AV19</f>
        <v>15</v>
      </c>
      <c r="BC19" s="179"/>
      <c r="BD19" s="179"/>
      <c r="BE19" s="185">
        <v>15</v>
      </c>
      <c r="BF19" s="179"/>
      <c r="BG19" s="179"/>
      <c r="BH19" s="185">
        <f>IF(AA17=2,18,IF(AA17=3,17,17))</f>
        <v>18</v>
      </c>
      <c r="BI19" s="179"/>
      <c r="BJ19" s="179"/>
      <c r="BK19" s="185">
        <f>BH19</f>
        <v>18</v>
      </c>
      <c r="BL19" s="179"/>
      <c r="BM19" s="179"/>
      <c r="BN19" s="185">
        <v>18</v>
      </c>
      <c r="BO19" s="179"/>
      <c r="BP19" s="179"/>
    </row>
    <row r="20" spans="2:68" ht="19.5" customHeight="1">
      <c r="B20" s="90" t="s">
        <v>4</v>
      </c>
      <c r="F20" s="90" t="str">
        <f>"As = "&amp;I12&amp;" ×"&amp;I14&amp;" ×"&amp;I16*2&amp;" ="</f>
        <v>As = 240 ×20 ×4 =</v>
      </c>
      <c r="L20" s="214">
        <f>I12*I14*I16*2</f>
        <v>19200</v>
      </c>
      <c r="M20" s="214"/>
      <c r="N20" s="90" t="s">
        <v>410</v>
      </c>
      <c r="AA20" s="206" t="s">
        <v>411</v>
      </c>
      <c r="AB20" s="207"/>
      <c r="AC20" s="208"/>
      <c r="AD20" s="185">
        <f>IF(AA17=2,92,96)</f>
        <v>92</v>
      </c>
      <c r="AE20" s="179"/>
      <c r="AF20" s="179"/>
      <c r="AG20" s="179">
        <f>AD20</f>
        <v>92</v>
      </c>
      <c r="AH20" s="179"/>
      <c r="AI20" s="179"/>
      <c r="AJ20" s="179">
        <f>AD20</f>
        <v>92</v>
      </c>
      <c r="AK20" s="179"/>
      <c r="AL20" s="179"/>
      <c r="AM20" s="185">
        <v>92</v>
      </c>
      <c r="AN20" s="179"/>
      <c r="AO20" s="179"/>
      <c r="AP20" s="183">
        <f>IF(AA17=2,79,82)</f>
        <v>79</v>
      </c>
      <c r="AQ20" s="184"/>
      <c r="AR20" s="185"/>
      <c r="AS20" s="238">
        <v>79</v>
      </c>
      <c r="AT20" s="238"/>
      <c r="AU20" s="238"/>
      <c r="AV20" s="238">
        <f>IF(AA17=2,75,IF(AA17=3,77,78))</f>
        <v>75</v>
      </c>
      <c r="AW20" s="238"/>
      <c r="AX20" s="238"/>
      <c r="AY20" s="185">
        <f>AV20</f>
        <v>75</v>
      </c>
      <c r="AZ20" s="179"/>
      <c r="BA20" s="179"/>
      <c r="BB20" s="185">
        <f>AV20</f>
        <v>75</v>
      </c>
      <c r="BC20" s="179"/>
      <c r="BD20" s="179"/>
      <c r="BE20" s="185">
        <v>75</v>
      </c>
      <c r="BF20" s="179"/>
      <c r="BG20" s="179"/>
      <c r="BH20" s="179">
        <f>IF(AA17=2,67,69)</f>
        <v>67</v>
      </c>
      <c r="BI20" s="179"/>
      <c r="BJ20" s="179"/>
      <c r="BK20" s="179">
        <f>BH20</f>
        <v>67</v>
      </c>
      <c r="BL20" s="179"/>
      <c r="BM20" s="179"/>
      <c r="BN20" s="179">
        <v>67</v>
      </c>
      <c r="BO20" s="179"/>
      <c r="BP20" s="179"/>
    </row>
    <row r="21" spans="2:68" ht="19.5" customHeight="1">
      <c r="B21" s="90" t="s">
        <v>412</v>
      </c>
      <c r="F21" s="90" t="str">
        <f>"Ae = "&amp;M19&amp;" ×"&amp;I17&amp;" + "&amp;L20&amp;" ="</f>
        <v>Ae = 308 ×12 + 19200 =</v>
      </c>
      <c r="L21" s="97">
        <f>ROUND(M19*I17+L20,3)</f>
        <v>22896</v>
      </c>
      <c r="M21" s="98"/>
      <c r="N21" s="98"/>
      <c r="O21" s="90" t="s">
        <v>410</v>
      </c>
      <c r="Q21" s="95" t="str">
        <f>IF(L21&lt;U21,"＜","＞")</f>
        <v>＜</v>
      </c>
      <c r="S21" s="90" t="s">
        <v>28</v>
      </c>
      <c r="U21" s="97">
        <f>1.7*L20</f>
        <v>32640</v>
      </c>
      <c r="V21" s="97"/>
      <c r="W21" s="90" t="s">
        <v>410</v>
      </c>
      <c r="AA21" s="239" t="str">
        <f>IF(AA17=2,"40",IF(AA17=3,"40-70","75-100"))</f>
        <v>40</v>
      </c>
      <c r="AB21" s="240"/>
      <c r="AC21" s="241"/>
      <c r="AD21" s="204">
        <f>IF(AA17=2,0.82,0.68)</f>
        <v>0.82</v>
      </c>
      <c r="AE21" s="205"/>
      <c r="AF21" s="205"/>
      <c r="AG21" s="204">
        <f>AD21</f>
        <v>0.82</v>
      </c>
      <c r="AH21" s="205"/>
      <c r="AI21" s="205"/>
      <c r="AJ21" s="204">
        <f>AD21</f>
        <v>0.82</v>
      </c>
      <c r="AK21" s="205"/>
      <c r="AL21" s="205"/>
      <c r="AM21" s="185">
        <v>0.82</v>
      </c>
      <c r="AN21" s="179"/>
      <c r="AO21" s="179"/>
      <c r="AP21" s="242">
        <f>IF(AA17=2,1.2,1.1)</f>
        <v>1.2</v>
      </c>
      <c r="AQ21" s="243"/>
      <c r="AR21" s="204"/>
      <c r="AS21" s="204">
        <v>1.2</v>
      </c>
      <c r="AT21" s="205"/>
      <c r="AU21" s="205"/>
      <c r="AV21" s="204">
        <f>IF(AA17=2,1.5,IF(AA17=3,1.3,1.3))</f>
        <v>1.5</v>
      </c>
      <c r="AW21" s="205"/>
      <c r="AX21" s="205"/>
      <c r="AY21" s="204">
        <f>AV21</f>
        <v>1.5</v>
      </c>
      <c r="AZ21" s="205"/>
      <c r="BA21" s="205"/>
      <c r="BB21" s="204">
        <f>AV21</f>
        <v>1.5</v>
      </c>
      <c r="BC21" s="205"/>
      <c r="BD21" s="205"/>
      <c r="BE21" s="204">
        <v>1.5</v>
      </c>
      <c r="BF21" s="205"/>
      <c r="BG21" s="205"/>
      <c r="BH21" s="204">
        <f>IF(AA17=2,2.1,IF(AA17=3,2,1.9))</f>
        <v>2.1</v>
      </c>
      <c r="BI21" s="205"/>
      <c r="BJ21" s="205"/>
      <c r="BK21" s="204">
        <f>BH21</f>
        <v>2.1</v>
      </c>
      <c r="BL21" s="205"/>
      <c r="BM21" s="205"/>
      <c r="BN21" s="204">
        <v>2.1</v>
      </c>
      <c r="BO21" s="205"/>
      <c r="BP21" s="205"/>
    </row>
    <row r="22" spans="3:68" ht="19.5" customHeight="1">
      <c r="C22" s="90" t="s">
        <v>413</v>
      </c>
      <c r="J22" s="97">
        <f>MIN(L21,U21)</f>
        <v>22896</v>
      </c>
      <c r="K22" s="99"/>
      <c r="L22" s="90" t="s">
        <v>410</v>
      </c>
      <c r="O22" s="7" t="s">
        <v>389</v>
      </c>
      <c r="AA22" s="244"/>
      <c r="AB22" s="245"/>
      <c r="AC22" s="246"/>
      <c r="AD22" s="185">
        <f>IF(AA17=2,6700,7300)</f>
        <v>6700</v>
      </c>
      <c r="AE22" s="179"/>
      <c r="AF22" s="179"/>
      <c r="AG22" s="185">
        <f>AD22</f>
        <v>6700</v>
      </c>
      <c r="AH22" s="179"/>
      <c r="AI22" s="179"/>
      <c r="AJ22" s="185">
        <f>AD22</f>
        <v>6700</v>
      </c>
      <c r="AK22" s="179"/>
      <c r="AL22" s="179"/>
      <c r="AM22" s="185">
        <v>6700</v>
      </c>
      <c r="AN22" s="179"/>
      <c r="AO22" s="179"/>
      <c r="AP22" s="183">
        <f>IF(AA17=2,5000,5300)</f>
        <v>5000</v>
      </c>
      <c r="AQ22" s="184"/>
      <c r="AR22" s="185"/>
      <c r="AS22" s="185">
        <v>5000</v>
      </c>
      <c r="AT22" s="179"/>
      <c r="AU22" s="179"/>
      <c r="AV22" s="185">
        <f>IF(AA17=2,4400,IF(AA17=3,4700,4800))</f>
        <v>4400</v>
      </c>
      <c r="AW22" s="179"/>
      <c r="AX22" s="179"/>
      <c r="AY22" s="185">
        <f>AV22</f>
        <v>4400</v>
      </c>
      <c r="AZ22" s="179"/>
      <c r="BA22" s="179"/>
      <c r="BB22" s="185">
        <f>AV22</f>
        <v>4400</v>
      </c>
      <c r="BC22" s="179"/>
      <c r="BD22" s="179"/>
      <c r="BE22" s="185">
        <v>4400</v>
      </c>
      <c r="BF22" s="179"/>
      <c r="BG22" s="179"/>
      <c r="BH22" s="185">
        <f>IF(AA17=2,3500,IF(AA17=3,3600,3700))</f>
        <v>3500</v>
      </c>
      <c r="BI22" s="179"/>
      <c r="BJ22" s="179"/>
      <c r="BK22" s="185">
        <f>BH22</f>
        <v>3500</v>
      </c>
      <c r="BL22" s="179"/>
      <c r="BM22" s="179"/>
      <c r="BN22" s="185">
        <v>3500</v>
      </c>
      <c r="BO22" s="179"/>
      <c r="BP22" s="179"/>
    </row>
    <row r="23" spans="2:68" ht="19.5" customHeight="1">
      <c r="B23" s="90" t="s">
        <v>414</v>
      </c>
      <c r="AA23" s="121" t="s">
        <v>415</v>
      </c>
      <c r="AB23" s="121"/>
      <c r="AC23" s="121"/>
      <c r="AD23" s="121"/>
      <c r="AE23" s="121"/>
      <c r="AF23" s="121"/>
      <c r="AG23" s="121"/>
      <c r="AH23" s="121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</row>
    <row r="24" spans="3:68" ht="19.5" customHeight="1">
      <c r="C24" s="90" t="str">
        <f>"I = "&amp;M19&amp;" ×"&amp;I17&amp;"³/ 12  +  { "&amp;I14&amp;" ×"&amp;I12&amp;"³/ 12  +  "&amp;I14&amp;" ×"&amp;I12&amp;" ×"&amp;(I12+I17)/2&amp;"²} × "&amp;I16*2&amp;" ="</f>
        <v>I = 308 ×12³/ 12  +  { 20 ×240³/ 12  +  20 ×240 ×126²} × 4 =</v>
      </c>
      <c r="T24" s="98">
        <f>ROUND((M19*I17^3/12)+((I14*I12^3/12)+(I14*I12*((I12+I17)/2)^2))*I16*2,3)</f>
        <v>397023552</v>
      </c>
      <c r="U24" s="98"/>
      <c r="V24" s="98"/>
      <c r="W24" s="90" t="s">
        <v>416</v>
      </c>
      <c r="AA24" s="183">
        <f>AA29</f>
        <v>2</v>
      </c>
      <c r="AB24" s="184"/>
      <c r="AC24" s="185"/>
      <c r="AD24" s="186" t="s">
        <v>396</v>
      </c>
      <c r="AE24" s="187"/>
      <c r="AF24" s="188"/>
      <c r="AG24" s="186" t="s">
        <v>397</v>
      </c>
      <c r="AH24" s="187"/>
      <c r="AI24" s="188"/>
      <c r="AJ24" s="186" t="s">
        <v>381</v>
      </c>
      <c r="AK24" s="187"/>
      <c r="AL24" s="188"/>
      <c r="AM24" s="186" t="s">
        <v>398</v>
      </c>
      <c r="AN24" s="187"/>
      <c r="AO24" s="188"/>
      <c r="AP24" s="186" t="s">
        <v>35</v>
      </c>
      <c r="AQ24" s="187"/>
      <c r="AR24" s="188"/>
      <c r="AS24" s="231" t="s">
        <v>399</v>
      </c>
      <c r="AT24" s="232"/>
      <c r="AU24" s="233"/>
      <c r="AV24" s="186" t="s">
        <v>400</v>
      </c>
      <c r="AW24" s="187"/>
      <c r="AX24" s="188"/>
      <c r="AY24" s="186" t="s">
        <v>401</v>
      </c>
      <c r="AZ24" s="187"/>
      <c r="BA24" s="188"/>
      <c r="BB24" s="186" t="s">
        <v>402</v>
      </c>
      <c r="BC24" s="187"/>
      <c r="BD24" s="188"/>
      <c r="BE24" s="231" t="s">
        <v>403</v>
      </c>
      <c r="BF24" s="232"/>
      <c r="BG24" s="233"/>
      <c r="BH24" s="186" t="s">
        <v>404</v>
      </c>
      <c r="BI24" s="187"/>
      <c r="BJ24" s="188"/>
      <c r="BK24" s="186" t="s">
        <v>405</v>
      </c>
      <c r="BL24" s="187"/>
      <c r="BM24" s="188"/>
      <c r="BN24" s="231" t="s">
        <v>406</v>
      </c>
      <c r="BO24" s="232"/>
      <c r="BP24" s="233"/>
    </row>
    <row r="25" spans="2:68" ht="19.5" customHeight="1">
      <c r="B25" s="105" t="s">
        <v>417</v>
      </c>
      <c r="K25" s="212">
        <f>ROUND(SQRT(T24/J22),3)</f>
        <v>131.683</v>
      </c>
      <c r="L25" s="212"/>
      <c r="M25" s="213" t="s">
        <v>33</v>
      </c>
      <c r="AA25" s="234">
        <f>HLOOKUP(H10,AD24:BP25,2,FALSE)</f>
        <v>3</v>
      </c>
      <c r="AB25" s="234"/>
      <c r="AC25" s="234"/>
      <c r="AD25" s="179">
        <v>1</v>
      </c>
      <c r="AE25" s="179"/>
      <c r="AF25" s="179"/>
      <c r="AG25" s="179">
        <v>2</v>
      </c>
      <c r="AH25" s="179"/>
      <c r="AI25" s="179"/>
      <c r="AJ25" s="179">
        <v>3</v>
      </c>
      <c r="AK25" s="179"/>
      <c r="AL25" s="179"/>
      <c r="AM25" s="179">
        <v>4</v>
      </c>
      <c r="AN25" s="179"/>
      <c r="AO25" s="179"/>
      <c r="AP25" s="179">
        <v>5</v>
      </c>
      <c r="AQ25" s="179"/>
      <c r="AR25" s="179"/>
      <c r="AS25" s="179">
        <v>6</v>
      </c>
      <c r="AT25" s="179"/>
      <c r="AU25" s="179"/>
      <c r="AV25" s="179">
        <v>7</v>
      </c>
      <c r="AW25" s="179"/>
      <c r="AX25" s="179"/>
      <c r="AY25" s="179">
        <v>8</v>
      </c>
      <c r="AZ25" s="179"/>
      <c r="BA25" s="179"/>
      <c r="BB25" s="179">
        <v>9</v>
      </c>
      <c r="BC25" s="179"/>
      <c r="BD25" s="179"/>
      <c r="BE25" s="179">
        <v>10</v>
      </c>
      <c r="BF25" s="179"/>
      <c r="BG25" s="179"/>
      <c r="BH25" s="179">
        <v>11</v>
      </c>
      <c r="BI25" s="179"/>
      <c r="BJ25" s="179"/>
      <c r="BK25" s="179">
        <v>12</v>
      </c>
      <c r="BL25" s="179"/>
      <c r="BM25" s="179"/>
      <c r="BN25" s="179">
        <v>13</v>
      </c>
      <c r="BO25" s="179"/>
      <c r="BP25" s="179"/>
    </row>
    <row r="26" spans="11:68" s="100" customFormat="1" ht="19.5" customHeight="1">
      <c r="K26" s="212"/>
      <c r="L26" s="212"/>
      <c r="M26" s="213"/>
      <c r="AA26" s="206" t="s">
        <v>411</v>
      </c>
      <c r="AB26" s="207"/>
      <c r="AC26" s="208"/>
      <c r="AD26" s="185">
        <f>IF(AA24=2,140,125)</f>
        <v>140</v>
      </c>
      <c r="AE26" s="179"/>
      <c r="AF26" s="179"/>
      <c r="AG26" s="179">
        <f>AD26</f>
        <v>140</v>
      </c>
      <c r="AH26" s="179"/>
      <c r="AI26" s="179"/>
      <c r="AJ26" s="179">
        <f>AD26</f>
        <v>140</v>
      </c>
      <c r="AK26" s="179"/>
      <c r="AL26" s="179"/>
      <c r="AM26" s="179">
        <f>AG26</f>
        <v>140</v>
      </c>
      <c r="AN26" s="179"/>
      <c r="AO26" s="179"/>
      <c r="AP26" s="238">
        <f>IF(AA24=2,185,175)</f>
        <v>185</v>
      </c>
      <c r="AQ26" s="238"/>
      <c r="AR26" s="238"/>
      <c r="AS26" s="238">
        <v>185</v>
      </c>
      <c r="AT26" s="238"/>
      <c r="AU26" s="238"/>
      <c r="AV26" s="238">
        <f>IF(AA24=2,210,IF(AA24=3,195,190))</f>
        <v>210</v>
      </c>
      <c r="AW26" s="238"/>
      <c r="AX26" s="238"/>
      <c r="AY26" s="185">
        <f>AV26</f>
        <v>210</v>
      </c>
      <c r="AZ26" s="179"/>
      <c r="BA26" s="179"/>
      <c r="BB26" s="185">
        <f>AV26</f>
        <v>210</v>
      </c>
      <c r="BC26" s="179"/>
      <c r="BD26" s="179"/>
      <c r="BE26" s="185">
        <v>210</v>
      </c>
      <c r="BF26" s="179"/>
      <c r="BG26" s="179"/>
      <c r="BH26" s="179">
        <f>IF(AA24=2,255,IF(AA24=3,245,240))</f>
        <v>255</v>
      </c>
      <c r="BI26" s="179"/>
      <c r="BJ26" s="179"/>
      <c r="BK26" s="179">
        <f>BH26</f>
        <v>255</v>
      </c>
      <c r="BL26" s="179"/>
      <c r="BM26" s="179"/>
      <c r="BN26" s="179">
        <v>255</v>
      </c>
      <c r="BO26" s="179"/>
      <c r="BP26" s="179"/>
    </row>
    <row r="27" spans="2:68" ht="19.5" customHeight="1">
      <c r="B27" s="134" t="s">
        <v>418</v>
      </c>
      <c r="G27" s="90" t="s">
        <v>29</v>
      </c>
      <c r="K27" s="211">
        <f>I13/2</f>
        <v>1100</v>
      </c>
      <c r="L27" s="211"/>
      <c r="M27" s="92" t="s">
        <v>384</v>
      </c>
      <c r="AA27" s="244" t="str">
        <f>IF(AA24=2,"40",IF(AA24=3,"40-70","75-100"))</f>
        <v>40</v>
      </c>
      <c r="AB27" s="245"/>
      <c r="AC27" s="246"/>
      <c r="AD27" s="209">
        <f>IF(AA24=2,12.8,13.6)</f>
        <v>12.8</v>
      </c>
      <c r="AE27" s="210"/>
      <c r="AF27" s="210"/>
      <c r="AG27" s="209">
        <f>AD27</f>
        <v>12.8</v>
      </c>
      <c r="AH27" s="210"/>
      <c r="AI27" s="210"/>
      <c r="AJ27" s="209">
        <f>AD27</f>
        <v>12.8</v>
      </c>
      <c r="AK27" s="210"/>
      <c r="AL27" s="210"/>
      <c r="AM27" s="209">
        <f>AG27</f>
        <v>12.8</v>
      </c>
      <c r="AN27" s="210"/>
      <c r="AO27" s="210"/>
      <c r="AP27" s="209">
        <f>IF(AA24=2,11.2,11.5)</f>
        <v>11.2</v>
      </c>
      <c r="AQ27" s="210"/>
      <c r="AR27" s="210"/>
      <c r="AS27" s="209">
        <v>11.2</v>
      </c>
      <c r="AT27" s="210"/>
      <c r="AU27" s="210"/>
      <c r="AV27" s="209">
        <f>IF(AA24=2,10.5,IF(AA24=3,10.9,11))</f>
        <v>10.5</v>
      </c>
      <c r="AW27" s="210"/>
      <c r="AX27" s="210"/>
      <c r="AY27" s="209">
        <f>AV27</f>
        <v>10.5</v>
      </c>
      <c r="AZ27" s="210"/>
      <c r="BA27" s="210"/>
      <c r="BB27" s="209">
        <f>AV27</f>
        <v>10.5</v>
      </c>
      <c r="BC27" s="210"/>
      <c r="BD27" s="210"/>
      <c r="BE27" s="209">
        <v>10.5</v>
      </c>
      <c r="BF27" s="210"/>
      <c r="BG27" s="210"/>
      <c r="BH27" s="209">
        <f>IF(AA24=2,9.5,IF(AA24=3,9.7,9.8))</f>
        <v>9.5</v>
      </c>
      <c r="BI27" s="210"/>
      <c r="BJ27" s="210"/>
      <c r="BK27" s="209">
        <f>BH27</f>
        <v>9.5</v>
      </c>
      <c r="BL27" s="210"/>
      <c r="BM27" s="210"/>
      <c r="BN27" s="209">
        <v>9.5</v>
      </c>
      <c r="BO27" s="210"/>
      <c r="BP27" s="210"/>
    </row>
    <row r="28" spans="2:68" ht="19.5" customHeight="1">
      <c r="B28" s="134" t="s">
        <v>419</v>
      </c>
      <c r="O28" s="7" t="s">
        <v>420</v>
      </c>
      <c r="AA28" s="182" t="s">
        <v>421</v>
      </c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</row>
    <row r="29" spans="2:68" ht="19.5" customHeight="1">
      <c r="B29" s="90" t="s">
        <v>422</v>
      </c>
      <c r="D29" s="101">
        <f>K27/K25</f>
        <v>8.353394135917316</v>
      </c>
      <c r="E29" s="101"/>
      <c r="G29" s="90" t="s">
        <v>423</v>
      </c>
      <c r="H29" s="90" t="s">
        <v>424</v>
      </c>
      <c r="J29" s="102">
        <f>IF(LOOKUP(AA18,AD18:BP18,AD19:BP19)&gt;=D29,BE16,IF(LOOKUP(AA18,AD18:BP18,AD20:BP20)&gt;=D29,BH16,BK16))</f>
        <v>140</v>
      </c>
      <c r="K29" s="98"/>
      <c r="L29" s="90" t="s">
        <v>47</v>
      </c>
      <c r="N29" s="90" t="s">
        <v>425</v>
      </c>
      <c r="AA29" s="183">
        <f>IF(I14&lt;=40,2,IF(I14&lt;=75,3,4))</f>
        <v>2</v>
      </c>
      <c r="AB29" s="184"/>
      <c r="AC29" s="185"/>
      <c r="AD29" s="186" t="s">
        <v>396</v>
      </c>
      <c r="AE29" s="187"/>
      <c r="AF29" s="188"/>
      <c r="AG29" s="186" t="s">
        <v>397</v>
      </c>
      <c r="AH29" s="187"/>
      <c r="AI29" s="188"/>
      <c r="AJ29" s="186" t="s">
        <v>381</v>
      </c>
      <c r="AK29" s="187"/>
      <c r="AL29" s="188"/>
      <c r="AM29" s="186" t="s">
        <v>398</v>
      </c>
      <c r="AN29" s="187"/>
      <c r="AO29" s="188"/>
      <c r="AP29" s="186" t="s">
        <v>35</v>
      </c>
      <c r="AQ29" s="187"/>
      <c r="AR29" s="188"/>
      <c r="AS29" s="231" t="s">
        <v>399</v>
      </c>
      <c r="AT29" s="232"/>
      <c r="AU29" s="233"/>
      <c r="AV29" s="186" t="s">
        <v>400</v>
      </c>
      <c r="AW29" s="187"/>
      <c r="AX29" s="188"/>
      <c r="AY29" s="186" t="s">
        <v>401</v>
      </c>
      <c r="AZ29" s="187"/>
      <c r="BA29" s="188"/>
      <c r="BB29" s="186" t="s">
        <v>402</v>
      </c>
      <c r="BC29" s="187"/>
      <c r="BD29" s="188"/>
      <c r="BE29" s="231" t="s">
        <v>403</v>
      </c>
      <c r="BF29" s="232"/>
      <c r="BG29" s="233"/>
      <c r="BH29" s="186" t="s">
        <v>404</v>
      </c>
      <c r="BI29" s="187"/>
      <c r="BJ29" s="188"/>
      <c r="BK29" s="186" t="s">
        <v>405</v>
      </c>
      <c r="BL29" s="187"/>
      <c r="BM29" s="188"/>
      <c r="BN29" s="231" t="s">
        <v>406</v>
      </c>
      <c r="BO29" s="232"/>
      <c r="BP29" s="233"/>
    </row>
    <row r="30" spans="2:68" ht="19.5" customHeight="1">
      <c r="B30" s="90" t="str">
        <f>IF((I12/I14)&gt;16,"강재두께 확인 요망",IF((I12/I14)&lt;=LOOKUP(AA25,AD25:BP25,AD27:BP27),"b ≤ "&amp;LOOKUP(AA25,AD25:BP25,AD27:BP27)&amp;"/ t ⇒","b/16 ≤ t &lt; b/"&amp;LOOKUP(AA25,AD25:BP25,AD27:BP27)&amp;"   ⇒"))</f>
        <v>b ≤ 12.8/ t ⇒</v>
      </c>
      <c r="E30" s="101"/>
      <c r="F30" s="101"/>
      <c r="H30" s="90" t="s">
        <v>426</v>
      </c>
      <c r="J30" s="102">
        <f>IF((I12/I14)&lt;=LOOKUP(AA25,AD25:BP25,AD27:BP27),ROUND(LOOKUP(AA25,AD25:BP25,AD26:BP26),1),ROUND(23000/(I12/I14)^2,1))</f>
        <v>140</v>
      </c>
      <c r="K30" s="98"/>
      <c r="L30" s="90" t="s">
        <v>47</v>
      </c>
      <c r="N30" s="90" t="s">
        <v>427</v>
      </c>
      <c r="AA30" s="179">
        <v>40</v>
      </c>
      <c r="AB30" s="179"/>
      <c r="AC30" s="179"/>
      <c r="AD30" s="183">
        <v>140</v>
      </c>
      <c r="AE30" s="184"/>
      <c r="AF30" s="185"/>
      <c r="AG30" s="183">
        <f>AD30</f>
        <v>140</v>
      </c>
      <c r="AH30" s="184"/>
      <c r="AI30" s="185"/>
      <c r="AJ30" s="183">
        <f>AD30</f>
        <v>140</v>
      </c>
      <c r="AK30" s="184"/>
      <c r="AL30" s="185"/>
      <c r="AM30" s="183">
        <v>140</v>
      </c>
      <c r="AN30" s="184"/>
      <c r="AO30" s="185"/>
      <c r="AP30" s="183">
        <v>185</v>
      </c>
      <c r="AQ30" s="184"/>
      <c r="AR30" s="185"/>
      <c r="AS30" s="183">
        <f>AP30</f>
        <v>185</v>
      </c>
      <c r="AT30" s="184"/>
      <c r="AU30" s="185"/>
      <c r="AV30" s="183">
        <v>210</v>
      </c>
      <c r="AW30" s="184"/>
      <c r="AX30" s="185"/>
      <c r="AY30" s="183">
        <f>AV30</f>
        <v>210</v>
      </c>
      <c r="AZ30" s="184"/>
      <c r="BA30" s="185"/>
      <c r="BB30" s="183">
        <f>AV30</f>
        <v>210</v>
      </c>
      <c r="BC30" s="184"/>
      <c r="BD30" s="185"/>
      <c r="BE30" s="183">
        <v>210</v>
      </c>
      <c r="BF30" s="184"/>
      <c r="BG30" s="185"/>
      <c r="BH30" s="183">
        <v>255</v>
      </c>
      <c r="BI30" s="184"/>
      <c r="BJ30" s="185"/>
      <c r="BK30" s="183">
        <f>BH30</f>
        <v>255</v>
      </c>
      <c r="BL30" s="184"/>
      <c r="BM30" s="185"/>
      <c r="BN30" s="183">
        <f>BK30</f>
        <v>255</v>
      </c>
      <c r="BO30" s="184"/>
      <c r="BP30" s="185"/>
    </row>
    <row r="31" spans="3:68" ht="19.5" customHeight="1">
      <c r="C31" s="103"/>
      <c r="E31" s="101"/>
      <c r="F31" s="101"/>
      <c r="H31" s="90" t="s">
        <v>428</v>
      </c>
      <c r="J31" s="102">
        <f>HLOOKUP(H10,AD29:BP32,AA29,FALSE)</f>
        <v>140</v>
      </c>
      <c r="K31" s="98"/>
      <c r="L31" s="90" t="s">
        <v>47</v>
      </c>
      <c r="N31" s="90" t="s">
        <v>429</v>
      </c>
      <c r="AA31" s="247" t="s">
        <v>430</v>
      </c>
      <c r="AB31" s="247"/>
      <c r="AC31" s="247"/>
      <c r="AD31" s="183">
        <v>125</v>
      </c>
      <c r="AE31" s="184"/>
      <c r="AF31" s="185"/>
      <c r="AG31" s="183">
        <f>AD31</f>
        <v>125</v>
      </c>
      <c r="AH31" s="184"/>
      <c r="AI31" s="185"/>
      <c r="AJ31" s="183">
        <f>AD31</f>
        <v>125</v>
      </c>
      <c r="AK31" s="184"/>
      <c r="AL31" s="185"/>
      <c r="AM31" s="183">
        <v>140</v>
      </c>
      <c r="AN31" s="184"/>
      <c r="AO31" s="185"/>
      <c r="AP31" s="183">
        <v>175</v>
      </c>
      <c r="AQ31" s="184"/>
      <c r="AR31" s="185"/>
      <c r="AS31" s="183">
        <f>AS30</f>
        <v>185</v>
      </c>
      <c r="AT31" s="184"/>
      <c r="AU31" s="185"/>
      <c r="AV31" s="183">
        <v>195</v>
      </c>
      <c r="AW31" s="184"/>
      <c r="AX31" s="185"/>
      <c r="AY31" s="183">
        <f>AV31</f>
        <v>195</v>
      </c>
      <c r="AZ31" s="184"/>
      <c r="BA31" s="185"/>
      <c r="BB31" s="183">
        <f>AV31</f>
        <v>195</v>
      </c>
      <c r="BC31" s="184"/>
      <c r="BD31" s="185"/>
      <c r="BE31" s="183">
        <v>210</v>
      </c>
      <c r="BF31" s="184"/>
      <c r="BG31" s="185"/>
      <c r="BH31" s="183">
        <v>245</v>
      </c>
      <c r="BI31" s="184"/>
      <c r="BJ31" s="185"/>
      <c r="BK31" s="183">
        <f>BH31</f>
        <v>245</v>
      </c>
      <c r="BL31" s="184"/>
      <c r="BM31" s="185"/>
      <c r="BN31" s="183">
        <f>BN30</f>
        <v>255</v>
      </c>
      <c r="BO31" s="184"/>
      <c r="BP31" s="185"/>
    </row>
    <row r="32" spans="2:68" ht="19.5" customHeight="1">
      <c r="B32" s="90" t="s">
        <v>431</v>
      </c>
      <c r="C32" s="103"/>
      <c r="E32" s="101"/>
      <c r="F32" s="101"/>
      <c r="J32" s="99">
        <f>J29*J30/J31</f>
        <v>140</v>
      </c>
      <c r="K32" s="98"/>
      <c r="L32" s="90" t="s">
        <v>47</v>
      </c>
      <c r="N32" s="90" t="s">
        <v>432</v>
      </c>
      <c r="AA32" s="247" t="s">
        <v>433</v>
      </c>
      <c r="AB32" s="247"/>
      <c r="AC32" s="247"/>
      <c r="AD32" s="183">
        <v>125</v>
      </c>
      <c r="AE32" s="184"/>
      <c r="AF32" s="185"/>
      <c r="AG32" s="183">
        <f>AD32</f>
        <v>125</v>
      </c>
      <c r="AH32" s="184"/>
      <c r="AI32" s="185"/>
      <c r="AJ32" s="183">
        <f>AD32</f>
        <v>125</v>
      </c>
      <c r="AK32" s="184"/>
      <c r="AL32" s="185"/>
      <c r="AM32" s="183">
        <v>140</v>
      </c>
      <c r="AN32" s="184"/>
      <c r="AO32" s="185"/>
      <c r="AP32" s="183">
        <v>175</v>
      </c>
      <c r="AQ32" s="184"/>
      <c r="AR32" s="185"/>
      <c r="AS32" s="183">
        <f>AS30</f>
        <v>185</v>
      </c>
      <c r="AT32" s="184"/>
      <c r="AU32" s="185"/>
      <c r="AV32" s="183">
        <v>190</v>
      </c>
      <c r="AW32" s="184"/>
      <c r="AX32" s="185"/>
      <c r="AY32" s="183">
        <f>AV32</f>
        <v>190</v>
      </c>
      <c r="AZ32" s="184"/>
      <c r="BA32" s="185"/>
      <c r="BB32" s="183">
        <f>AV32</f>
        <v>190</v>
      </c>
      <c r="BC32" s="184"/>
      <c r="BD32" s="185"/>
      <c r="BE32" s="183">
        <v>210</v>
      </c>
      <c r="BF32" s="184"/>
      <c r="BG32" s="185"/>
      <c r="BH32" s="183">
        <v>240</v>
      </c>
      <c r="BI32" s="184"/>
      <c r="BJ32" s="185"/>
      <c r="BK32" s="183">
        <f>BH32</f>
        <v>240</v>
      </c>
      <c r="BL32" s="184"/>
      <c r="BM32" s="185"/>
      <c r="BN32" s="183">
        <f>BN30</f>
        <v>255</v>
      </c>
      <c r="BO32" s="184"/>
      <c r="BP32" s="185"/>
    </row>
    <row r="33" spans="2:44" ht="19.5" customHeight="1">
      <c r="B33" s="90" t="s">
        <v>434</v>
      </c>
      <c r="G33" s="98">
        <f>ROUND(J11*1000/J22,3)</f>
        <v>189.921</v>
      </c>
      <c r="H33" s="98"/>
      <c r="I33" s="98"/>
      <c r="J33" s="90" t="s">
        <v>47</v>
      </c>
      <c r="M33" s="98" t="str">
        <f>IF(G33&lt;J32,"＜","＞")</f>
        <v>＞</v>
      </c>
      <c r="O33" s="90" t="s">
        <v>435</v>
      </c>
      <c r="P33" s="100"/>
      <c r="R33" s="104" t="s">
        <v>30</v>
      </c>
      <c r="V33" s="90" t="str">
        <f>IF(G33&lt;J32,"O.K","N.G")</f>
        <v>N.G</v>
      </c>
      <c r="AA33" s="134" t="s">
        <v>436</v>
      </c>
      <c r="AR33" s="90" t="s">
        <v>437</v>
      </c>
    </row>
    <row r="34" ht="24.75" customHeight="1"/>
    <row r="35" ht="24.75" customHeight="1"/>
    <row r="36" ht="24.75" customHeight="1"/>
    <row r="37" ht="24.75" customHeight="1"/>
    <row r="38" ht="24.75" customHeight="1"/>
  </sheetData>
  <mergeCells count="217">
    <mergeCell ref="AM22:AO22"/>
    <mergeCell ref="AM18:AO18"/>
    <mergeCell ref="AM19:AO19"/>
    <mergeCell ref="AM20:AO20"/>
    <mergeCell ref="AM21:AO21"/>
    <mergeCell ref="AM24:AO24"/>
    <mergeCell ref="AM25:AO25"/>
    <mergeCell ref="AM26:AO26"/>
    <mergeCell ref="AM27:AO27"/>
    <mergeCell ref="AM29:AO29"/>
    <mergeCell ref="AM30:AO30"/>
    <mergeCell ref="AM31:AO31"/>
    <mergeCell ref="AM32:AO32"/>
    <mergeCell ref="K25:L26"/>
    <mergeCell ref="M25:M26"/>
    <mergeCell ref="L20:M20"/>
    <mergeCell ref="K27:L27"/>
    <mergeCell ref="I15:J15"/>
    <mergeCell ref="I16:J16"/>
    <mergeCell ref="I17:J17"/>
    <mergeCell ref="D18:E18"/>
    <mergeCell ref="O11:P11"/>
    <mergeCell ref="I12:J12"/>
    <mergeCell ref="I13:J13"/>
    <mergeCell ref="I14:J14"/>
    <mergeCell ref="J11:N11"/>
    <mergeCell ref="H10:K10"/>
    <mergeCell ref="BE32:BG32"/>
    <mergeCell ref="BH32:BJ32"/>
    <mergeCell ref="BK32:BM32"/>
    <mergeCell ref="BB32:BD32"/>
    <mergeCell ref="BB31:BD31"/>
    <mergeCell ref="BE31:BG31"/>
    <mergeCell ref="BH31:BJ31"/>
    <mergeCell ref="BK31:BM31"/>
    <mergeCell ref="AP31:AR31"/>
    <mergeCell ref="BN32:BP32"/>
    <mergeCell ref="BN31:BP31"/>
    <mergeCell ref="AA32:AC32"/>
    <mergeCell ref="AD32:AF32"/>
    <mergeCell ref="AG32:AI32"/>
    <mergeCell ref="AJ32:AL32"/>
    <mergeCell ref="AP32:AR32"/>
    <mergeCell ref="AS32:AU32"/>
    <mergeCell ref="AV32:AX32"/>
    <mergeCell ref="AY32:BA32"/>
    <mergeCell ref="AS31:AU31"/>
    <mergeCell ref="AV31:AX31"/>
    <mergeCell ref="AY31:BA31"/>
    <mergeCell ref="AA31:AC31"/>
    <mergeCell ref="AD31:AF31"/>
    <mergeCell ref="AG31:AI31"/>
    <mergeCell ref="AJ31:AL31"/>
    <mergeCell ref="BE30:BG30"/>
    <mergeCell ref="BH30:BJ30"/>
    <mergeCell ref="BK30:BM30"/>
    <mergeCell ref="BN30:BP30"/>
    <mergeCell ref="BN29:BP29"/>
    <mergeCell ref="AA30:AC30"/>
    <mergeCell ref="AD30:AF30"/>
    <mergeCell ref="AG30:AI30"/>
    <mergeCell ref="AJ30:AL30"/>
    <mergeCell ref="AP30:AR30"/>
    <mergeCell ref="AS30:AU30"/>
    <mergeCell ref="AV30:AX30"/>
    <mergeCell ref="AY30:BA30"/>
    <mergeCell ref="BB30:BD30"/>
    <mergeCell ref="BB29:BD29"/>
    <mergeCell ref="BE29:BG29"/>
    <mergeCell ref="BH29:BJ29"/>
    <mergeCell ref="BK29:BM29"/>
    <mergeCell ref="AP29:AR29"/>
    <mergeCell ref="AS29:AU29"/>
    <mergeCell ref="AV29:AX29"/>
    <mergeCell ref="AY29:BA29"/>
    <mergeCell ref="AA28:AK28"/>
    <mergeCell ref="AA29:AC29"/>
    <mergeCell ref="AD29:AF29"/>
    <mergeCell ref="AG29:AI29"/>
    <mergeCell ref="AJ29:AL29"/>
    <mergeCell ref="AA24:AC24"/>
    <mergeCell ref="AD24:AF24"/>
    <mergeCell ref="AG24:AI24"/>
    <mergeCell ref="AJ24:AL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AA25:AC25"/>
    <mergeCell ref="AD25:AF25"/>
    <mergeCell ref="AG25:AI25"/>
    <mergeCell ref="AJ25:AL25"/>
    <mergeCell ref="AP25:AR25"/>
    <mergeCell ref="AS25:AU25"/>
    <mergeCell ref="AV25:AX25"/>
    <mergeCell ref="AY25:BA25"/>
    <mergeCell ref="BB25:BD25"/>
    <mergeCell ref="BE25:BG25"/>
    <mergeCell ref="BH25:BJ25"/>
    <mergeCell ref="BK25:BM25"/>
    <mergeCell ref="BN25:BP25"/>
    <mergeCell ref="AA26:AC26"/>
    <mergeCell ref="AD26:AF26"/>
    <mergeCell ref="AG26:AI26"/>
    <mergeCell ref="AJ26:AL26"/>
    <mergeCell ref="AP26:AR26"/>
    <mergeCell ref="AS26:AU26"/>
    <mergeCell ref="AV26:AX26"/>
    <mergeCell ref="AY26:BA26"/>
    <mergeCell ref="BB26:BD26"/>
    <mergeCell ref="BE26:BG26"/>
    <mergeCell ref="BH26:BJ26"/>
    <mergeCell ref="BK26:BM26"/>
    <mergeCell ref="BN26:BP26"/>
    <mergeCell ref="AA27:AC27"/>
    <mergeCell ref="AD27:AF27"/>
    <mergeCell ref="AG27:AI27"/>
    <mergeCell ref="AJ27:AL27"/>
    <mergeCell ref="AP27:AR27"/>
    <mergeCell ref="AS27:AU27"/>
    <mergeCell ref="AV27:AX27"/>
    <mergeCell ref="AY27:BA27"/>
    <mergeCell ref="BB27:BD27"/>
    <mergeCell ref="BE27:BG27"/>
    <mergeCell ref="BH27:BJ27"/>
    <mergeCell ref="BK27:BM27"/>
    <mergeCell ref="BN27:BP27"/>
    <mergeCell ref="AA18:AC18"/>
    <mergeCell ref="AD18:AF18"/>
    <mergeCell ref="AG18:AI18"/>
    <mergeCell ref="AJ18:AL18"/>
    <mergeCell ref="BE18:BG18"/>
    <mergeCell ref="BH18:BJ18"/>
    <mergeCell ref="BK18:BM18"/>
    <mergeCell ref="AP18:AR18"/>
    <mergeCell ref="AS18:AU18"/>
    <mergeCell ref="AV18:AX18"/>
    <mergeCell ref="AY18:BA18"/>
    <mergeCell ref="BK19:BM19"/>
    <mergeCell ref="BN19:BP19"/>
    <mergeCell ref="BN18:BP18"/>
    <mergeCell ref="AA19:AC19"/>
    <mergeCell ref="AD19:AF19"/>
    <mergeCell ref="AG19:AI19"/>
    <mergeCell ref="AJ19:AL19"/>
    <mergeCell ref="AP19:AR19"/>
    <mergeCell ref="AS19:AU19"/>
    <mergeCell ref="AV19:AX19"/>
    <mergeCell ref="AA20:AC20"/>
    <mergeCell ref="AD20:AF20"/>
    <mergeCell ref="AG20:AI20"/>
    <mergeCell ref="AJ20:AL20"/>
    <mergeCell ref="AP20:AR20"/>
    <mergeCell ref="AS20:AU20"/>
    <mergeCell ref="AV20:AX20"/>
    <mergeCell ref="AY20:BA20"/>
    <mergeCell ref="AV21:AX21"/>
    <mergeCell ref="AY21:BA21"/>
    <mergeCell ref="BB21:BD21"/>
    <mergeCell ref="BB20:BD20"/>
    <mergeCell ref="AA17:AC17"/>
    <mergeCell ref="AD17:AF17"/>
    <mergeCell ref="AG17:AI17"/>
    <mergeCell ref="BE21:BG21"/>
    <mergeCell ref="AA21:AC21"/>
    <mergeCell ref="AD21:AF21"/>
    <mergeCell ref="AG21:AI21"/>
    <mergeCell ref="AJ21:AL21"/>
    <mergeCell ref="AP21:AR21"/>
    <mergeCell ref="AS21:AU21"/>
    <mergeCell ref="AJ17:AL17"/>
    <mergeCell ref="AP17:AR17"/>
    <mergeCell ref="AS17:AU17"/>
    <mergeCell ref="AV17:AX17"/>
    <mergeCell ref="AM17:AO17"/>
    <mergeCell ref="AY22:BA22"/>
    <mergeCell ref="BB22:BD22"/>
    <mergeCell ref="AY17:BA17"/>
    <mergeCell ref="BB17:BD17"/>
    <mergeCell ref="BB18:BD18"/>
    <mergeCell ref="AY19:BA19"/>
    <mergeCell ref="BB19:BD19"/>
    <mergeCell ref="BE15:BG15"/>
    <mergeCell ref="BH15:BJ15"/>
    <mergeCell ref="BK15:BM15"/>
    <mergeCell ref="BE22:BG22"/>
    <mergeCell ref="BH22:BJ22"/>
    <mergeCell ref="BK22:BM22"/>
    <mergeCell ref="BH17:BJ17"/>
    <mergeCell ref="BH21:BJ21"/>
    <mergeCell ref="BK21:BM21"/>
    <mergeCell ref="BE20:BG20"/>
    <mergeCell ref="BN22:BP22"/>
    <mergeCell ref="BK17:BM17"/>
    <mergeCell ref="BN17:BP17"/>
    <mergeCell ref="BE17:BG17"/>
    <mergeCell ref="BN21:BP21"/>
    <mergeCell ref="BN20:BP20"/>
    <mergeCell ref="BH20:BJ20"/>
    <mergeCell ref="BK20:BM20"/>
    <mergeCell ref="BE19:BG19"/>
    <mergeCell ref="BH19:BJ19"/>
    <mergeCell ref="AA22:AC22"/>
    <mergeCell ref="BE16:BG16"/>
    <mergeCell ref="BH16:BJ16"/>
    <mergeCell ref="BK16:BM16"/>
    <mergeCell ref="AD22:AF22"/>
    <mergeCell ref="AG22:AI22"/>
    <mergeCell ref="AJ22:AL22"/>
    <mergeCell ref="AP22:AR22"/>
    <mergeCell ref="AS22:AU22"/>
    <mergeCell ref="AV22:AX22"/>
  </mergeCells>
  <printOptions/>
  <pageMargins left="0.75" right="0.75" top="1" bottom="1" header="0.5" footer="0.5"/>
  <pageSetup horizontalDpi="300" verticalDpi="300" orientation="portrait" paperSize="9" r:id="rId4"/>
  <headerFooter alignWithMargins="0">
    <oddHeader>&amp;R
</oddHeader>
  </headerFooter>
  <drawing r:id="rId3"/>
  <legacyDrawing r:id="rId2"/>
  <oleObjects>
    <oleObject progId="HunEquation" shapeId="136131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</cp:lastModifiedBy>
  <cp:lastPrinted>2005-11-26T01:45:23Z</cp:lastPrinted>
  <dcterms:created xsi:type="dcterms:W3CDTF">1999-12-07T07:51:51Z</dcterms:created>
  <dcterms:modified xsi:type="dcterms:W3CDTF">2009-07-14T02:20:17Z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144705869</vt:i4>
  </property>
  <property fmtid="{D5CDD505-2E9C-101B-9397-08002B2CF9AE}" pid="3" name="_EmailSubject">
    <vt:lpwstr>??sheet  NO.6....??????.</vt:lpwstr>
  </property>
  <property fmtid="{D5CDD505-2E9C-101B-9397-08002B2CF9AE}" pid="4" name="_AuthorEmail">
    <vt:lpwstr>hwang@basis.co.kr</vt:lpwstr>
  </property>
  <property fmtid="{D5CDD505-2E9C-101B-9397-08002B2CF9AE}" pid="5" name="_AuthorEmailDisplayName">
    <vt:lpwstr>???</vt:lpwstr>
  </property>
  <property fmtid="{D5CDD505-2E9C-101B-9397-08002B2CF9AE}" pid="6" name="_ReviewingToolsShownOnce">
    <vt:lpwstr/>
  </property>
</Properties>
</file>