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320" windowHeight="12765" activeTab="3"/>
  </bookViews>
  <sheets>
    <sheet name="1. 設計条件" sheetId="1" r:id="rId1"/>
    <sheet name="3.1 設計方針" sheetId="2" r:id="rId2"/>
    <sheet name="3.3 一般部断面設計" sheetId="3" r:id="rId3"/>
    <sheet name="3.4 桁端部断面設計" sheetId="4" r:id="rId4"/>
  </sheets>
  <definedNames>
    <definedName name="_EpsilonP_CenJigan2" localSheetId="2">'3.3 一般部断面設計'!$H$1022</definedName>
    <definedName name="_EpsilonP_CenJigan2" localSheetId="3">'3.4 桁端部断面設計'!$H$1022</definedName>
    <definedName name="_EpsilonP_CenJigan2">#REF!</definedName>
    <definedName name="_EpsilonP_CenJigan3">#REF!</definedName>
    <definedName name="_EpsilonP_Jijum2" localSheetId="2">'3.3 一般部断面設計'!$H$1079</definedName>
    <definedName name="_EpsilonP_Jijum2" localSheetId="3">'3.4 桁端部断面設計'!$H$1079</definedName>
    <definedName name="_EpsilonP_Jijum2">#REF!</definedName>
    <definedName name="_EpsilonP_Jijum3">#REF!</definedName>
    <definedName name="_xlnm.Print_Area" localSheetId="0">'1. 設計条件'!$A$1:$AA$29</definedName>
    <definedName name="_xlnm.Print_Area" localSheetId="1">'3.1 設計方針'!$A$1:$AP$100</definedName>
    <definedName name="_xlnm.Print_Area" localSheetId="2">'3.3 一般部断面設計'!$A$1:$AP$1231</definedName>
    <definedName name="_xlnm.Print_Area" localSheetId="3">'3.4 桁端部断面設計'!$A$1:$AP$1231</definedName>
  </definedNames>
  <calcPr fullCalcOnLoad="1"/>
</workbook>
</file>

<file path=xl/sharedStrings.xml><?xml version="1.0" encoding="utf-8"?>
<sst xmlns="http://schemas.openxmlformats.org/spreadsheetml/2006/main" count="5750" uniqueCount="1418">
  <si>
    <t>衝突時(割増1.5)</t>
  </si>
  <si>
    <t>(a)床版自重</t>
  </si>
  <si>
    <t>(c)地覆高欄</t>
  </si>
  <si>
    <t>風荷重時(活無)</t>
  </si>
  <si>
    <t>風荷重時(割増1.25)</t>
  </si>
  <si>
    <t>(3) 衝突時の曲げひび割れ幅照査</t>
  </si>
  <si>
    <t>曲げひび割れの照査</t>
  </si>
  <si>
    <t>衝突時の曲げひび割れ幅に対して照査する。</t>
  </si>
  <si>
    <t>許容ひび割れ幅</t>
  </si>
  <si>
    <t>曲げひび割れ幅</t>
  </si>
  <si>
    <t>: 鋼材の表面の形状がひび割れに及ぼす影響を表す係数  異形鉄筋は 1.0</t>
  </si>
  <si>
    <t>: コンクリート品質がひび割れに及ぼす影響を表す係数</t>
  </si>
  <si>
    <t xml:space="preserve">: コンクリートの圧縮強度 </t>
  </si>
  <si>
    <t>: 引張鉄筋段数の影響を表す係数</t>
  </si>
  <si>
    <t>: 引張鉄筋の段数</t>
  </si>
  <si>
    <t>: 鉄筋純かぶり</t>
  </si>
  <si>
    <t>: 鉄筋の中心間隔 ( mm )</t>
  </si>
  <si>
    <t>: 鉄筋の直径</t>
  </si>
  <si>
    <t xml:space="preserve">上部 : </t>
  </si>
  <si>
    <t xml:space="preserve">下部 : </t>
  </si>
  <si>
    <t>: コンクリートの収縮及びクリープ等によるひび割れ幅の増加を考慮するための数値</t>
  </si>
  <si>
    <t>: 鉄筋の引張応力度の増加量 ( N/mm2 )</t>
  </si>
  <si>
    <t>衝突時曲げひび割れ幅の照査</t>
  </si>
  <si>
    <t>床版厚   H</t>
  </si>
  <si>
    <t>鉄筋応力増加量 σse</t>
  </si>
  <si>
    <t>曲げひび割れ幅    w</t>
  </si>
  <si>
    <t>許容曲げひび割れ幅 wa</t>
  </si>
  <si>
    <t>6) PC鋼材応力度の照査</t>
  </si>
  <si>
    <t>有効プレストレスに応力度の後死荷重以後の応力増加分を加えてPC鋼線応力度を算出する。</t>
  </si>
  <si>
    <t xml:space="preserve">応力度の増加分は後死荷重, 活荷重, 衝突荷重のコンクリート応力度に弾性係数を掛けてPC鋼線の </t>
  </si>
  <si>
    <t>応力増加分を算出する。</t>
  </si>
  <si>
    <t xml:space="preserve">次の表により支間中央部の応力度は </t>
  </si>
  <si>
    <t>PC鋼材応力度に換算すると</t>
  </si>
  <si>
    <t>有効プレストレスに加算して</t>
  </si>
  <si>
    <t>PC鋼材応力度の照査</t>
  </si>
  <si>
    <t>地覆高欄</t>
  </si>
  <si>
    <t>水平推力</t>
  </si>
  <si>
    <t>最大値</t>
  </si>
  <si>
    <t>有効プレストレス</t>
  </si>
  <si>
    <t>応力度増加</t>
  </si>
  <si>
    <t>許容値</t>
  </si>
  <si>
    <t>7) 引張鉄筋の算出</t>
  </si>
  <si>
    <t>+1/2(h)+(j)</t>
  </si>
  <si>
    <t>Ep</t>
  </si>
  <si>
    <t>×</t>
  </si>
  <si>
    <t>=</t>
  </si>
  <si>
    <t>Ap</t>
  </si>
  <si>
    <t>(</t>
  </si>
  <si>
    <t xml:space="preserve">σca = σck / 3 </t>
  </si>
  <si>
    <t>σtk</t>
  </si>
  <si>
    <t>k0b</t>
  </si>
  <si>
    <t>σpat=</t>
  </si>
  <si>
    <t>σpa</t>
  </si>
  <si>
    <t>%</t>
  </si>
  <si>
    <t>λ</t>
  </si>
  <si>
    <t>/ m</t>
  </si>
  <si>
    <t>μ</t>
  </si>
  <si>
    <t>/ rad</t>
  </si>
  <si>
    <t>σsa</t>
  </si>
  <si>
    <t>σsy</t>
  </si>
  <si>
    <t>Es</t>
  </si>
  <si>
    <t>[道示Ⅱ 8.2.5 及び 8.3.5]</t>
  </si>
  <si>
    <t>L =</t>
  </si>
  <si>
    <t>m</t>
  </si>
  <si>
    <t xml:space="preserve"> ( フランジ幅 B =</t>
  </si>
  <si>
    <t>mm )</t>
  </si>
  <si>
    <t>d = k1·k2·do =</t>
  </si>
  <si>
    <t>⇒</t>
  </si>
  <si>
    <t>ここに,</t>
  </si>
  <si>
    <t>( k1 =</t>
  </si>
  <si>
    <t>;</t>
  </si>
  <si>
    <t>台/日 )</t>
  </si>
  <si>
    <t>( 考慮しない, k2 = 1.00 )</t>
  </si>
  <si>
    <t>d = k1·k2·do =</t>
  </si>
  <si>
    <t>mm</t>
  </si>
  <si>
    <t>⇒</t>
  </si>
  <si>
    <t>PC床版設計フロー(橋軸直角方向)</t>
  </si>
  <si>
    <t>1) 導入直後 ;</t>
  </si>
  <si>
    <t>2) 軽視的   ;</t>
  </si>
  <si>
    <t>プレストレッシング中</t>
  </si>
  <si>
    <t>プレストレッシング導入直後</t>
  </si>
  <si>
    <t>プレストレッシング直後</t>
  </si>
  <si>
    <t>·コンクリートの弾性変形</t>
  </si>
  <si>
    <t>·リラクセーション</t>
  </si>
  <si>
    <t>PC鋼材のリラクセーション(relaxation)</t>
  </si>
  <si>
    <t>:床版厚</t>
  </si>
  <si>
    <t>(2) 引張応力が発生するコンクリート断面積の0.5%以上が鉄筋量</t>
  </si>
  <si>
    <t>: 最小引張鉄筋量</t>
  </si>
  <si>
    <t>: 図材引張縁の幅</t>
  </si>
  <si>
    <t>: 部材引張縁から中立軸までの距離</t>
  </si>
  <si>
    <t>設計交通量</t>
  </si>
  <si>
    <t>配置鉄筋量</t>
  </si>
  <si>
    <t>引張鉄筋の算出</t>
  </si>
  <si>
    <t>使用鉄筋量</t>
  </si>
  <si>
    <t>衝突荷重時</t>
  </si>
  <si>
    <t>使用鉄筋量</t>
  </si>
  <si>
    <t>8) 曲げ破壊安全度の照査</t>
  </si>
  <si>
    <t>鉄筋は引張側のみ考慮する。</t>
  </si>
  <si>
    <t>(1)中立軸の算出</t>
  </si>
  <si>
    <t>終局状態におけるPC鋼材, 鉄筋がすべて降伏すると仮定する。</t>
  </si>
  <si>
    <t xml:space="preserve">鉄筋, PC鋼材の引張力は </t>
  </si>
  <si>
    <t>コンクリートの圧縮力は</t>
  </si>
  <si>
    <t>ひずみの適合条件</t>
  </si>
  <si>
    <t>で鉄筋, PC鋼材のひずみ率は</t>
  </si>
  <si>
    <t>PC鋼材のひずみは次の図の範囲Ⅱにあると仮定する。</t>
  </si>
  <si>
    <t>③に ①②を代入して解くと</t>
  </si>
  <si>
    <t>一方鉄筋とPC鋼材のひずみ率は</t>
  </si>
  <si>
    <t>終局状態におけるPC鋼材, 鉄筋がすべて降伏していると仮定する。</t>
  </si>
  <si>
    <t>鉄筋, PC鋼材の引張力は</t>
  </si>
  <si>
    <t>PC鋼材が降伏しないために中立軸を仮定する。</t>
  </si>
  <si>
    <t>(2)終局曲げモーメントの算出</t>
  </si>
  <si>
    <t>中立軸からPC鋼線の引張力は</t>
  </si>
  <si>
    <t>終局モーメントは</t>
  </si>
  <si>
    <t>- 中間部</t>
  </si>
  <si>
    <t>(3)安全度の照査</t>
  </si>
  <si>
    <t xml:space="preserve">終局荷重作用時の曲げモーメントは </t>
  </si>
  <si>
    <t>安全度照査</t>
  </si>
  <si>
    <t>終局曲げモーメントに対する安全度</t>
  </si>
  <si>
    <t>判定</t>
  </si>
  <si>
    <t>橋軸方向はRC部材として設計する。</t>
  </si>
  <si>
    <t>床版支間</t>
  </si>
  <si>
    <t>突出部</t>
  </si>
  <si>
    <t>2) 断面計算</t>
  </si>
  <si>
    <t>断面計算は複鉄筋にして設計する。</t>
  </si>
  <si>
    <t>鉄筋の引張応力度は20N/mm2位余裕を設定する。</t>
  </si>
  <si>
    <t>鉄筋とコンクリートの弾性係数比</t>
  </si>
  <si>
    <t>コンクリートの許容曲げ圧縮強度</t>
  </si>
  <si>
    <t>直角方向鉄筋</t>
  </si>
  <si>
    <t>コンクリートの断面係数</t>
  </si>
  <si>
    <t>鉄筋の断面係数</t>
  </si>
  <si>
    <t>の方式で求める。</t>
  </si>
  <si>
    <t>橋軸方向の設計</t>
  </si>
  <si>
    <t>突出部先端</t>
  </si>
  <si>
    <t>部材高 h ( mm )</t>
  </si>
  <si>
    <t>有効高 d ( mm )</t>
  </si>
  <si>
    <t>断面係数</t>
  </si>
  <si>
    <t>作用モーメント M (kN·m )</t>
  </si>
  <si>
    <t>応 力 度</t>
  </si>
  <si>
    <t>作用 σc</t>
  </si>
  <si>
    <t>許容 σca</t>
  </si>
  <si>
    <t>作用 σs'</t>
  </si>
  <si>
    <t>許容 σsa'</t>
  </si>
  <si>
    <t>下部鉄筋の</t>
  </si>
  <si>
    <t>上部鉄筋の</t>
  </si>
  <si>
    <t>判 定</t>
  </si>
  <si>
    <t>-</t>
  </si>
  <si>
    <t>σctg</t>
  </si>
  <si>
    <t>σdog</t>
  </si>
  <si>
    <t>Pt'</t>
  </si>
  <si>
    <t>σpt</t>
  </si>
  <si>
    <t>W1 =</t>
  </si>
  <si>
    <t>W2 =</t>
  </si>
  <si>
    <t>W3 =</t>
  </si>
  <si>
    <t>W4 =</t>
  </si>
  <si>
    <t>W5 =</t>
  </si>
  <si>
    <t>N/mm2</t>
  </si>
  <si>
    <t>N/mm2</t>
  </si>
  <si>
    <t>=</t>
  </si>
  <si>
    <t>N/mm2</t>
  </si>
  <si>
    <t>10^4</t>
  </si>
  <si>
    <t>10^4</t>
  </si>
  <si>
    <t>10^-4</t>
  </si>
  <si>
    <t>21.8mm 19本より (SWPR19)</t>
  </si>
  <si>
    <t>mm2</t>
  </si>
  <si>
    <t>N/mm2</t>
  </si>
  <si>
    <t>N/mm2</t>
  </si>
  <si>
    <t>10^5</t>
  </si>
  <si>
    <t>N/mm2</t>
  </si>
  <si>
    <t>N/mm2</t>
  </si>
  <si>
    <t>2000以上</t>
  </si>
  <si>
    <t>単純版</t>
  </si>
  <si>
    <t>)</t>
  </si>
  <si>
    <t xml:space="preserve"> 3.3 一般部断面設計</t>
  </si>
  <si>
    <t>3.3.1 橋軸方向設計</t>
  </si>
  <si>
    <t>X</t>
  </si>
  <si>
    <t>Y</t>
  </si>
  <si>
    <t>i端</t>
  </si>
  <si>
    <t>(m2)</t>
  </si>
  <si>
    <t>(m4)</t>
  </si>
  <si>
    <t>kN/m</t>
  </si>
  <si>
    <t>W13 =</t>
  </si>
  <si>
    <t>W14 =</t>
  </si>
  <si>
    <t>W15 =</t>
  </si>
  <si>
    <t>m</t>
  </si>
  <si>
    <t>kN/mm3</t>
  </si>
  <si>
    <t>kN/m2</t>
  </si>
  <si>
    <t>地覆(左)</t>
  </si>
  <si>
    <t>モーメント(kN·m)</t>
  </si>
  <si>
    <t>地覆小計</t>
  </si>
  <si>
    <t>から</t>
  </si>
  <si>
    <t>地覆(右)</t>
  </si>
  <si>
    <t>から</t>
  </si>
  <si>
    <t>m の位置</t>
  </si>
  <si>
    <t>kN/m</t>
  </si>
  <si>
    <t>から</t>
  </si>
  <si>
    <t>m の位置</t>
  </si>
  <si>
    <t>kN/m</t>
  </si>
  <si>
    <t xml:space="preserve"> kN/m</t>
  </si>
  <si>
    <t>＋</t>
  </si>
  <si>
    <t>/</t>
  </si>
  <si>
    <t>=</t>
  </si>
  <si>
    <t>m</t>
  </si>
  <si>
    <t xml:space="preserve">Mh = </t>
  </si>
  <si>
    <t>×</t>
  </si>
  <si>
    <t xml:space="preserve"> kN·m</t>
  </si>
  <si>
    <t>載荷高       h =</t>
  </si>
  <si>
    <t>＋</t>
  </si>
  <si>
    <t>/</t>
  </si>
  <si>
    <t>m</t>
  </si>
  <si>
    <t>m</t>
  </si>
  <si>
    <t>Mh = - k·P'max·h / Lp =</t>
  </si>
  <si>
    <t>-</t>
  </si>
  <si>
    <t>/</t>
  </si>
  <si>
    <t>ここに,</t>
  </si>
  <si>
    <t xml:space="preserve"> kN/m2</t>
  </si>
  <si>
    <t>載荷高      h =</t>
  </si>
  <si>
    <t>＋</t>
  </si>
  <si>
    <t>Mw =</t>
  </si>
  <si>
    <t>B</t>
  </si>
  <si>
    <t>kN</t>
  </si>
  <si>
    <t>L =</t>
  </si>
  <si>
    <t>α1  =</t>
  </si>
  <si>
    <t xml:space="preserve"> </t>
  </si>
  <si>
    <t>M1 =</t>
  </si>
  <si>
    <t>=</t>
  </si>
  <si>
    <t xml:space="preserve"> kN·m</t>
  </si>
  <si>
    <t>L =</t>
  </si>
  <si>
    <t>m</t>
  </si>
  <si>
    <t>α2  =</t>
  </si>
  <si>
    <t>M2 =</t>
  </si>
  <si>
    <t xml:space="preserve"> kN·m</t>
  </si>
  <si>
    <t>M(kN·m)</t>
  </si>
  <si>
    <t>(a) 床版自重</t>
  </si>
  <si>
    <t>(b) 舗　装</t>
  </si>
  <si>
    <t>(c) 防護壁 (防護壁または地覆・高欄) その他</t>
  </si>
  <si>
    <t>(e) 水平推力</t>
  </si>
  <si>
    <t>(f) 衝突荷重</t>
  </si>
  <si>
    <t>(g) 風荷重</t>
  </si>
  <si>
    <t>死荷重時   (a)+(b)+(c)</t>
  </si>
  <si>
    <t>風荷重時     (a)+(b)+(c)+(d)+(e)+1/2(g)</t>
  </si>
  <si>
    <t>最大風荷重時 (a)+(b)+(c)+(g)</t>
  </si>
  <si>
    <t>CTC</t>
  </si>
  <si>
    <t>mm</t>
  </si>
  <si>
    <t>As =</t>
  </si>
  <si>
    <t>mm2</t>
  </si>
  <si>
    <t>-</t>
  </si>
  <si>
    <t>Ap =</t>
  </si>
  <si>
    <t>A = bh</t>
  </si>
  <si>
    <t>×</t>
  </si>
  <si>
    <t>cm2</t>
  </si>
  <si>
    <r>
      <t>I = bh</t>
    </r>
    <r>
      <rPr>
        <vertAlign val="superscript"/>
        <sz val="9"/>
        <rFont val="ＭＳ ゴシック"/>
        <family val="3"/>
      </rPr>
      <t xml:space="preserve">3 </t>
    </r>
    <r>
      <rPr>
        <sz val="9"/>
        <rFont val="ＭＳ ゴシック"/>
        <family val="3"/>
      </rPr>
      <t>/ 12</t>
    </r>
  </si>
  <si>
    <t>/ 12</t>
  </si>
  <si>
    <t>cm4</t>
  </si>
  <si>
    <t>ep =</t>
  </si>
  <si>
    <t>=</t>
  </si>
  <si>
    <t>cm</t>
  </si>
  <si>
    <t>=</t>
  </si>
  <si>
    <t>/</t>
  </si>
  <si>
    <t>(</t>
  </si>
  <si>
    <t>/ 2 )</t>
  </si>
  <si>
    <t>cm3</t>
  </si>
  <si>
    <t>As =</t>
  </si>
  <si>
    <t>mm2</t>
  </si>
  <si>
    <t>-</t>
  </si>
  <si>
    <t>CTC</t>
  </si>
  <si>
    <t>mm</t>
  </si>
  <si>
    <t>Ap =</t>
  </si>
  <si>
    <t>A = bh</t>
  </si>
  <si>
    <t>=</t>
  </si>
  <si>
    <t>×</t>
  </si>
  <si>
    <t>cm2</t>
  </si>
  <si>
    <t xml:space="preserve"> </t>
  </si>
  <si>
    <t xml:space="preserve"> 舗　装</t>
  </si>
  <si>
    <t xml:space="preserve"> 防護壁その他</t>
  </si>
  <si>
    <t xml:space="preserve"> </t>
  </si>
  <si>
    <t>σpi =</t>
  </si>
  <si>
    <t>N/mm2にする</t>
  </si>
  <si>
    <t xml:space="preserve">σpt1 = </t>
  </si>
  <si>
    <r>
      <t>σpi·e</t>
    </r>
    <r>
      <rPr>
        <vertAlign val="superscript"/>
        <sz val="9"/>
        <rFont val="ＭＳ ゴシック"/>
        <family val="3"/>
      </rPr>
      <t>-(μα+λℓ)</t>
    </r>
  </si>
  <si>
    <t>×</t>
  </si>
  <si>
    <t>e</t>
  </si>
  <si>
    <t>N/mm2</t>
  </si>
  <si>
    <t>ここに,</t>
  </si>
  <si>
    <t>σpt1</t>
  </si>
  <si>
    <t>σpi</t>
  </si>
  <si>
    <t>N/mm2 )</t>
  </si>
  <si>
    <t>λ</t>
  </si>
  <si>
    <t>(</t>
  </si>
  <si>
    <t>)</t>
  </si>
  <si>
    <t>ℓ</t>
  </si>
  <si>
    <t>=</t>
  </si>
  <si>
    <t>μ</t>
  </si>
  <si>
    <t>α</t>
  </si>
  <si>
    <t>σpi</t>
  </si>
  <si>
    <t>Σℓ</t>
  </si>
  <si>
    <t>Σα</t>
  </si>
  <si>
    <t>σpt1</t>
  </si>
  <si>
    <t>N/mm2</t>
  </si>
  <si>
    <t>m</t>
  </si>
  <si>
    <t>rad</t>
  </si>
  <si>
    <t>①</t>
  </si>
  <si>
    <t>A</t>
  </si>
  <si>
    <t>B</t>
  </si>
  <si>
    <t>②</t>
  </si>
  <si>
    <t>C</t>
  </si>
  <si>
    <t>D</t>
  </si>
  <si>
    <t>③</t>
  </si>
  <si>
    <t xml:space="preserve">Δσpt1·ℓ </t>
  </si>
  <si>
    <t>Δℓ·Ep</t>
  </si>
  <si>
    <t>×</t>
  </si>
  <si>
    <r>
      <t>10</t>
    </r>
    <r>
      <rPr>
        <vertAlign val="superscript"/>
        <sz val="9"/>
        <rFont val="ＭＳ ゴシック"/>
        <family val="3"/>
      </rPr>
      <t>5</t>
    </r>
  </si>
  <si>
    <t>N/mm2</t>
  </si>
  <si>
    <t>= Asp</t>
  </si>
  <si>
    <t>ここに</t>
  </si>
  <si>
    <t xml:space="preserve">Δσpt1 </t>
  </si>
  <si>
    <t xml:space="preserve">ℓ </t>
  </si>
  <si>
    <t>(</t>
  </si>
  <si>
    <t>=</t>
  </si>
  <si>
    <t>m )</t>
  </si>
  <si>
    <t>mm )</t>
  </si>
  <si>
    <t>×</t>
  </si>
  <si>
    <r>
      <t>10</t>
    </r>
    <r>
      <rPr>
        <vertAlign val="superscript"/>
        <sz val="9"/>
        <rFont val="ＭＳ ゴシック"/>
        <family val="3"/>
      </rPr>
      <t>5</t>
    </r>
  </si>
  <si>
    <t>N/mm2 )</t>
  </si>
  <si>
    <t xml:space="preserve"> </t>
  </si>
  <si>
    <t xml:space="preserve"> </t>
  </si>
  <si>
    <t>( N/mm2 )</t>
  </si>
  <si>
    <t>Δσpe</t>
  </si>
  <si>
    <t>1/2·n·σcpg·(N-1)/N</t>
  </si>
  <si>
    <t>1/2</t>
  </si>
  <si>
    <t>×</t>
  </si>
  <si>
    <t>(</t>
  </si>
  <si>
    <t>-</t>
  </si>
  <si>
    <t>) /</t>
  </si>
  <si>
    <t>N/mm2</t>
  </si>
  <si>
    <t>n</t>
  </si>
  <si>
    <t xml:space="preserve">n = Ep / Ec </t>
  </si>
  <si>
    <r>
      <t>10</t>
    </r>
    <r>
      <rPr>
        <vertAlign val="superscript"/>
        <sz val="9"/>
        <rFont val="ＭＳ ゴシック"/>
        <family val="3"/>
      </rPr>
      <t>5</t>
    </r>
  </si>
  <si>
    <r>
      <t>10</t>
    </r>
    <r>
      <rPr>
        <vertAlign val="superscript"/>
        <sz val="9"/>
        <rFont val="ＭＳ ゴシック"/>
        <family val="3"/>
      </rPr>
      <t>4</t>
    </r>
  </si>
  <si>
    <t>Ep</t>
  </si>
  <si>
    <t>( =</t>
  </si>
  <si>
    <r>
      <t>N/mm</t>
    </r>
    <r>
      <rPr>
        <vertAlign val="superscript"/>
        <sz val="9"/>
        <rFont val="ＭＳ ゴシック"/>
        <family val="3"/>
      </rPr>
      <t xml:space="preserve">2 </t>
    </r>
    <r>
      <rPr>
        <sz val="9"/>
        <rFont val="ＭＳ ゴシック"/>
        <family val="3"/>
      </rPr>
      <t>)</t>
    </r>
  </si>
  <si>
    <t>Ec</t>
  </si>
  <si>
    <t>σcpg</t>
  </si>
  <si>
    <t>σcpg = σctg + σdog</t>
  </si>
  <si>
    <t>+</t>
  </si>
  <si>
    <t>σctg</t>
  </si>
  <si>
    <t>: プレストレスによるPC鋼材位置のコンクリート応力度</t>
  </si>
  <si>
    <t xml:space="preserve">Pt'/ A + Pt'·ep / Wpc </t>
  </si>
  <si>
    <t>/</t>
  </si>
  <si>
    <t>×</t>
  </si>
  <si>
    <t xml:space="preserve">Pt' </t>
  </si>
  <si>
    <t>=</t>
  </si>
  <si>
    <t>Ap·σpt2</t>
  </si>
  <si>
    <t>kN</t>
  </si>
  <si>
    <t>σdog</t>
  </si>
  <si>
    <t>①</t>
  </si>
  <si>
    <t>②</t>
  </si>
  <si>
    <t>③</t>
  </si>
  <si>
    <t>N</t>
  </si>
  <si>
    <t>σpt2</t>
  </si>
  <si>
    <r>
      <t>( N/mm2</t>
    </r>
    <r>
      <rPr>
        <vertAlign val="superscript"/>
        <sz val="9"/>
        <rFont val="ＭＳ ゴシック"/>
        <family val="3"/>
      </rPr>
      <t xml:space="preserve"> </t>
    </r>
    <r>
      <rPr>
        <sz val="9"/>
        <rFont val="ＭＳ ゴシック"/>
        <family val="3"/>
      </rPr>
      <t>)</t>
    </r>
  </si>
  <si>
    <t>Ap</t>
  </si>
  <si>
    <r>
      <t>( mm2</t>
    </r>
    <r>
      <rPr>
        <vertAlign val="superscript"/>
        <sz val="9"/>
        <rFont val="ＭＳ ゴシック"/>
        <family val="3"/>
      </rPr>
      <t xml:space="preserve">  </t>
    </r>
    <r>
      <rPr>
        <sz val="9"/>
        <rFont val="ＭＳ ゴシック"/>
        <family val="3"/>
      </rPr>
      <t>)</t>
    </r>
  </si>
  <si>
    <t>Pt'</t>
  </si>
  <si>
    <r>
      <t>( kN</t>
    </r>
    <r>
      <rPr>
        <vertAlign val="superscript"/>
        <sz val="9"/>
        <rFont val="ＭＳ ゴシック"/>
        <family val="3"/>
      </rPr>
      <t xml:space="preserve"> </t>
    </r>
    <r>
      <rPr>
        <sz val="9"/>
        <rFont val="ＭＳ ゴシック"/>
        <family val="3"/>
      </rPr>
      <t>)</t>
    </r>
  </si>
  <si>
    <t>A</t>
  </si>
  <si>
    <r>
      <t>( cm2</t>
    </r>
    <r>
      <rPr>
        <vertAlign val="superscript"/>
        <sz val="9"/>
        <rFont val="ＭＳ ゴシック"/>
        <family val="3"/>
      </rPr>
      <t xml:space="preserve">  </t>
    </r>
    <r>
      <rPr>
        <sz val="9"/>
        <rFont val="ＭＳ ゴシック"/>
        <family val="3"/>
      </rPr>
      <t>)</t>
    </r>
  </si>
  <si>
    <t>ep</t>
  </si>
  <si>
    <r>
      <t>( mm</t>
    </r>
    <r>
      <rPr>
        <vertAlign val="superscript"/>
        <sz val="9"/>
        <rFont val="ＭＳ ゴシック"/>
        <family val="3"/>
      </rPr>
      <t xml:space="preserve"> </t>
    </r>
    <r>
      <rPr>
        <sz val="9"/>
        <rFont val="ＭＳ ゴシック"/>
        <family val="3"/>
      </rPr>
      <t>)</t>
    </r>
  </si>
  <si>
    <t>Wpc</t>
  </si>
  <si>
    <r>
      <t>( cm3</t>
    </r>
    <r>
      <rPr>
        <vertAlign val="superscript"/>
        <sz val="9"/>
        <rFont val="ＭＳ ゴシック"/>
        <family val="3"/>
      </rPr>
      <t xml:space="preserve">  </t>
    </r>
    <r>
      <rPr>
        <sz val="9"/>
        <rFont val="ＭＳ ゴシック"/>
        <family val="3"/>
      </rPr>
      <t>)</t>
    </r>
  </si>
  <si>
    <t>Δσpe</t>
  </si>
  <si>
    <t>σpt</t>
  </si>
  <si>
    <t xml:space="preserve"> σpt </t>
  </si>
  <si>
    <t xml:space="preserve"> σpt</t>
  </si>
  <si>
    <t xml:space="preserve"> σpt2 - Δσpe</t>
  </si>
  <si>
    <t>①</t>
  </si>
  <si>
    <t>②</t>
  </si>
  <si>
    <t>③</t>
  </si>
  <si>
    <t>σctu = - Pt / A - Pt·ep / Wu</t>
  </si>
  <si>
    <t xml:space="preserve"> </t>
  </si>
  <si>
    <r>
      <t>10</t>
    </r>
    <r>
      <rPr>
        <vertAlign val="superscript"/>
        <sz val="9"/>
        <rFont val="ＭＳ ゴシック"/>
        <family val="3"/>
      </rPr>
      <t>3</t>
    </r>
  </si>
  <si>
    <t>/</t>
  </si>
  <si>
    <r>
      <t>10</t>
    </r>
    <r>
      <rPr>
        <vertAlign val="superscript"/>
        <sz val="9"/>
        <rFont val="ＭＳ ゴシック"/>
        <family val="3"/>
      </rPr>
      <t>2</t>
    </r>
  </si>
  <si>
    <t>-</t>
  </si>
  <si>
    <t>N/mm2</t>
  </si>
  <si>
    <t>σca =</t>
  </si>
  <si>
    <t>σctl = - Pt / A - Pt·ep / Wl</t>
  </si>
  <si>
    <t>σcpt = - Pt / A - Pt·ep / Wpc</t>
  </si>
  <si>
    <t>σctu, σctl, σcpt</t>
  </si>
  <si>
    <t xml:space="preserve">コンクリートの応力度  </t>
  </si>
  <si>
    <t>Pt</t>
  </si>
  <si>
    <t>Ap·σpt</t>
  </si>
  <si>
    <t>Ap</t>
  </si>
  <si>
    <t>ep</t>
  </si>
  <si>
    <t>Wu, Wl, Wpc</t>
  </si>
  <si>
    <t>σpt</t>
  </si>
  <si>
    <r>
      <t>( mm2</t>
    </r>
    <r>
      <rPr>
        <vertAlign val="superscript"/>
        <sz val="9"/>
        <rFont val="ＭＳ ゴシック"/>
        <family val="3"/>
      </rPr>
      <t xml:space="preserve">  </t>
    </r>
    <r>
      <rPr>
        <sz val="9"/>
        <rFont val="ＭＳ ゴシック"/>
        <family val="3"/>
      </rPr>
      <t>)</t>
    </r>
  </si>
  <si>
    <r>
      <t>( kN</t>
    </r>
    <r>
      <rPr>
        <vertAlign val="superscript"/>
        <sz val="9"/>
        <rFont val="ＭＳ ゴシック"/>
        <family val="3"/>
      </rPr>
      <t xml:space="preserve"> </t>
    </r>
    <r>
      <rPr>
        <sz val="9"/>
        <rFont val="ＭＳ ゴシック"/>
        <family val="3"/>
      </rPr>
      <t>)</t>
    </r>
  </si>
  <si>
    <t>A</t>
  </si>
  <si>
    <r>
      <t>( cm2</t>
    </r>
    <r>
      <rPr>
        <vertAlign val="superscript"/>
        <sz val="9"/>
        <rFont val="ＭＳ ゴシック"/>
        <family val="3"/>
      </rPr>
      <t xml:space="preserve">  </t>
    </r>
    <r>
      <rPr>
        <sz val="9"/>
        <rFont val="ＭＳ ゴシック"/>
        <family val="3"/>
      </rPr>
      <t>)</t>
    </r>
  </si>
  <si>
    <t>ep</t>
  </si>
  <si>
    <r>
      <t>( mm</t>
    </r>
    <r>
      <rPr>
        <vertAlign val="superscript"/>
        <sz val="9"/>
        <rFont val="ＭＳ ゴシック"/>
        <family val="3"/>
      </rPr>
      <t xml:space="preserve"> </t>
    </r>
    <r>
      <rPr>
        <sz val="9"/>
        <rFont val="ＭＳ ゴシック"/>
        <family val="3"/>
      </rPr>
      <t>)</t>
    </r>
  </si>
  <si>
    <t>Wu</t>
  </si>
  <si>
    <r>
      <t>( cm3</t>
    </r>
    <r>
      <rPr>
        <vertAlign val="superscript"/>
        <sz val="9"/>
        <rFont val="ＭＳ ゴシック"/>
        <family val="3"/>
      </rPr>
      <t xml:space="preserve">  </t>
    </r>
    <r>
      <rPr>
        <sz val="9"/>
        <rFont val="ＭＳ ゴシック"/>
        <family val="3"/>
      </rPr>
      <t>)</t>
    </r>
  </si>
  <si>
    <t>Wl</t>
  </si>
  <si>
    <t>Wpc</t>
  </si>
  <si>
    <t>σctu</t>
  </si>
  <si>
    <t>σctl</t>
  </si>
  <si>
    <t>σcpt</t>
  </si>
  <si>
    <t>・クリープによるPC鋼材の応力度の減少量</t>
  </si>
  <si>
    <t>Δσpφ = ( n·φ·σcp + Ep·εs ) / [ 1 + α·( 1 + φ/2 ) ]</t>
  </si>
  <si>
    <r>
      <t>10</t>
    </r>
    <r>
      <rPr>
        <vertAlign val="superscript"/>
        <sz val="9"/>
        <rFont val="ＭＳ ゴシック"/>
        <family val="3"/>
      </rPr>
      <t>5</t>
    </r>
  </si>
  <si>
    <r>
      <t>10</t>
    </r>
    <r>
      <rPr>
        <vertAlign val="superscript"/>
        <sz val="9"/>
        <rFont val="ＭＳ ゴシック"/>
        <family val="3"/>
      </rPr>
      <t>-4</t>
    </r>
  </si>
  <si>
    <t xml:space="preserve"> 1 +</t>
  </si>
  <si>
    <t>( 1 +</t>
  </si>
  <si>
    <t>/ 2 )</t>
  </si>
  <si>
    <t>N/mm2</t>
  </si>
  <si>
    <t>Δσpφ</t>
  </si>
  <si>
    <t>: コンクリートのクリープ・乾燥収縮によるプレストレスの 減少量</t>
  </si>
  <si>
    <t>( =</t>
  </si>
  <si>
    <t>)</t>
  </si>
  <si>
    <r>
      <t>10</t>
    </r>
    <r>
      <rPr>
        <vertAlign val="superscript"/>
        <sz val="9"/>
        <rFont val="ＭＳ ゴシック"/>
        <family val="3"/>
      </rPr>
      <t>-4</t>
    </r>
  </si>
  <si>
    <t>)</t>
  </si>
  <si>
    <t>Ep, Es</t>
  </si>
  <si>
    <t xml:space="preserve"> n = Ep / Ec</t>
  </si>
  <si>
    <r>
      <t xml:space="preserve"> A</t>
    </r>
    <r>
      <rPr>
        <vertAlign val="subscript"/>
        <sz val="9"/>
        <rFont val="ＭＳ ゴシック"/>
        <family val="3"/>
      </rPr>
      <t>P+S</t>
    </r>
  </si>
  <si>
    <t>=</t>
  </si>
  <si>
    <t>+</t>
  </si>
  <si>
    <t>mm2</t>
  </si>
  <si>
    <r>
      <t>e</t>
    </r>
    <r>
      <rPr>
        <vertAlign val="subscript"/>
        <sz val="9"/>
        <rFont val="ＭＳ ゴシック"/>
        <family val="3"/>
      </rPr>
      <t>p+s</t>
    </r>
  </si>
  <si>
    <r>
      <t>e</t>
    </r>
    <r>
      <rPr>
        <vertAlign val="subscript"/>
        <sz val="9"/>
        <rFont val="ＭＳ ゴシック"/>
        <family val="3"/>
      </rPr>
      <t>p+s</t>
    </r>
  </si>
  <si>
    <t>+</t>
  </si>
  <si>
    <t>)/</t>
  </si>
  <si>
    <t>mm</t>
  </si>
  <si>
    <t>I</t>
  </si>
  <si>
    <t>クリープ, 乾燥収縮によるPC鋼材の応力度の減少量</t>
  </si>
  <si>
    <t>①</t>
  </si>
  <si>
    <t>②</t>
  </si>
  <si>
    <t>③</t>
  </si>
  <si>
    <r>
      <t>e</t>
    </r>
    <r>
      <rPr>
        <vertAlign val="subscript"/>
        <sz val="9"/>
        <rFont val="ＭＳ ゴシック"/>
        <family val="3"/>
      </rPr>
      <t>p+s</t>
    </r>
  </si>
  <si>
    <r>
      <t>( mm</t>
    </r>
    <r>
      <rPr>
        <vertAlign val="superscript"/>
        <sz val="9"/>
        <rFont val="ＭＳ ゴシック"/>
        <family val="3"/>
      </rPr>
      <t xml:space="preserve"> </t>
    </r>
    <r>
      <rPr>
        <sz val="9"/>
        <rFont val="ＭＳ ゴシック"/>
        <family val="3"/>
      </rPr>
      <t>)</t>
    </r>
  </si>
  <si>
    <r>
      <t>( mm2</t>
    </r>
    <r>
      <rPr>
        <vertAlign val="superscript"/>
        <sz val="9"/>
        <rFont val="ＭＳ ゴシック"/>
        <family val="3"/>
      </rPr>
      <t xml:space="preserve">  </t>
    </r>
    <r>
      <rPr>
        <sz val="9"/>
        <rFont val="ＭＳ ゴシック"/>
        <family val="3"/>
      </rPr>
      <t>)</t>
    </r>
  </si>
  <si>
    <t>( ㎝2 )</t>
  </si>
  <si>
    <t>I</t>
  </si>
  <si>
    <t>( ㎝4 )</t>
  </si>
  <si>
    <t>σcpt</t>
  </si>
  <si>
    <t>( N/mm2 )</t>
  </si>
  <si>
    <t>Δσpφ</t>
  </si>
  <si>
    <t>Ns =</t>
  </si>
  <si>
    <t>Es/Ep × As × Δσpφ</t>
  </si>
  <si>
    <t>N</t>
  </si>
  <si>
    <t>( ∵ Es/Ep = 1 )</t>
  </si>
  <si>
    <t>Ms =</t>
  </si>
  <si>
    <t>es × Ns</t>
  </si>
  <si>
    <t>N mm</t>
  </si>
  <si>
    <t xml:space="preserve">es </t>
  </si>
  <si>
    <t>)/</t>
  </si>
  <si>
    <t>mm</t>
  </si>
  <si>
    <t>( σ = Ns/Ac + Ms/W )</t>
  </si>
  <si>
    <t>①</t>
  </si>
  <si>
    <t>②</t>
  </si>
  <si>
    <t>③</t>
  </si>
  <si>
    <t>Δσpφ</t>
  </si>
  <si>
    <t>( N/mm2 )</t>
  </si>
  <si>
    <t xml:space="preserve"> As</t>
  </si>
  <si>
    <t>( mm2 )</t>
  </si>
  <si>
    <t xml:space="preserve">es </t>
  </si>
  <si>
    <r>
      <t>( mm</t>
    </r>
    <r>
      <rPr>
        <vertAlign val="superscript"/>
        <sz val="9"/>
        <rFont val="ＭＳ ゴシック"/>
        <family val="3"/>
      </rPr>
      <t xml:space="preserve"> </t>
    </r>
    <r>
      <rPr>
        <sz val="9"/>
        <rFont val="ＭＳ ゴシック"/>
        <family val="3"/>
      </rPr>
      <t>)</t>
    </r>
  </si>
  <si>
    <t>Ns</t>
  </si>
  <si>
    <r>
      <t>(  kN</t>
    </r>
    <r>
      <rPr>
        <vertAlign val="superscript"/>
        <sz val="9"/>
        <rFont val="ＭＳ ゴシック"/>
        <family val="3"/>
      </rPr>
      <t xml:space="preserve">  </t>
    </r>
    <r>
      <rPr>
        <sz val="9"/>
        <rFont val="ＭＳ ゴシック"/>
        <family val="3"/>
      </rPr>
      <t>)</t>
    </r>
  </si>
  <si>
    <t>Ms</t>
  </si>
  <si>
    <r>
      <t>( kNm</t>
    </r>
    <r>
      <rPr>
        <vertAlign val="superscript"/>
        <sz val="9"/>
        <rFont val="ＭＳ ゴシック"/>
        <family val="3"/>
      </rPr>
      <t xml:space="preserve"> </t>
    </r>
    <r>
      <rPr>
        <sz val="9"/>
        <rFont val="ＭＳ ゴシック"/>
        <family val="3"/>
      </rPr>
      <t>)</t>
    </r>
  </si>
  <si>
    <t xml:space="preserve"> Ac</t>
  </si>
  <si>
    <t>Wu</t>
  </si>
  <si>
    <t xml:space="preserve">( cm3 ) </t>
  </si>
  <si>
    <t xml:space="preserve">Wl </t>
  </si>
  <si>
    <t xml:space="preserve">Wpc </t>
  </si>
  <si>
    <t>σcu</t>
  </si>
  <si>
    <t>σcl</t>
  </si>
  <si>
    <t>σcp</t>
  </si>
  <si>
    <t>Δσpγ</t>
  </si>
  <si>
    <t>= γ·σpt</t>
  </si>
  <si>
    <t>=</t>
  </si>
  <si>
    <t>×</t>
  </si>
  <si>
    <t>N/mm2</t>
  </si>
  <si>
    <t xml:space="preserve">Δσpr </t>
  </si>
  <si>
    <t>γ</t>
  </si>
  <si>
    <t>( =</t>
  </si>
  <si>
    <t>)</t>
  </si>
  <si>
    <t>γ</t>
  </si>
  <si>
    <t>Δσpγ</t>
  </si>
  <si>
    <t>σpe</t>
  </si>
  <si>
    <t>= σpt - ΔσpΦ -Δσpγ</t>
  </si>
  <si>
    <t>=</t>
  </si>
  <si>
    <t>-</t>
  </si>
  <si>
    <t>N/mm2</t>
  </si>
  <si>
    <t>σpa =</t>
  </si>
  <si>
    <t>η</t>
  </si>
  <si>
    <t>σpe/σpt</t>
  </si>
  <si>
    <t>/</t>
  </si>
  <si>
    <t>①</t>
  </si>
  <si>
    <t>②</t>
  </si>
  <si>
    <t>③</t>
  </si>
  <si>
    <t>σpt</t>
  </si>
  <si>
    <t>( N/mm2 )</t>
  </si>
  <si>
    <t>Δσpφ</t>
  </si>
  <si>
    <t>Δσpγ</t>
  </si>
  <si>
    <t>σce = η·σct</t>
  </si>
  <si>
    <t>σceu =</t>
  </si>
  <si>
    <t>×</t>
  </si>
  <si>
    <t>σcel =</t>
  </si>
  <si>
    <t>σcep =</t>
  </si>
  <si>
    <t>σctu</t>
  </si>
  <si>
    <t>σctl</t>
  </si>
  <si>
    <t>σcpt</t>
  </si>
  <si>
    <t>σceu</t>
  </si>
  <si>
    <t>σcel</t>
  </si>
  <si>
    <t>σcep</t>
  </si>
  <si>
    <r>
      <t>( N/mm</t>
    </r>
    <r>
      <rPr>
        <vertAlign val="superscript"/>
        <sz val="9"/>
        <rFont val="ＭＳ ゴシック"/>
        <family val="3"/>
      </rPr>
      <t xml:space="preserve">2 </t>
    </r>
    <r>
      <rPr>
        <sz val="9"/>
        <rFont val="ＭＳ ゴシック"/>
        <family val="3"/>
      </rPr>
      <t>)</t>
    </r>
  </si>
  <si>
    <t>σct ≤ 0</t>
  </si>
  <si>
    <t>σct ≤ σbck</t>
  </si>
  <si>
    <r>
      <t xml:space="preserve">w </t>
    </r>
    <r>
      <rPr>
        <sz val="9"/>
        <rFont val="돋움"/>
        <family val="2"/>
      </rPr>
      <t>≤</t>
    </r>
    <r>
      <rPr>
        <sz val="9"/>
        <rFont val="ＭＳ ゴシック"/>
        <family val="3"/>
      </rPr>
      <t xml:space="preserve"> wa</t>
    </r>
  </si>
  <si>
    <t>σbck</t>
  </si>
  <si>
    <t>( N/mm2 )</t>
  </si>
  <si>
    <t>σbck</t>
  </si>
  <si>
    <r>
      <t>= k</t>
    </r>
    <r>
      <rPr>
        <vertAlign val="subscript"/>
        <sz val="9"/>
        <rFont val="ＭＳ ゴシック"/>
        <family val="3"/>
      </rPr>
      <t>0b</t>
    </r>
    <r>
      <rPr>
        <sz val="9"/>
        <rFont val="ＭＳ ゴシック"/>
        <family val="3"/>
      </rPr>
      <t>·k</t>
    </r>
    <r>
      <rPr>
        <vertAlign val="subscript"/>
        <sz val="9"/>
        <rFont val="ＭＳ ゴシック"/>
        <family val="3"/>
      </rPr>
      <t>1b·</t>
    </r>
    <r>
      <rPr>
        <sz val="9"/>
        <rFont val="ＭＳ ゴシック"/>
        <family val="3"/>
      </rPr>
      <t>σtk</t>
    </r>
  </si>
  <si>
    <r>
      <t>k</t>
    </r>
    <r>
      <rPr>
        <vertAlign val="subscript"/>
        <sz val="9"/>
        <rFont val="ＭＳ ゴシック"/>
        <family val="3"/>
      </rPr>
      <t>0b</t>
    </r>
  </si>
  <si>
    <t>=</t>
  </si>
  <si>
    <t>+</t>
  </si>
  <si>
    <r>
      <t>0.85 + 4.5( h/l</t>
    </r>
    <r>
      <rPr>
        <vertAlign val="subscript"/>
        <sz val="9"/>
        <rFont val="ＭＳ ゴシック"/>
        <family val="3"/>
      </rPr>
      <t xml:space="preserve">ch </t>
    </r>
    <r>
      <rPr>
        <sz val="9"/>
        <rFont val="ＭＳ ゴシック"/>
        <family val="3"/>
      </rPr>
      <t>)</t>
    </r>
  </si>
  <si>
    <t>×</t>
  </si>
  <si>
    <t>(</t>
  </si>
  <si>
    <t>/</t>
  </si>
  <si>
    <t>)</t>
  </si>
  <si>
    <r>
      <t>k</t>
    </r>
    <r>
      <rPr>
        <vertAlign val="subscript"/>
        <sz val="9"/>
        <rFont val="ＭＳ ゴシック"/>
        <family val="3"/>
      </rPr>
      <t>1b</t>
    </r>
  </si>
  <si>
    <r>
      <t>k</t>
    </r>
    <r>
      <rPr>
        <vertAlign val="subscript"/>
        <sz val="9"/>
        <rFont val="ＭＳ ゴシック"/>
        <family val="3"/>
      </rPr>
      <t>1b</t>
    </r>
  </si>
  <si>
    <r>
      <t>= 0.55 / h</t>
    </r>
    <r>
      <rPr>
        <vertAlign val="superscript"/>
        <sz val="9"/>
        <rFont val="ＭＳ ゴシック"/>
        <family val="3"/>
      </rPr>
      <t>1/4</t>
    </r>
  </si>
  <si>
    <t>( ≥ 0.4  )</t>
  </si>
  <si>
    <r>
      <t>)</t>
    </r>
    <r>
      <rPr>
        <vertAlign val="superscript"/>
        <sz val="9"/>
        <rFont val="ＭＳ ゴシック"/>
        <family val="3"/>
      </rPr>
      <t>1/4</t>
    </r>
  </si>
  <si>
    <r>
      <t>( N/mm</t>
    </r>
    <r>
      <rPr>
        <vertAlign val="superscript"/>
        <sz val="9"/>
        <rFont val="ＭＳ ゴシック"/>
        <family val="3"/>
      </rPr>
      <t>2</t>
    </r>
    <r>
      <rPr>
        <sz val="9"/>
        <rFont val="ＭＳ ゴシック"/>
        <family val="3"/>
      </rPr>
      <t xml:space="preserve"> )</t>
    </r>
  </si>
  <si>
    <t>( ≤  4.2  )</t>
  </si>
  <si>
    <r>
      <t>= 0.23 σck</t>
    </r>
    <r>
      <rPr>
        <vertAlign val="superscript"/>
        <sz val="9"/>
        <rFont val="ＭＳ ゴシック"/>
        <family val="3"/>
      </rPr>
      <t>2/3</t>
    </r>
  </si>
  <si>
    <r>
      <t>)</t>
    </r>
    <r>
      <rPr>
        <vertAlign val="superscript"/>
        <sz val="9"/>
        <rFont val="ＭＳ ゴシック"/>
        <family val="3"/>
      </rPr>
      <t>2/3</t>
    </r>
  </si>
  <si>
    <t>σck</t>
  </si>
  <si>
    <t>( =</t>
  </si>
  <si>
    <t>N/mm2 )</t>
  </si>
  <si>
    <t>: 部材の高さ ( m )</t>
  </si>
  <si>
    <t>(  ＞ 0.2  )</t>
  </si>
  <si>
    <t>m : 支点部 )</t>
  </si>
  <si>
    <r>
      <t>l</t>
    </r>
    <r>
      <rPr>
        <vertAlign val="subscript"/>
        <sz val="9"/>
        <rFont val="ＭＳ ゴシック"/>
        <family val="3"/>
      </rPr>
      <t>ch</t>
    </r>
    <r>
      <rPr>
        <sz val="9"/>
        <rFont val="ＭＳ ゴシック"/>
        <family val="3"/>
      </rPr>
      <t xml:space="preserve"> </t>
    </r>
  </si>
  <si>
    <t>lch =</t>
  </si>
  <si>
    <r>
      <t>G</t>
    </r>
    <r>
      <rPr>
        <vertAlign val="subscript"/>
        <sz val="9"/>
        <rFont val="ＭＳ ゴシック"/>
        <family val="3"/>
      </rPr>
      <t>F</t>
    </r>
    <r>
      <rPr>
        <sz val="9"/>
        <rFont val="ＭＳ ゴシック"/>
        <family val="3"/>
      </rPr>
      <t xml:space="preserve"> Ec/σtk</t>
    </r>
    <r>
      <rPr>
        <vertAlign val="superscript"/>
        <sz val="9"/>
        <rFont val="ＭＳ ゴシック"/>
        <family val="3"/>
      </rPr>
      <t>2</t>
    </r>
  </si>
  <si>
    <r>
      <t>× 10</t>
    </r>
    <r>
      <rPr>
        <vertAlign val="superscript"/>
        <sz val="9"/>
        <rFont val="ＭＳ ゴシック"/>
        <family val="3"/>
      </rPr>
      <t>4</t>
    </r>
  </si>
  <si>
    <r>
      <t>× 10</t>
    </r>
    <r>
      <rPr>
        <vertAlign val="superscript"/>
        <sz val="9"/>
        <rFont val="ＭＳ ゴシック"/>
        <family val="3"/>
      </rPr>
      <t>6</t>
    </r>
  </si>
  <si>
    <t>(</t>
  </si>
  <si>
    <r>
      <t>× 10</t>
    </r>
    <r>
      <rPr>
        <vertAlign val="superscript"/>
        <sz val="9"/>
        <rFont val="ＭＳ ゴシック"/>
        <family val="3"/>
      </rPr>
      <t xml:space="preserve">6  </t>
    </r>
    <r>
      <rPr>
        <sz val="9"/>
        <rFont val="ＭＳ ゴシック"/>
        <family val="3"/>
      </rPr>
      <t>)</t>
    </r>
    <r>
      <rPr>
        <vertAlign val="superscript"/>
        <sz val="9"/>
        <rFont val="ＭＳ ゴシック"/>
        <family val="3"/>
      </rPr>
      <t>2</t>
    </r>
  </si>
  <si>
    <t>m</t>
  </si>
  <si>
    <t>Ec</t>
  </si>
  <si>
    <t>N/mm2 )</t>
  </si>
  <si>
    <r>
      <t>G</t>
    </r>
    <r>
      <rPr>
        <vertAlign val="subscript"/>
        <sz val="9"/>
        <rFont val="ＭＳ ゴシック"/>
        <family val="3"/>
      </rPr>
      <t>F</t>
    </r>
  </si>
  <si>
    <t>(N/m )</t>
  </si>
  <si>
    <r>
      <t>G</t>
    </r>
    <r>
      <rPr>
        <vertAlign val="subscript"/>
        <sz val="9"/>
        <rFont val="ＭＳ ゴシック"/>
        <family val="3"/>
      </rPr>
      <t>F</t>
    </r>
  </si>
  <si>
    <r>
      <t>= 10(dmax)</t>
    </r>
    <r>
      <rPr>
        <vertAlign val="superscript"/>
        <sz val="9"/>
        <rFont val="ＭＳ ゴシック"/>
        <family val="3"/>
      </rPr>
      <t>1/3</t>
    </r>
    <r>
      <rPr>
        <sz val="9"/>
        <rFont val="ＭＳ ゴシック"/>
        <family val="3"/>
      </rPr>
      <t>σck</t>
    </r>
    <r>
      <rPr>
        <vertAlign val="superscript"/>
        <sz val="9"/>
        <rFont val="ＭＳ ゴシック"/>
        <family val="3"/>
      </rPr>
      <t>1/3</t>
    </r>
  </si>
  <si>
    <t>(</t>
  </si>
  <si>
    <r>
      <t>)</t>
    </r>
    <r>
      <rPr>
        <vertAlign val="superscript"/>
        <sz val="9"/>
        <rFont val="ＭＳ ゴシック"/>
        <family val="3"/>
      </rPr>
      <t>1/3</t>
    </r>
  </si>
  <si>
    <t>N/m</t>
  </si>
  <si>
    <t>dmax</t>
  </si>
  <si>
    <t xml:space="preserve"> </t>
  </si>
  <si>
    <t>(a)+(i)</t>
  </si>
  <si>
    <t>σmax</t>
  </si>
  <si>
    <t>σmin</t>
  </si>
  <si>
    <t>全死荷重時</t>
  </si>
  <si>
    <t>(a)+(b)+(c)+(d)+(f)+(j)</t>
  </si>
  <si>
    <t>(a)+(b)+(c)+(d)+(e)+(f)+(j)</t>
  </si>
  <si>
    <t>(a)+(b)+(c)+(d)+(e)+(f)</t>
  </si>
  <si>
    <t>σmax</t>
  </si>
  <si>
    <t>σmin</t>
  </si>
  <si>
    <t>(a)+(b)+(c)+(d))+(h)+(j)</t>
  </si>
  <si>
    <t>(a)+(b)+(c)+(d)+(e)+(g)+(j)</t>
  </si>
  <si>
    <t>σmax</t>
  </si>
  <si>
    <t>≤</t>
  </si>
  <si>
    <t>σc</t>
  </si>
  <si>
    <t>≤</t>
  </si>
  <si>
    <t>σc</t>
  </si>
  <si>
    <t>≤</t>
  </si>
  <si>
    <t>σc</t>
  </si>
  <si>
    <t>)</t>
  </si>
  <si>
    <t>N/mm2</t>
  </si>
  <si>
    <t>≤</t>
  </si>
  <si>
    <t>σc</t>
  </si>
  <si>
    <t xml:space="preserve"> </t>
  </si>
  <si>
    <t xml:space="preserve"> </t>
  </si>
  <si>
    <t>wa =</t>
  </si>
  <si>
    <t>c</t>
  </si>
  <si>
    <t>mm</t>
  </si>
  <si>
    <t>k2</t>
  </si>
  <si>
    <t>k2 = 15 / (σ'c + 20 ) + 0.7</t>
  </si>
  <si>
    <t>=</t>
  </si>
  <si>
    <t>/</t>
  </si>
  <si>
    <t>(</t>
  </si>
  <si>
    <t>+</t>
  </si>
  <si>
    <t>) +</t>
  </si>
  <si>
    <t xml:space="preserve"> N/mm2 )</t>
  </si>
  <si>
    <t>k3</t>
  </si>
  <si>
    <t>k3 = 5 ( n + 2 ) / ( 7n + 8 )</t>
  </si>
  <si>
    <t>× (</t>
  </si>
  <si>
    <t>) / (</t>
  </si>
  <si>
    <t>)</t>
  </si>
  <si>
    <t>c</t>
  </si>
  <si>
    <t>c =</t>
  </si>
  <si>
    <t>-</t>
  </si>
  <si>
    <t>mm</t>
  </si>
  <si>
    <t>cs</t>
  </si>
  <si>
    <t>Φ</t>
  </si>
  <si>
    <t xml:space="preserve">( </t>
  </si>
  <si>
    <t>,</t>
  </si>
  <si>
    <t>Es</t>
  </si>
  <si>
    <r>
      <t>10</t>
    </r>
    <r>
      <rPr>
        <vertAlign val="superscript"/>
        <sz val="9"/>
        <rFont val="ＭＳ ゴシック"/>
        <family val="3"/>
      </rPr>
      <t>5</t>
    </r>
  </si>
  <si>
    <r>
      <t>N/mm</t>
    </r>
    <r>
      <rPr>
        <vertAlign val="superscript"/>
        <sz val="9"/>
        <rFont val="ＭＳ ゴシック"/>
        <family val="3"/>
      </rPr>
      <t>2</t>
    </r>
    <r>
      <rPr>
        <sz val="9"/>
        <rFont val="ＭＳ ゴシック"/>
        <family val="3"/>
      </rPr>
      <t xml:space="preserve"> )</t>
    </r>
  </si>
  <si>
    <t>εcsd</t>
  </si>
  <si>
    <t>εcsd =</t>
  </si>
  <si>
    <r>
      <t>× 10</t>
    </r>
    <r>
      <rPr>
        <vertAlign val="superscript"/>
        <sz val="9"/>
        <rFont val="ＭＳ ゴシック"/>
        <family val="3"/>
      </rPr>
      <t>-6</t>
    </r>
  </si>
  <si>
    <t>σse</t>
  </si>
  <si>
    <t>σse</t>
  </si>
  <si>
    <t>=</t>
  </si>
  <si>
    <t>N</t>
  </si>
  <si>
    <t>×</t>
  </si>
  <si>
    <t>(</t>
  </si>
  <si>
    <t>x</t>
  </si>
  <si>
    <t>-</t>
  </si>
  <si>
    <t>) / x</t>
  </si>
  <si>
    <t>) /</t>
  </si>
  <si>
    <t>H =</t>
  </si>
  <si>
    <r>
      <t>( mm</t>
    </r>
    <r>
      <rPr>
        <vertAlign val="superscript"/>
        <sz val="9"/>
        <rFont val="ＭＳ ゴシック"/>
        <family val="3"/>
      </rPr>
      <t xml:space="preserve"> </t>
    </r>
    <r>
      <rPr>
        <sz val="9"/>
        <rFont val="ＭＳ ゴシック"/>
        <family val="3"/>
      </rPr>
      <t>)</t>
    </r>
  </si>
  <si>
    <t>x</t>
  </si>
  <si>
    <t>= -H·σct/(σct'-σct)</t>
  </si>
  <si>
    <t>=</t>
  </si>
  <si>
    <t>×</t>
  </si>
  <si>
    <t>/</t>
  </si>
  <si>
    <t>(</t>
  </si>
  <si>
    <t>-</t>
  </si>
  <si>
    <t>)</t>
  </si>
  <si>
    <t>mm</t>
  </si>
  <si>
    <t>σct</t>
  </si>
  <si>
    <t>:コンクリートの引張応力度</t>
  </si>
  <si>
    <t>( N/mm2 )</t>
  </si>
  <si>
    <t>σct'</t>
  </si>
  <si>
    <t>( N/mm2 )</t>
  </si>
  <si>
    <t>H</t>
  </si>
  <si>
    <r>
      <t>( mm</t>
    </r>
    <r>
      <rPr>
        <vertAlign val="superscript"/>
        <sz val="9"/>
        <rFont val="ＭＳ ゴシック"/>
        <family val="3"/>
      </rPr>
      <t xml:space="preserve"> </t>
    </r>
    <r>
      <rPr>
        <sz val="9"/>
        <rFont val="ＭＳ ゴシック"/>
        <family val="3"/>
      </rPr>
      <t>)</t>
    </r>
  </si>
  <si>
    <t>N</t>
  </si>
  <si>
    <t xml:space="preserve">: 鉄筋とコンクリートの弾性係数比 </t>
  </si>
  <si>
    <t>N = Es / Ec</t>
  </si>
  <si>
    <t>×</t>
  </si>
  <si>
    <r>
      <t>10</t>
    </r>
    <r>
      <rPr>
        <vertAlign val="superscript"/>
        <sz val="9"/>
        <rFont val="ＭＳ ゴシック"/>
        <family val="3"/>
      </rPr>
      <t>5</t>
    </r>
  </si>
  <si>
    <r>
      <t>10</t>
    </r>
    <r>
      <rPr>
        <vertAlign val="superscript"/>
        <sz val="9"/>
        <rFont val="ＭＳ ゴシック"/>
        <family val="3"/>
      </rPr>
      <t>4</t>
    </r>
  </si>
  <si>
    <t>コンクリートの上縁応力</t>
  </si>
  <si>
    <t>コンクリートの下縁応力</t>
  </si>
  <si>
    <t>中立軸位置  x</t>
  </si>
  <si>
    <t>( N/mm2 )</t>
  </si>
  <si>
    <r>
      <t>( mm</t>
    </r>
    <r>
      <rPr>
        <vertAlign val="superscript"/>
        <sz val="9"/>
        <rFont val="ＭＳ ゴシック"/>
        <family val="3"/>
      </rPr>
      <t xml:space="preserve"> </t>
    </r>
    <r>
      <rPr>
        <sz val="9"/>
        <rFont val="ＭＳ ゴシック"/>
        <family val="3"/>
      </rPr>
      <t>)</t>
    </r>
  </si>
  <si>
    <r>
      <t>( mm</t>
    </r>
    <r>
      <rPr>
        <vertAlign val="superscript"/>
        <sz val="9"/>
        <rFont val="ＭＳ ゴシック"/>
        <family val="3"/>
      </rPr>
      <t xml:space="preserve"> </t>
    </r>
    <r>
      <rPr>
        <sz val="9"/>
        <rFont val="ＭＳ ゴシック"/>
        <family val="3"/>
      </rPr>
      <t>)</t>
    </r>
  </si>
  <si>
    <t>①</t>
  </si>
  <si>
    <t>②</t>
  </si>
  <si>
    <t>③</t>
  </si>
  <si>
    <t>コンクリートの上縁応力</t>
  </si>
  <si>
    <t>( N/mm2 )</t>
  </si>
  <si>
    <t>コンクリートの下縁応力</t>
  </si>
  <si>
    <t>Δσc =</t>
  </si>
  <si>
    <t>N/mm2</t>
  </si>
  <si>
    <t>Δσp =</t>
  </si>
  <si>
    <t>n·Δσc</t>
  </si>
  <si>
    <t>N/mm2</t>
  </si>
  <si>
    <t>σp</t>
  </si>
  <si>
    <t xml:space="preserve">Δσpc + Δσp </t>
  </si>
  <si>
    <t>+</t>
  </si>
  <si>
    <t>コンクリートの応力度</t>
  </si>
  <si>
    <t>PC鋼材位置での</t>
  </si>
  <si>
    <t>全死荷重時</t>
  </si>
  <si>
    <t>PC鋼材の応力度</t>
  </si>
  <si>
    <t>コンクリートの応力度</t>
  </si>
  <si>
    <t>PC鋼材位置での</t>
  </si>
  <si>
    <t>As =</t>
  </si>
  <si>
    <t>Tc / σsa</t>
  </si>
  <si>
    <t>1/2·b·x·σct / σsa</t>
  </si>
  <si>
    <t>1/2</t>
  </si>
  <si>
    <t>/</t>
  </si>
  <si>
    <t>mm2</t>
  </si>
  <si>
    <t>As</t>
  </si>
  <si>
    <t>( mm2 )</t>
  </si>
  <si>
    <t>Ts</t>
  </si>
  <si>
    <t>( N )</t>
  </si>
  <si>
    <t>σsa</t>
  </si>
  <si>
    <t>( =</t>
  </si>
  <si>
    <t>N/mm2 )</t>
  </si>
  <si>
    <t>b</t>
  </si>
  <si>
    <t xml:space="preserve"> </t>
  </si>
  <si>
    <t xml:space="preserve">Asmin </t>
  </si>
  <si>
    <t>0.005b·x</t>
  </si>
  <si>
    <t>( mm2 )</t>
  </si>
  <si>
    <t>b</t>
  </si>
  <si>
    <r>
      <t>( = 1000 mm</t>
    </r>
    <r>
      <rPr>
        <vertAlign val="superscript"/>
        <sz val="9"/>
        <rFont val="ＭＳ ゴシック"/>
        <family val="3"/>
      </rPr>
      <t xml:space="preserve"> </t>
    </r>
    <r>
      <rPr>
        <sz val="9"/>
        <rFont val="ＭＳ ゴシック"/>
        <family val="3"/>
      </rPr>
      <t>)</t>
    </r>
  </si>
  <si>
    <t>x</t>
  </si>
  <si>
    <t>(1), (2)によって必要鉄筋量は Asreq = 858.8 mm2 になる。</t>
  </si>
  <si>
    <t>A =</t>
  </si>
  <si>
    <t>Asreq =</t>
  </si>
  <si>
    <t>①</t>
  </si>
  <si>
    <t>②</t>
  </si>
  <si>
    <t>③</t>
  </si>
  <si>
    <t>( mm2 )</t>
  </si>
  <si>
    <t>x</t>
  </si>
  <si>
    <t>σsa</t>
  </si>
  <si>
    <t>As</t>
  </si>
  <si>
    <t>Asmin</t>
  </si>
  <si>
    <t>x</t>
  </si>
  <si>
    <t>( mm2 )</t>
  </si>
  <si>
    <t>Asmin</t>
  </si>
  <si>
    <t>x</t>
  </si>
  <si>
    <t>σsa</t>
  </si>
  <si>
    <t>As</t>
  </si>
  <si>
    <t>( mm2 )</t>
  </si>
  <si>
    <t>Asmin</t>
  </si>
  <si>
    <t>( mm2 )</t>
  </si>
  <si>
    <t>( N/mm2 )</t>
  </si>
  <si>
    <t>x</t>
  </si>
  <si>
    <r>
      <t>( mm</t>
    </r>
    <r>
      <rPr>
        <vertAlign val="superscript"/>
        <sz val="9"/>
        <rFont val="ＭＳ ゴシック"/>
        <family val="3"/>
      </rPr>
      <t xml:space="preserve"> </t>
    </r>
    <r>
      <rPr>
        <sz val="9"/>
        <rFont val="ＭＳ ゴシック"/>
        <family val="3"/>
      </rPr>
      <t>)</t>
    </r>
  </si>
  <si>
    <t>σsa</t>
  </si>
  <si>
    <t>As</t>
  </si>
  <si>
    <t>Asmin</t>
  </si>
  <si>
    <t>βx</t>
  </si>
  <si>
    <t>x</t>
  </si>
  <si>
    <t>dp=</t>
  </si>
  <si>
    <t>ds=</t>
  </si>
  <si>
    <t>Ts</t>
  </si>
  <si>
    <t>= As × σy</t>
  </si>
  <si>
    <r>
      <t>/ 10</t>
    </r>
    <r>
      <rPr>
        <vertAlign val="superscript"/>
        <sz val="9"/>
        <rFont val="ＭＳ ゴシック"/>
        <family val="3"/>
      </rPr>
      <t>3</t>
    </r>
  </si>
  <si>
    <t>kN</t>
  </si>
  <si>
    <t>Tpc</t>
  </si>
  <si>
    <t>= Ap × 0.93 × σpu</t>
  </si>
  <si>
    <t xml:space="preserve"> C</t>
  </si>
  <si>
    <t>0.85σck·β·x</t>
  </si>
  <si>
    <t>x</t>
  </si>
  <si>
    <t>kN</t>
  </si>
  <si>
    <t>力の釣り合いより</t>
  </si>
  <si>
    <t>Ts + Tpc</t>
  </si>
  <si>
    <t>+</t>
  </si>
  <si>
    <t>mm</t>
  </si>
  <si>
    <t>εcu</t>
  </si>
  <si>
    <t>εp - εpe</t>
  </si>
  <si>
    <t>εs</t>
  </si>
  <si>
    <t xml:space="preserve">dp - x </t>
  </si>
  <si>
    <t xml:space="preserve">ds - x </t>
  </si>
  <si>
    <t xml:space="preserve">εs </t>
  </si>
  <si>
    <t>εcu / x × ( ds - x )</t>
  </si>
  <si>
    <t>/</t>
  </si>
  <si>
    <t>εsy</t>
  </si>
  <si>
    <t>σy / Es</t>
  </si>
  <si>
    <t xml:space="preserve">εp </t>
  </si>
  <si>
    <t>εcu / x × ( dp - x ) + εpe</t>
  </si>
  <si>
    <t>0.93σpu =</t>
  </si>
  <si>
    <t>0.84σpu =</t>
  </si>
  <si>
    <t>( 0.0150,</t>
  </si>
  <si>
    <t>( 0.00756,</t>
  </si>
  <si>
    <t xml:space="preserve">σp </t>
  </si>
  <si>
    <t>-</t>
  </si>
  <si>
    <t xml:space="preserve">)/(0.015 - 0.00756) </t>
  </si>
  <si>
    <t>× ( εp</t>
  </si>
  <si>
    <t>- 0.00756 )</t>
  </si>
  <si>
    <t>---- ①</t>
  </si>
  <si>
    <t xml:space="preserve">εp </t>
  </si>
  <si>
    <t>x</t>
  </si>
  <si>
    <t>---- ②</t>
  </si>
  <si>
    <t>力の釣り合いより</t>
  </si>
  <si>
    <t xml:space="preserve"> C</t>
  </si>
  <si>
    <t>Ts + Tpc</t>
  </si>
  <si>
    <t>Tpc</t>
  </si>
  <si>
    <t>σp</t>
  </si>
  <si>
    <r>
      <t>/ 10</t>
    </r>
    <r>
      <rPr>
        <vertAlign val="superscript"/>
        <sz val="9"/>
        <rFont val="ＭＳ ゴシック"/>
        <family val="3"/>
      </rPr>
      <t>3</t>
    </r>
  </si>
  <si>
    <t>---- ③</t>
  </si>
  <si>
    <t>x =</t>
  </si>
  <si>
    <t xml:space="preserve">εs </t>
  </si>
  <si>
    <t>εcu / x × ( ds - x )</t>
  </si>
  <si>
    <t>-</t>
  </si>
  <si>
    <t>εsy</t>
  </si>
  <si>
    <t>σy / Es</t>
  </si>
  <si>
    <t xml:space="preserve">εp </t>
  </si>
  <si>
    <t>εcu / x × ( dp - x ) + εpe</t>
  </si>
  <si>
    <t>- 支点部</t>
  </si>
  <si>
    <t>dp=</t>
  </si>
  <si>
    <t>ds=</t>
  </si>
  <si>
    <t>βx</t>
  </si>
  <si>
    <t>x</t>
  </si>
  <si>
    <t>Ts</t>
  </si>
  <si>
    <t>= As × σy</t>
  </si>
  <si>
    <r>
      <t>/ 10</t>
    </r>
    <r>
      <rPr>
        <vertAlign val="superscript"/>
        <sz val="9"/>
        <rFont val="ＭＳ ゴシック"/>
        <family val="3"/>
      </rPr>
      <t>3</t>
    </r>
  </si>
  <si>
    <t>Tpc</t>
  </si>
  <si>
    <t>= Ap × 0.93 × σpu</t>
  </si>
  <si>
    <t>　</t>
  </si>
  <si>
    <t>Mu</t>
  </si>
  <si>
    <t xml:space="preserve">Ts × ( ds - </t>
  </si>
  <si>
    <t xml:space="preserve">Tpc × ( dp - </t>
  </si>
  <si>
    <t>Mu1</t>
  </si>
  <si>
    <t>1.3Md + 2.5M(l+i)</t>
  </si>
  <si>
    <t>kN·m</t>
  </si>
  <si>
    <t>Mu2</t>
  </si>
  <si>
    <t>1.0Md + 2.5M(l+i)</t>
  </si>
  <si>
    <t>1.7Md + 1.7M(l+i)</t>
  </si>
  <si>
    <t>F1</t>
  </si>
  <si>
    <t>Mu / Mu1</t>
  </si>
  <si>
    <t>F2</t>
  </si>
  <si>
    <t>Mu / Mu2</t>
  </si>
  <si>
    <t>F3</t>
  </si>
  <si>
    <t>Mu / Mu3</t>
  </si>
  <si>
    <r>
      <t>( kN</t>
    </r>
    <r>
      <rPr>
        <vertAlign val="superscript"/>
        <sz val="9"/>
        <rFont val="ＭＳ ゴシック"/>
        <family val="3"/>
      </rPr>
      <t xml:space="preserve"> </t>
    </r>
    <r>
      <rPr>
        <sz val="9"/>
        <rFont val="ＭＳ ゴシック"/>
        <family val="3"/>
      </rPr>
      <t>)</t>
    </r>
  </si>
  <si>
    <t>ds</t>
  </si>
  <si>
    <t>dp</t>
  </si>
  <si>
    <t>Mu</t>
  </si>
  <si>
    <r>
      <t>( kN·m</t>
    </r>
    <r>
      <rPr>
        <vertAlign val="superscript"/>
        <sz val="9"/>
        <rFont val="ＭＳ ゴシック"/>
        <family val="3"/>
      </rPr>
      <t xml:space="preserve"> </t>
    </r>
    <r>
      <rPr>
        <sz val="9"/>
        <rFont val="ＭＳ ゴシック"/>
        <family val="3"/>
      </rPr>
      <t>)</t>
    </r>
  </si>
  <si>
    <t>Mu3</t>
  </si>
  <si>
    <t>F1&gt;1.0</t>
  </si>
  <si>
    <t>F2&gt;1.0</t>
  </si>
  <si>
    <t>F3&gt;1.0</t>
  </si>
  <si>
    <t>Ts</t>
  </si>
  <si>
    <r>
      <t>( kN</t>
    </r>
    <r>
      <rPr>
        <vertAlign val="superscript"/>
        <sz val="9"/>
        <rFont val="ＭＳ ゴシック"/>
        <family val="3"/>
      </rPr>
      <t xml:space="preserve"> </t>
    </r>
    <r>
      <rPr>
        <sz val="9"/>
        <rFont val="ＭＳ ゴシック"/>
        <family val="3"/>
      </rPr>
      <t>)</t>
    </r>
  </si>
  <si>
    <t>Tpc</t>
  </si>
  <si>
    <t>ds</t>
  </si>
  <si>
    <t>dp</t>
  </si>
  <si>
    <t xml:space="preserve"> </t>
  </si>
  <si>
    <t>Mu</t>
  </si>
  <si>
    <r>
      <t>( kN·m</t>
    </r>
    <r>
      <rPr>
        <vertAlign val="superscript"/>
        <sz val="9"/>
        <rFont val="ＭＳ ゴシック"/>
        <family val="3"/>
      </rPr>
      <t xml:space="preserve"> </t>
    </r>
    <r>
      <rPr>
        <sz val="9"/>
        <rFont val="ＭＳ ゴシック"/>
        <family val="3"/>
      </rPr>
      <t>)</t>
    </r>
  </si>
  <si>
    <t>Mu1</t>
  </si>
  <si>
    <t>Mu2</t>
  </si>
  <si>
    <t>Mu3</t>
  </si>
  <si>
    <t>F1&gt;1.0</t>
  </si>
  <si>
    <t>F2&gt;1.0</t>
  </si>
  <si>
    <t>F3&gt;1.0</t>
  </si>
  <si>
    <t>3.3.2 橋軸方向の設計</t>
  </si>
  <si>
    <t>M</t>
  </si>
  <si>
    <t>n =</t>
  </si>
  <si>
    <t>CTC</t>
  </si>
  <si>
    <t>As =</t>
  </si>
  <si>
    <t>mm2</t>
  </si>
  <si>
    <t>d'</t>
  </si>
  <si>
    <t>d</t>
  </si>
  <si>
    <t>CTC</t>
  </si>
  <si>
    <t>中立軸の位置</t>
  </si>
  <si>
    <t xml:space="preserve"> x = -n ( As + As' ) / b + √[ { n ( As + As' ) / b }^2  + 2n ( d * As + d'× As' ) / b ]</t>
  </si>
  <si>
    <t>Kc = ( b·x / 2 ) × ( d - x / 3 ) + n·As'·( x - d' ) / x·( d - d' )</t>
  </si>
  <si>
    <t>Ks = ( 1 / n )·( x / ( d - x ) )·Kc</t>
  </si>
  <si>
    <t>Ks'= -( 1 / n )·( x / ( x - d' ) )·Kc</t>
  </si>
  <si>
    <t>コンクリートの応力度</t>
  </si>
  <si>
    <t>σc = M / Kc</t>
  </si>
  <si>
    <t>鉄筋の応力度</t>
  </si>
  <si>
    <t>σs'= M / Ks'</t>
  </si>
  <si>
    <t>σs = M / Ks</t>
  </si>
  <si>
    <t>　</t>
  </si>
  <si>
    <t>かぶり</t>
  </si>
  <si>
    <t>( mm )</t>
  </si>
  <si>
    <t>中立軸の位置 x ( mm )</t>
  </si>
  <si>
    <t>Kc</t>
  </si>
  <si>
    <t xml:space="preserve">( mm2 )   </t>
  </si>
  <si>
    <t>Ks'</t>
  </si>
  <si>
    <t>Ks</t>
  </si>
  <si>
    <t>コンクリートの</t>
  </si>
  <si>
    <t xml:space="preserve"> 3.4 桁端部断面設計</t>
  </si>
  <si>
    <t>3.4.1 橋軸方向設計</t>
  </si>
  <si>
    <t>3.4.2 橋軸方向の設計</t>
  </si>
  <si>
    <t>W6 =</t>
  </si>
  <si>
    <t>W7 =</t>
  </si>
  <si>
    <t>W8 =</t>
  </si>
  <si>
    <t>W9 =</t>
  </si>
  <si>
    <t>W10 =</t>
  </si>
  <si>
    <t>W11 =</t>
  </si>
  <si>
    <t>A</t>
  </si>
  <si>
    <t>kN·m</t>
  </si>
  <si>
    <t>L</t>
  </si>
  <si>
    <t xml:space="preserve"> </t>
  </si>
  <si>
    <t>下段  d"</t>
  </si>
  <si>
    <t>下段  As</t>
  </si>
  <si>
    <t>プレストレストコンクリートの断面制定数には "総断面" "順断面" "PC換算断面" 等の</t>
  </si>
  <si>
    <t>(a) 支点回転拘束</t>
  </si>
  <si>
    <t>(b) 支点回転自由</t>
  </si>
  <si>
    <t>方法 B</t>
  </si>
  <si>
    <t>方法 C</t>
  </si>
  <si>
    <t>方法 A</t>
  </si>
  <si>
    <t>設計方法</t>
  </si>
  <si>
    <t>風荷重時</t>
  </si>
  <si>
    <t>終局荷重時</t>
  </si>
  <si>
    <t>衝突時</t>
  </si>
  <si>
    <t>2)使用材料</t>
  </si>
  <si>
    <t>(1) コンクリート</t>
  </si>
  <si>
    <t>プレストレス導入直後</t>
  </si>
  <si>
    <t>設計荷重作業時</t>
  </si>
  <si>
    <t>設計荷重作用時</t>
  </si>
  <si>
    <t>弾性係数</t>
  </si>
  <si>
    <t>(2) PC鋼材</t>
  </si>
  <si>
    <t>種別</t>
  </si>
  <si>
    <t>断面積</t>
  </si>
  <si>
    <t>PC鋼材 1m当りの摩擦係数</t>
  </si>
  <si>
    <t>角変化 1ラジアン当りの摩擦係数</t>
  </si>
  <si>
    <t>(3)鉄筋</t>
  </si>
  <si>
    <t>使用鋼材</t>
  </si>
  <si>
    <t>1) 片持版部</t>
  </si>
  <si>
    <t>床版支間</t>
  </si>
  <si>
    <t>cm 使用</t>
  </si>
  <si>
    <t>k1 : 1方向大型車計画交通量による係数</t>
  </si>
  <si>
    <t>k2 : 支持桁不等沈下時付加曲げモーメントによる係数</t>
  </si>
  <si>
    <t>2) 中間部</t>
  </si>
  <si>
    <t>[道示Ⅰ 3.3]</t>
  </si>
  <si>
    <t>[道示Ⅰ 2.2.5]</t>
  </si>
  <si>
    <t>[道示Ⅲ 3.4 ]</t>
  </si>
  <si>
    <t>[道示Ⅲ 3.3]</t>
  </si>
  <si>
    <t>·クリープ, 乾燥収縮</t>
  </si>
  <si>
    <t>·シース管とPC鋼線との摩擦</t>
  </si>
  <si>
    <t>kN/m³</t>
  </si>
  <si>
    <t>σ'c</t>
  </si>
  <si>
    <t>(b) 支点回転自由</t>
  </si>
  <si>
    <t>設計荷重時</t>
  </si>
  <si>
    <t>(設計荷重時)</t>
  </si>
  <si>
    <t>舗装</t>
  </si>
  <si>
    <t>(b)舗装</t>
  </si>
  <si>
    <t>初期導入張力はプレストレッシング中の許容応力度に対して 100N/mm2程度の余裕を持って決定する。</t>
  </si>
  <si>
    <t>床版 上縁 :</t>
  </si>
  <si>
    <t>床版 下縁 :</t>
  </si>
  <si>
    <t>鉄筋</t>
  </si>
  <si>
    <t>=</t>
  </si>
  <si>
    <t>×</t>
  </si>
  <si>
    <t>mm</t>
  </si>
  <si>
    <t>ここに</t>
  </si>
  <si>
    <t>: 弾性係数比</t>
  </si>
  <si>
    <t>弾性係数比</t>
  </si>
  <si>
    <t>[道示Ⅲ 4.2.3]</t>
  </si>
  <si>
    <t>[道示Ⅱ 8.3.4]</t>
  </si>
  <si>
    <t>[道示Ⅲ 6.5]</t>
  </si>
  <si>
    <t>[道示Ⅲ 4.2.4]</t>
  </si>
  <si>
    <t>[道示Ⅲ 2.2]</t>
  </si>
  <si>
    <t>各状態があるがPC床版の場合計算結果に及ぼす影響が小さいのですべての総断面で計算する。</t>
  </si>
  <si>
    <t>(1)支間中央部</t>
  </si>
  <si>
    <t>鉄筋</t>
  </si>
  <si>
    <t>断面2次モーメント</t>
  </si>
  <si>
    <t>PC偏心量</t>
  </si>
  <si>
    <t>断面定数</t>
  </si>
  <si>
    <t>(2)支点部</t>
  </si>
  <si>
    <t>3. 床版の設計</t>
  </si>
  <si>
    <t xml:space="preserve"> 3.1  設計方針</t>
  </si>
  <si>
    <t xml:space="preserve"> 3.2 床版厚の決定</t>
  </si>
  <si>
    <t>PC鋼材</t>
  </si>
  <si>
    <t>断面積</t>
  </si>
  <si>
    <t>PC偏心量</t>
  </si>
  <si>
    <t xml:space="preserve"> 3) 曲げモーメントによる応力度</t>
  </si>
  <si>
    <t>部材</t>
  </si>
  <si>
    <t>Wu = I / yu</t>
  </si>
  <si>
    <t>Wl = I / yl</t>
  </si>
  <si>
    <t>Wpc = I / ypc</t>
  </si>
  <si>
    <t>( σ = M / W )</t>
  </si>
  <si>
    <t>×</t>
  </si>
  <si>
    <t>NO.</t>
  </si>
  <si>
    <t>=</t>
  </si>
  <si>
    <t xml:space="preserve"> kN·m</t>
  </si>
  <si>
    <t>φ</t>
  </si>
  <si>
    <t>εs</t>
  </si>
  <si>
    <t>σcp</t>
  </si>
  <si>
    <t>作用位置 :</t>
  </si>
  <si>
    <t>位置</t>
  </si>
  <si>
    <t>欄干(左側)</t>
  </si>
  <si>
    <t>欄干(右側)</t>
  </si>
  <si>
    <t>活荷重</t>
  </si>
  <si>
    <t>(d) 活荷重</t>
  </si>
  <si>
    <t>(e)活荷重</t>
  </si>
  <si>
    <t>風荷重時</t>
  </si>
  <si>
    <t>(f)水平推力</t>
  </si>
  <si>
    <t>(g)衝突荷重</t>
  </si>
  <si>
    <t>衝突荷重</t>
  </si>
  <si>
    <t>: コンクリートの弾性係数</t>
  </si>
  <si>
    <t xml:space="preserve">: 鉄筋의 弾性係数 </t>
  </si>
  <si>
    <t>(c)地覆高欄</t>
  </si>
  <si>
    <t>(d)鉄筋拘束</t>
  </si>
  <si>
    <t>鉄筋 拘束</t>
  </si>
  <si>
    <t>風荷重</t>
  </si>
  <si>
    <t>(h)風荷重</t>
  </si>
  <si>
    <t>- 支点部</t>
  </si>
  <si>
    <t>( 支点部 )</t>
  </si>
  <si>
    <t>( 支間部 )</t>
  </si>
  <si>
    <t>m : 支間部 )</t>
  </si>
  <si>
    <t>床版支間部</t>
  </si>
  <si>
    <t>になる。</t>
  </si>
  <si>
    <t>上段  d'</t>
  </si>
  <si>
    <t>上段  As'</t>
  </si>
  <si>
    <t xml:space="preserve"> </t>
  </si>
  <si>
    <t>Ⅰ.モデリング</t>
  </si>
  <si>
    <t xml:space="preserve"> </t>
  </si>
  <si>
    <t>kN</t>
  </si>
  <si>
    <t>=</t>
  </si>
  <si>
    <t>mmを得る。</t>
  </si>
  <si>
    <t>③に①②を代入して解くと</t>
  </si>
  <si>
    <t>鋼材のリラクセーションによるPC鋼材応力度の減少量</t>
  </si>
  <si>
    <t>B) PC鋼材の見せかけのリラクセーションによるプレストレスの減少</t>
  </si>
  <si>
    <t>: 鋼材のリラクセーションによるプレストレスの減少</t>
  </si>
  <si>
    <t xml:space="preserve">: 鋼材の見せかけのリラクセーション(relaxation)率 </t>
  </si>
  <si>
    <t>合成応力の照査時に足し合わせる。</t>
  </si>
  <si>
    <t>全死荷重時</t>
  </si>
  <si>
    <t>判　　定</t>
  </si>
  <si>
    <t>(b) 舗　装</t>
  </si>
  <si>
    <t>断面①</t>
  </si>
  <si>
    <t>断面②</t>
  </si>
  <si>
    <t>断面③</t>
  </si>
  <si>
    <t xml:space="preserve"> 舗　装</t>
  </si>
  <si>
    <t>上縁</t>
  </si>
  <si>
    <t>( 上縁 )</t>
  </si>
  <si>
    <t>下縁</t>
  </si>
  <si>
    <t>( 下縁 )</t>
  </si>
  <si>
    <t>PC図心</t>
  </si>
  <si>
    <t>死荷重応力度</t>
  </si>
  <si>
    <t>備　考</t>
  </si>
  <si>
    <t>1) 床版は直角方向をPC, 橋軸方向をRCにして設計する。</t>
  </si>
  <si>
    <t xml:space="preserve"> ×</t>
  </si>
  <si>
    <t>W12 =</t>
  </si>
  <si>
    <t>(本)</t>
  </si>
  <si>
    <t xml:space="preserve">εs </t>
  </si>
  <si>
    <t xml:space="preserve">εp </t>
  </si>
  <si>
    <t>(a) 支点回転拘束</t>
  </si>
  <si>
    <t>PC鋼材</t>
  </si>
  <si>
    <t>PC鋼材位置</t>
  </si>
  <si>
    <t>・片持版(左)</t>
  </si>
  <si>
    <t>・片持版(右)</t>
  </si>
  <si>
    <t>×</t>
  </si>
  <si>
    <t>+</t>
  </si>
  <si>
    <t xml:space="preserve">σcp =  σcpt + σdog = </t>
  </si>
  <si>
    <t>+</t>
  </si>
  <si>
    <t>σdog</t>
  </si>
  <si>
    <t>: 死荷重によるPC鋼材位置のコンクリート応力度</t>
  </si>
  <si>
    <t>α</t>
  </si>
  <si>
    <r>
      <t>: α  = n・A</t>
    </r>
    <r>
      <rPr>
        <vertAlign val="subscript"/>
        <sz val="9"/>
        <rFont val="ＭＳ ゴシック"/>
        <family val="3"/>
      </rPr>
      <t>P+S</t>
    </r>
    <r>
      <rPr>
        <sz val="9"/>
        <rFont val="ＭＳ ゴシック"/>
        <family val="3"/>
      </rPr>
      <t>・(1/A +e</t>
    </r>
    <r>
      <rPr>
        <vertAlign val="subscript"/>
        <sz val="9"/>
        <rFont val="ＭＳ ゴシック"/>
        <family val="3"/>
      </rPr>
      <t>p+s</t>
    </r>
    <r>
      <rPr>
        <vertAlign val="superscript"/>
        <sz val="9"/>
        <rFont val="ＭＳ ゴシック"/>
        <family val="3"/>
      </rPr>
      <t>2</t>
    </r>
    <r>
      <rPr>
        <sz val="9"/>
        <rFont val="ＭＳ ゴシック"/>
        <family val="3"/>
      </rPr>
      <t>/I )</t>
    </r>
  </si>
  <si>
    <t>( 1/</t>
  </si>
  <si>
    <r>
      <t>10</t>
    </r>
    <r>
      <rPr>
        <vertAlign val="superscript"/>
        <sz val="9"/>
        <rFont val="ＭＳ ゴシック"/>
        <family val="3"/>
      </rPr>
      <t>2</t>
    </r>
  </si>
  <si>
    <r>
      <t xml:space="preserve"> A</t>
    </r>
    <r>
      <rPr>
        <vertAlign val="subscript"/>
        <sz val="9"/>
        <rFont val="ＭＳ ゴシック"/>
        <family val="3"/>
      </rPr>
      <t>P+S</t>
    </r>
  </si>
  <si>
    <t>=</t>
  </si>
  <si>
    <t>-</t>
  </si>
  <si>
    <t>(</t>
  </si>
  <si>
    <t>×</t>
  </si>
  <si>
    <t>A</t>
  </si>
  <si>
    <t>死荷重時     (a)+(b)+(c)</t>
  </si>
  <si>
    <t>風荷重時     (a)+(b)+(c)+(d)+(e)+1/2(g)</t>
  </si>
  <si>
    <t>+</t>
  </si>
  <si>
    <t>=</t>
  </si>
  <si>
    <t>×</t>
  </si>
  <si>
    <t>( =</t>
  </si>
  <si>
    <t>(</t>
  </si>
  <si>
    <t>(許容引張応力を超える場合ひび割れ幅の照査を行う。)</t>
  </si>
  <si>
    <t xml:space="preserve">w </t>
  </si>
  <si>
    <t>= 1.1 k1 k2 k3 {4c + 0.7(cs - Φ)}[ σse /  Es + εcsd ]</t>
  </si>
  <si>
    <t>× {</t>
  </si>
  <si>
    <t>+</t>
  </si>
  <si>
    <t>× (</t>
  </si>
  <si>
    <t>[</t>
  </si>
  <si>
    <t>/ (</t>
  </si>
  <si>
    <r>
      <t>10</t>
    </r>
    <r>
      <rPr>
        <vertAlign val="superscript"/>
        <sz val="9"/>
        <rFont val="ＭＳ ゴシック"/>
        <family val="3"/>
      </rPr>
      <t>5</t>
    </r>
  </si>
  <si>
    <t>)</t>
  </si>
  <si>
    <r>
      <t>× 10</t>
    </r>
    <r>
      <rPr>
        <vertAlign val="superscript"/>
        <sz val="9"/>
        <rFont val="ＭＳ ゴシック"/>
        <family val="3"/>
      </rPr>
      <t>-6</t>
    </r>
  </si>
  <si>
    <t>]</t>
  </si>
  <si>
    <t>mm</t>
  </si>
  <si>
    <t>wa =</t>
  </si>
  <si>
    <t>k1</t>
  </si>
  <si>
    <t>設計曲げモーメントと断面定数による一段死荷重による応力度を算出する。</t>
  </si>
  <si>
    <t xml:space="preserve"> 床版自重</t>
  </si>
  <si>
    <t xml:space="preserve"> 防護壁その他</t>
  </si>
  <si>
    <t>死荷重計</t>
  </si>
  <si>
    <t>(b) 支点回転自由</t>
  </si>
  <si>
    <t xml:space="preserve"> 4) プレストレスの計算</t>
  </si>
  <si>
    <t>鋼線配置断面図</t>
  </si>
  <si>
    <t>(1) 初期導入張力</t>
  </si>
  <si>
    <t>初期緊張応力度</t>
  </si>
  <si>
    <t>PC鋼線間隔</t>
  </si>
  <si>
    <t>(2) 導入直後のプレストレス</t>
  </si>
  <si>
    <t>A) 摩擦によるPC鋼線の応力度の減少</t>
  </si>
  <si>
    <t>: 設計断面においてのPC鋼材の引張応力度</t>
  </si>
  <si>
    <t>: PC鋼線の初期引張応力度</t>
  </si>
  <si>
    <t>: PC鋼線の1m当りの摩擦係数</t>
  </si>
  <si>
    <t>サンプル橋梁</t>
  </si>
  <si>
    <t>3径間非合成2主鈑桁橋</t>
  </si>
  <si>
    <t>第1種-第1級</t>
  </si>
  <si>
    <t>大型車交通量 2000以上 (台/日)</t>
  </si>
  <si>
    <t>L = 151.200 m (道路中心線上)</t>
  </si>
  <si>
    <t>L = 150.800 m (道路中心線上)</t>
  </si>
  <si>
    <t>L = 3@ 50 (道路中心線上)</t>
  </si>
  <si>
    <t>総 幅 員 : W = 10.700 m</t>
  </si>
  <si>
    <t>有効幅員 : W = 9.500 m ( 1.500+3.250+3.250+1.500 )</t>
  </si>
  <si>
    <t>S1 : 90.0000°,  P1 : 90.0000°,  P2 : 90.0000°,  S2 : 90.0000°</t>
  </si>
  <si>
    <t>H = 2.900 m</t>
  </si>
  <si>
    <t>平面線形 : R = 500 m</t>
  </si>
  <si>
    <t xml:space="preserve">縦断勾配 :  </t>
  </si>
  <si>
    <t>4.000%～</t>
  </si>
  <si>
    <t>3.952%.</t>
  </si>
  <si>
    <t xml:space="preserve">橫断勾配 :  左側 </t>
  </si>
  <si>
    <t>2.000%, 右側</t>
  </si>
  <si>
    <t xml:space="preserve"> 2.000%.</t>
  </si>
  <si>
    <t>PSコンクリート床版    t = 300 mm</t>
  </si>
  <si>
    <t>アスファルト舗装    t = 80 mm</t>
  </si>
  <si>
    <t>B 活荷重</t>
  </si>
  <si>
    <t>検査路 : W = 1.000 kN/m</t>
  </si>
  <si>
    <t>kh = 0.25</t>
  </si>
  <si>
    <t>鋼材 : SM520C-H, SM400A, S10T</t>
  </si>
  <si>
    <t>鉄筋 : SD345</t>
  </si>
  <si>
    <t>コンクリート : 床版  σck = 40 N/mm2</t>
  </si>
  <si>
    <t>SD345</t>
  </si>
  <si>
    <t>座標</t>
  </si>
  <si>
    <t>・中間部(単純版)</t>
  </si>
  <si>
    <t xml:space="preserve"> </t>
  </si>
  <si>
    <t xml:space="preserve"> </t>
  </si>
  <si>
    <t>m : 位置②までの距離)</t>
  </si>
  <si>
    <t>rad : 位置②までの累計)</t>
  </si>
  <si>
    <t>セットによるプレストレス減少量の算出は図解法によって行う。</t>
  </si>
  <si>
    <t>上図によって各点のPC鋼材の応力度は下記となる。</t>
  </si>
  <si>
    <r>
      <t>10</t>
    </r>
    <r>
      <rPr>
        <vertAlign val="superscript"/>
        <sz val="9"/>
        <rFont val="ＭＳ ゴシック"/>
        <family val="3"/>
      </rPr>
      <t>4</t>
    </r>
  </si>
  <si>
    <r>
      <t>N/mm2</t>
    </r>
    <r>
      <rPr>
        <vertAlign val="superscript"/>
        <sz val="9"/>
        <rFont val="ＭＳ ゴシック"/>
        <family val="3"/>
      </rPr>
      <t xml:space="preserve"> </t>
    </r>
    <r>
      <rPr>
        <sz val="9"/>
        <rFont val="ＭＳ ゴシック"/>
        <family val="3"/>
      </rPr>
      <t>)</t>
    </r>
  </si>
  <si>
    <t>N/mm2</t>
  </si>
  <si>
    <r>
      <t>10</t>
    </r>
    <r>
      <rPr>
        <vertAlign val="superscript"/>
        <sz val="9"/>
        <rFont val="ＭＳ ゴシック"/>
        <family val="3"/>
      </rPr>
      <t>4</t>
    </r>
  </si>
  <si>
    <t>)</t>
  </si>
  <si>
    <t xml:space="preserve">鉄筋拘束による断面力はクリープ乾燥収縮による減少量に対して次の式で求め, </t>
  </si>
  <si>
    <t>)</t>
  </si>
  <si>
    <t>N/mm2</t>
  </si>
  <si>
    <t>)}</t>
  </si>
  <si>
    <t>( N/mm2 )</t>
  </si>
  <si>
    <t xml:space="preserve">・引張鉄筋は次の大きな方を配置する。 </t>
  </si>
  <si>
    <t>1) 設計断面力</t>
  </si>
  <si>
    <t>支間部(単純版)</t>
  </si>
  <si>
    <t>鉄筋量</t>
  </si>
  <si>
    <t>: PC鋼線の緊張端から設計断面までの長さ</t>
  </si>
  <si>
    <t>: 角ひずみ1ラジアン当りの摩擦係数</t>
  </si>
  <si>
    <t>: 角ひずみ</t>
  </si>
  <si>
    <t>摩擦によるPC鋼線応力度の減少</t>
  </si>
  <si>
    <t>左端緊張時</t>
  </si>
  <si>
    <t>右端緊張時</t>
  </si>
  <si>
    <t>左端</t>
  </si>
  <si>
    <t>B) 定着具のセットによるPC鋼線応力度の減少</t>
  </si>
  <si>
    <t>1. 設計条件</t>
  </si>
  <si>
    <t>橋 梁 名</t>
  </si>
  <si>
    <t xml:space="preserve">橋梁形式 </t>
  </si>
  <si>
    <t>道路規格</t>
  </si>
  <si>
    <t xml:space="preserve">橋    長 </t>
  </si>
  <si>
    <t xml:space="preserve">桁    長 </t>
  </si>
  <si>
    <t xml:space="preserve">支 間 長 </t>
  </si>
  <si>
    <t>幅員構成</t>
  </si>
  <si>
    <t>始点傾角</t>
  </si>
  <si>
    <t>桁    高</t>
  </si>
  <si>
    <t>線形要素</t>
  </si>
  <si>
    <t>床    版</t>
  </si>
  <si>
    <t>舗　  装</t>
  </si>
  <si>
    <t>設計荷重</t>
  </si>
  <si>
    <t>添加物</t>
  </si>
  <si>
    <t>水平震度</t>
  </si>
  <si>
    <t>使用材料</t>
  </si>
  <si>
    <t>コンクリート : 床版  σck = 24 kN/mm²</t>
  </si>
  <si>
    <t>適用基準</t>
  </si>
  <si>
    <t>道路橋示方書 ·同解説</t>
  </si>
  <si>
    <t>(平成14年3月)</t>
  </si>
  <si>
    <t>ガイドライン型設計 適用上の考え方と標準図集</t>
  </si>
  <si>
    <t>(平成14年3月 日本橋梁建設協会)</t>
  </si>
  <si>
    <t>鋼道路橋設計便覧</t>
  </si>
  <si>
    <t>(日本道路協会)</t>
  </si>
  <si>
    <t>鋼道路橋疲労設計指針</t>
  </si>
  <si>
    <t>(平成14年3月 日本道路協会)</t>
  </si>
  <si>
    <t>: 定着具のセットによる鋼材応力度の減少量</t>
  </si>
  <si>
    <t>: 鋼材の長さ</t>
  </si>
  <si>
    <t>: セット量</t>
  </si>
  <si>
    <t>: 鋼材の弾性係数</t>
  </si>
  <si>
    <t>導入直後のプレストレス</t>
  </si>
  <si>
    <t>左端緊張</t>
  </si>
  <si>
    <t>右端緊張</t>
  </si>
  <si>
    <t>平均</t>
  </si>
  <si>
    <t>備考</t>
  </si>
  <si>
    <t>右端</t>
  </si>
  <si>
    <t>C) 弾性ひずみによるプレストレスの減少</t>
  </si>
  <si>
    <t>: コンクリートの弾性ひずみによる鋼材応力度の減少量</t>
  </si>
  <si>
    <t>: PC鋼材の弾性係数</t>
  </si>
  <si>
    <t>: プレストレス導入時のコンクリートの弾性係数</t>
  </si>
  <si>
    <t>左端</t>
  </si>
  <si>
    <t>(1) コンクリートに発生する引張応力の合力に抵抗できる鉄筋量</t>
  </si>
  <si>
    <t>:必要鉄筋量</t>
  </si>
  <si>
    <t>:コンクリートに発生する引張応力の合力</t>
  </si>
  <si>
    <t>:引張鉄筋の許容引張応力度</t>
  </si>
  <si>
    <t>:部材引張縁の幅</t>
  </si>
  <si>
    <t>:部材引張縁から中立軸までの距離</t>
  </si>
  <si>
    <t>:引張鉄筋の圧縮応力度</t>
  </si>
  <si>
    <t xml:space="preserve"> 2) 断面制定数</t>
  </si>
  <si>
    <t>: 単位幅当りのPC鋼材の本数</t>
  </si>
  <si>
    <t>本 )</t>
  </si>
  <si>
    <t>: PC鋼材緊張によるPC鋼材位置のコンクリート応力度</t>
  </si>
  <si>
    <t>: プレストレス導入直後の全緊張力</t>
  </si>
  <si>
    <t>: 床版自重によるPC鋼材位置のコンクリート応力度</t>
  </si>
  <si>
    <t>弾性ひずみによるプレストレスの減少</t>
  </si>
  <si>
    <t>: プレストレス導入直後のPC鋼材の応力度</t>
  </si>
  <si>
    <t xml:space="preserve">D) 導入直後のコンクリートの応力度 </t>
  </si>
  <si>
    <t>: 断面の上縁, 下縁, 鋼材位置における導入直後のプレストレスによる</t>
  </si>
  <si>
    <t>: プレストレス導入直後のプレストレス力</t>
  </si>
  <si>
    <t>: PC鋼材の断面積</t>
  </si>
  <si>
    <t>: PC鋼材の断面積偏心量</t>
  </si>
  <si>
    <t>: 断面定数</t>
  </si>
  <si>
    <t>導入直後のコンクリートの応力度</t>
  </si>
  <si>
    <t>(3) 有効プレストレス</t>
  </si>
  <si>
    <t>A) コンクリートのクリープ・乾燥収縮によるプレストレスの減少量</t>
  </si>
  <si>
    <t>クリープ・乾燥収縮によるプレストレスの減少量は鉄筋拘束の影響を考慮する。</t>
  </si>
  <si>
    <t xml:space="preserve">鉄筋拘束によってPC鋼材の応力度のクリープによる減少量は小さくなるが鉄筋拘束に </t>
  </si>
  <si>
    <t>よる断面力を考慮する必要がある。</t>
  </si>
  <si>
    <t>: コンクリートのクリープ係数</t>
  </si>
  <si>
    <t>: コンクリートの乾燥収縮度</t>
  </si>
  <si>
    <t>: PC鋼材とコンクリートの弾性係数</t>
  </si>
  <si>
    <t>: PC鋼材位置における持続荷重によるコンクリートの応力度</t>
  </si>
  <si>
    <t>: PC鋼材及び鉄筋の換算断面積</t>
  </si>
  <si>
    <t>: 鋼材中心と断面中心の偏心量</t>
  </si>
  <si>
    <t>: コンクリートの断面積</t>
  </si>
  <si>
    <t>: コンクリートの断面2次モーメント</t>
  </si>
  <si>
    <t>鉄筋によってコンクリートには引張, 鉄筋には圧縮が発生する。</t>
  </si>
  <si>
    <t xml:space="preserve"> es : コンクリートの図心に対する鉄筋図心までの偏心量</t>
  </si>
  <si>
    <t>鉄筋拘束による断面力, コンクリート応力度</t>
  </si>
  <si>
    <t>: 導入直後の鋼材の引張応力度</t>
  </si>
  <si>
    <t>C) PC鋼材の有効引張応力度</t>
  </si>
  <si>
    <t>有効係数</t>
  </si>
  <si>
    <t>PC鋼材の有効引張応力度</t>
  </si>
  <si>
    <t>D) 有効プレストレスによるコンクリートの応力度</t>
  </si>
  <si>
    <t>有効プレストレスによるコンクリートの応力度</t>
  </si>
  <si>
    <t>5) 合成応力度度の照査</t>
  </si>
  <si>
    <t>(1) 限界状態の設定</t>
  </si>
  <si>
    <t>限界状態は次のように設定する。</t>
  </si>
  <si>
    <t>死荷重時</t>
  </si>
  <si>
    <t>活荷重時</t>
  </si>
  <si>
    <t>衝突時</t>
  </si>
  <si>
    <t>限界状態</t>
  </si>
  <si>
    <t>引張応力発生限界</t>
  </si>
  <si>
    <t>曲げひび割れ発生限界</t>
  </si>
  <si>
    <t>曲げひび割れ幅限界状態</t>
  </si>
  <si>
    <t>コンクリートに引張応力を発生させない。</t>
  </si>
  <si>
    <t>コンクリートに引張応力の発生は許容するが, 許容応力度内に制御する。</t>
  </si>
  <si>
    <t>コンクリートにひび割れを許容するが, 許容ひび割れ幅を制御する。</t>
  </si>
  <si>
    <t>節点</t>
  </si>
  <si>
    <t>断面積</t>
  </si>
  <si>
    <t xml:space="preserve"> 1) 設計断面力</t>
  </si>
  <si>
    <t>(1) 曲げモーメントの算出荷重の計算</t>
  </si>
  <si>
    <t>A) 死荷重による曲げモーメント</t>
  </si>
  <si>
    <t>以下の荷重に対して考慮する。</t>
  </si>
  <si>
    <t>・床版自重</t>
  </si>
  <si>
    <t>・橋面荷重</t>
  </si>
  <si>
    <t>FRAME解析用モデリングと荷重は次の通りである。</t>
  </si>
  <si>
    <t>節点データ</t>
  </si>
  <si>
    <t>部材データ</t>
  </si>
  <si>
    <t>節点</t>
  </si>
  <si>
    <t>番号</t>
  </si>
  <si>
    <t>節点番号</t>
  </si>
  <si>
    <t>断面2次モーメント</t>
  </si>
  <si>
    <t>j端</t>
  </si>
  <si>
    <t>変断面の場合両端の平均値を使用</t>
  </si>
  <si>
    <t>Ⅱ.荷重強度</t>
  </si>
  <si>
    <t>- 床版自重</t>
  </si>
  <si>
    <t>- 橋面荷重</t>
  </si>
  <si>
    <t>舗装</t>
  </si>
  <si>
    <t>- 防護策 (防護壁または地覆, 高欄 ) その他</t>
  </si>
  <si>
    <t>距離は左側スラブ終端からの距離</t>
  </si>
  <si>
    <t>距離( m )</t>
  </si>
  <si>
    <t>作用位置 :</t>
  </si>
  <si>
    <t>m の位置</t>
  </si>
  <si>
    <t>距離は右側スラブ終端からの距離</t>
  </si>
  <si>
    <t>防護策(欄干)の水平推力  P =</t>
  </si>
  <si>
    <t>載荷高    h =</t>
  </si>
  <si>
    <t>支柱の最大支持力 P'max =</t>
  </si>
  <si>
    <t>支柱間隔    Lp =</t>
  </si>
  <si>
    <t>k : 低減係数, k = 0.50</t>
  </si>
  <si>
    <t>- 風荷重(左)</t>
  </si>
  <si>
    <t>風荷重強度 Ww =</t>
  </si>
  <si>
    <t xml:space="preserve">( 活荷重非載荷時, 活荷重載荷時は非載荷時の値の1/2適用 ) </t>
  </si>
  <si>
    <t>- 風荷重(右)</t>
  </si>
  <si>
    <t>B) 活荷重による曲げモーメント</t>
  </si>
  <si>
    <t>( mm )</t>
  </si>
  <si>
    <t>N/mm2</t>
  </si>
  <si>
    <t>σct</t>
  </si>
  <si>
    <t>Ep</t>
  </si>
  <si>
    <t xml:space="preserve"> σpiL</t>
  </si>
  <si>
    <t>σpiR</t>
  </si>
  <si>
    <t>σpt2</t>
  </si>
  <si>
    <t>・鉄筋高速による断面力の算出</t>
  </si>
  <si>
    <t>(許容引張応力を超える場合ひび割れ幅の照査を行う。)</t>
  </si>
  <si>
    <t>橋軸直角方向の設計は回転拘束と回転自由2種類の支点条件で次の表の方法で検討する。</t>
  </si>
  <si>
    <t>荷重状態</t>
  </si>
  <si>
    <t>曲げひびわれ発生限界 (コンクリートの許容引張応力度以内)</t>
  </si>
  <si>
    <t>死荷重時モデル(a)</t>
  </si>
  <si>
    <t>フルプレストレス</t>
  </si>
  <si>
    <t>死荷重時モデル(b)</t>
  </si>
  <si>
    <t>曲げひび割れ発生限界 (コンクリートの許容引張応力度以内)</t>
  </si>
  <si>
    <r>
      <t>活荷重</t>
    </r>
    <r>
      <rPr>
        <sz val="9"/>
        <rFont val="돋움"/>
        <family val="2"/>
      </rPr>
      <t>시</t>
    </r>
    <r>
      <rPr>
        <sz val="9"/>
        <rFont val="ＭＳ ゴシック"/>
        <family val="3"/>
      </rPr>
      <t>(D+L)</t>
    </r>
  </si>
  <si>
    <t>曲げひび割れ発生限界 (コンクリートの許容引張応力度以内)</t>
  </si>
  <si>
    <t>曲げひび割れ幅の制御 (許容ひび割れ幅以内)</t>
  </si>
  <si>
    <t>道示 Ⅲ 4.2.4に準ずる。</t>
  </si>
  <si>
    <t>方法 A : コンクリートに発生する曲げひび割れを許容ひび割れ幅まで許容する方法</t>
  </si>
  <si>
    <t>方法 B : コンクリートに引張応力は発生させるが曲げひび割れは発生させない方法</t>
  </si>
  <si>
    <t>方法 C : コンクリートに引張応力を発生させない方法</t>
  </si>
  <si>
    <t>設計基準強度</t>
  </si>
  <si>
    <t>σck</t>
  </si>
  <si>
    <t>=</t>
  </si>
  <si>
    <t>プレストレス導入時圧縮強度</t>
  </si>
  <si>
    <t>σci</t>
  </si>
  <si>
    <t>許容曲げ圧縮応力度</t>
  </si>
  <si>
    <t>[道示Ⅲ 3.2 表3.2.2]</t>
  </si>
  <si>
    <t>許容曲げ引張応力度</t>
  </si>
  <si>
    <t>[道示Ⅲ 3.2 表3.2.3]</t>
  </si>
  <si>
    <t>詳細計算参照</t>
  </si>
  <si>
    <t>Ec</t>
  </si>
  <si>
    <t>×</t>
  </si>
  <si>
    <t xml:space="preserve"> </t>
  </si>
  <si>
    <t>プレストレス導入時</t>
  </si>
  <si>
    <t>Et</t>
  </si>
  <si>
    <t>コンクリートのクリープ係数</t>
  </si>
  <si>
    <t>Φ</t>
  </si>
  <si>
    <t>=</t>
  </si>
  <si>
    <t xml:space="preserve"> </t>
  </si>
  <si>
    <t>コンクリートの乾燥収縮度</t>
  </si>
  <si>
    <t>εs</t>
  </si>
  <si>
    <t>[道示Ⅲ 3.4 解説  表-解 3.4.1]</t>
  </si>
  <si>
    <t>引張強度</t>
  </si>
  <si>
    <t>σpu</t>
  </si>
  <si>
    <t>降伏点応力度</t>
  </si>
  <si>
    <t>σpy</t>
  </si>
  <si>
    <t>許容引張応力度</t>
  </si>
  <si>
    <t>σpai =</t>
  </si>
  <si>
    <t>(引張)</t>
  </si>
  <si>
    <t>mm )</t>
  </si>
  <si>
    <t xml:space="preserve">h </t>
  </si>
  <si>
    <t>制限値</t>
  </si>
  <si>
    <t>: コンクリートの曲げひび割れ強度</t>
  </si>
  <si>
    <t>: コンクリートの引張軟化特性に起因する引張強度と曲げ強度の関係を表す係数</t>
  </si>
  <si>
    <t>: 乾燥, 水和熱等その他の原因によるひび割れ強度の低下を表す係数</t>
  </si>
  <si>
    <t>: コンクリートの引張強度</t>
  </si>
  <si>
    <t>: 設計基準強度</t>
  </si>
  <si>
    <t>: 特性長さ ( m )</t>
  </si>
  <si>
    <t>: 破壊エネルギー</t>
  </si>
  <si>
    <t>: 粗骨材最大寸法</t>
  </si>
  <si>
    <t>(2) 合成応力度の照査</t>
  </si>
  <si>
    <t>合成応力度の照査</t>
  </si>
  <si>
    <t>(a)床版自重</t>
  </si>
  <si>
    <t>(i)直後のプレストレス</t>
  </si>
  <si>
    <t>作　用　荷　重  ( kN/m )</t>
  </si>
  <si>
    <t>×</t>
  </si>
  <si>
    <t>=</t>
  </si>
  <si>
    <t>断面積</t>
  </si>
  <si>
    <t>=</t>
  </si>
  <si>
    <t>=</t>
  </si>
  <si>
    <t>=</t>
  </si>
  <si>
    <t>Δℓ</t>
  </si>
  <si>
    <t>=</t>
  </si>
  <si>
    <t>×</t>
  </si>
  <si>
    <t>×</t>
  </si>
  <si>
    <t>=</t>
  </si>
  <si>
    <t xml:space="preserve"> kN·m</t>
  </si>
  <si>
    <t>T荷重1輪荷重 P =</t>
  </si>
  <si>
    <t>×</t>
  </si>
  <si>
    <t>=</t>
  </si>
  <si>
    <t>(</t>
  </si>
  <si>
    <t>=</t>
  </si>
  <si>
    <t>(</t>
  </si>
  <si>
    <t>(</t>
  </si>
  <si>
    <t>(</t>
  </si>
  <si>
    <t>=</t>
  </si>
  <si>
    <t>=</t>
  </si>
  <si>
    <t>/</t>
  </si>
  <si>
    <t>( =</t>
  </si>
  <si>
    <t>×</t>
  </si>
  <si>
    <t>N</t>
  </si>
  <si>
    <t xml:space="preserve"> </t>
  </si>
  <si>
    <t>作用活荷重</t>
  </si>
  <si>
    <t>支間による活荷重係数</t>
  </si>
  <si>
    <t>支間による割増係数</t>
  </si>
  <si>
    <t>C) 断面力集計</t>
  </si>
  <si>
    <t xml:space="preserve"> FRAME計算で得られた断面力を含んだ次の表を得る。</t>
  </si>
  <si>
    <t>(a) 支点回転拘束</t>
  </si>
  <si>
    <t>(a) 床版自重</t>
  </si>
  <si>
    <t>(c) 防護壁 (防護壁または地覆・高欄) その他</t>
  </si>
  <si>
    <t>(e) 水平推力</t>
  </si>
  <si>
    <t>(f) 衝突荷重</t>
  </si>
  <si>
    <t>(g) 風荷重</t>
  </si>
  <si>
    <t>活荷重時     (a)+(b)+(c)+(d)+(e)</t>
  </si>
  <si>
    <t>最大風荷重時 (a)+(b)+(c)+(g)</t>
  </si>
  <si>
    <t>衝突荷重時   (a)+(b)+(c)+(d)+(f)</t>
  </si>
  <si>
    <t>(b) 支点回転自由</t>
  </si>
  <si>
    <t>活荷重時    (a)+(b)+(c)+(d)+(e)</t>
  </si>
  <si>
    <t>=</t>
  </si>
  <si>
    <t>=</t>
  </si>
  <si>
    <t>×</t>
  </si>
  <si>
    <t>/</t>
  </si>
  <si>
    <t>-</t>
  </si>
  <si>
    <t>PC鋼材が降伏しないので中立軸を仮定する。</t>
  </si>
  <si>
    <t>)</t>
  </si>
  <si>
    <t>=</t>
  </si>
  <si>
    <t>/</t>
  </si>
  <si>
    <t>×</t>
  </si>
  <si>
    <t>(</t>
  </si>
  <si>
    <t>)</t>
  </si>
  <si>
    <r>
      <t>10</t>
    </r>
    <r>
      <rPr>
        <vertAlign val="superscript"/>
        <sz val="9"/>
        <rFont val="ＭＳ ゴシック"/>
        <family val="3"/>
      </rPr>
      <t>5</t>
    </r>
  </si>
  <si>
    <t>+</t>
  </si>
  <si>
    <t>kN</t>
  </si>
  <si>
    <t>)</t>
  </si>
  <si>
    <t>Ts</t>
  </si>
  <si>
    <t>Tpc</t>
  </si>
  <si>
    <t>-</t>
  </si>
  <si>
    <t>全死荷重時</t>
  </si>
  <si>
    <t>作用 σs</t>
  </si>
  <si>
    <t>許容 σsa</t>
  </si>
  <si>
    <t>PC鋼材の応力 -  ひずみ曲線</t>
  </si>
  <si>
    <t>一方鉄筋とPC鋼材のひずみは</t>
  </si>
  <si>
    <t>(j)有効プレストレス</t>
  </si>
  <si>
    <t>基本ケース</t>
  </si>
  <si>
    <t>プレストレス導入直後</t>
  </si>
  <si>
    <t>風荷重時(活有)</t>
  </si>
  <si>
    <t>風荷重時(活無)</t>
  </si>
  <si>
    <t>PS導入直後</t>
  </si>
  <si>
    <t>風荷重時(割増1.25)</t>
  </si>
  <si>
    <t>- 水平推力(左)</t>
  </si>
  <si>
    <t>- 衝突荷重(左)</t>
  </si>
  <si>
    <t>- 水平推力(右)</t>
  </si>
  <si>
    <t>- 衝突荷重(右)</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</si>
</sst>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_ "/>
    <numFmt numFmtId="182" formatCode="_(&quot;$&quot;* #,##0_);_(&quot;$&quot;* \(#,##0\);_(&quot;$&quot;* &quot;-&quot;_);_(@_)"/>
    <numFmt numFmtId="183" formatCode="&quot;H&quot;0"/>
    <numFmt numFmtId="184" formatCode="0.00&quot; ㎠&quot;"/>
    <numFmt numFmtId="185" formatCode="0.0_ "/>
    <numFmt numFmtId="186" formatCode="0.000_);[Red]\(0.000\)"/>
    <numFmt numFmtId="187" formatCode="0_ "/>
    <numFmt numFmtId="188" formatCode="0_);[Red]\(0\)"/>
    <numFmt numFmtId="189" formatCode="0.00_ "/>
    <numFmt numFmtId="190" formatCode="###0.000"/>
    <numFmt numFmtId="191" formatCode="&quot;D&quot;00"/>
    <numFmt numFmtId="192" formatCode="&quot;D&quot;0"/>
    <numFmt numFmtId="193" formatCode="0.0000_ "/>
    <numFmt numFmtId="194" formatCode="0.000000_ "/>
    <numFmt numFmtId="195" formatCode="mm&quot;월&quot;\ dd&quot;일&quot;"/>
    <numFmt numFmtId="196" formatCode="0.00000_ "/>
    <numFmt numFmtId="197" formatCode="&quot;S =&quot;\ 0.00&quot;%&quot;"/>
    <numFmt numFmtId="198" formatCode="0.0&quot;³&quot;\ "/>
    <numFmt numFmtId="199" formatCode="&quot;(&quot;0.0&quot;)²/&quot;\ "/>
    <numFmt numFmtId="200" formatCode="0.0_);[Red]\(0.0\)"/>
    <numFmt numFmtId="201" formatCode="&quot;SD&quot;0"/>
    <numFmt numFmtId="202" formatCode="0&quot;S&quot;"/>
    <numFmt numFmtId="203" formatCode="#,##0.000"/>
    <numFmt numFmtId="204" formatCode="###0.0"/>
    <numFmt numFmtId="205" formatCode="###0.00"/>
    <numFmt numFmtId="206" formatCode="###0"/>
    <numFmt numFmtId="207" formatCode="###0.0000"/>
    <numFmt numFmtId="208" formatCode="###0.0000000"/>
  </numFmts>
  <fonts count="25">
    <font>
      <sz val="11"/>
      <name val="돋움"/>
      <family val="2"/>
    </font>
    <font>
      <b/>
      <sz val="11"/>
      <name val="돋움"/>
      <family val="2"/>
    </font>
    <font>
      <i/>
      <sz val="11"/>
      <name val="돋움"/>
      <family val="2"/>
    </font>
    <font>
      <b/>
      <i/>
      <sz val="11"/>
      <name val="돋움"/>
      <family val="2"/>
    </font>
    <font>
      <u val="single"/>
      <sz val="11"/>
      <color indexed="36"/>
      <name val="돋움"/>
      <family val="2"/>
    </font>
    <font>
      <sz val="12"/>
      <name val="바탕체"/>
      <family val="3"/>
    </font>
    <font>
      <sz val="10"/>
      <name val="굴림체"/>
      <family val="3"/>
    </font>
    <font>
      <u val="single"/>
      <sz val="11"/>
      <color indexed="12"/>
      <name val="돋움"/>
      <family val="2"/>
    </font>
    <font>
      <sz val="10"/>
      <name val="Arial"/>
      <family val="2"/>
    </font>
    <font>
      <b/>
      <sz val="12"/>
      <name val="Arial"/>
      <family val="2"/>
    </font>
    <font>
      <sz val="10"/>
      <name val="Times New Roman"/>
      <family val="1"/>
    </font>
    <font>
      <sz val="8"/>
      <name val="돋움"/>
      <family val="2"/>
    </font>
    <font>
      <b/>
      <sz val="9"/>
      <name val="ＭＳ ゴシック"/>
      <family val="3"/>
    </font>
    <font>
      <sz val="9"/>
      <name val="ＭＳ ゴシック"/>
      <family val="3"/>
    </font>
    <font>
      <i/>
      <sz val="9"/>
      <name val="ＭＳ ゴシック"/>
      <family val="3"/>
    </font>
    <font>
      <sz val="9"/>
      <name val="굴림체"/>
      <family val="3"/>
    </font>
    <font>
      <sz val="9"/>
      <name val="MS Gothic"/>
      <family val="3"/>
    </font>
    <font>
      <sz val="9"/>
      <name val="돋움"/>
      <family val="2"/>
    </font>
    <font>
      <sz val="10"/>
      <name val="바탕체"/>
      <family val="3"/>
    </font>
    <font>
      <vertAlign val="superscript"/>
      <sz val="9"/>
      <name val="ＭＳ ゴシック"/>
      <family val="3"/>
    </font>
    <font>
      <sz val="28"/>
      <name val="굴림체"/>
      <family val="3"/>
    </font>
    <font>
      <sz val="10"/>
      <name val="돋움체"/>
      <family val="3"/>
    </font>
    <font>
      <vertAlign val="subscript"/>
      <sz val="9"/>
      <name val="ＭＳ ゴシック"/>
      <family val="3"/>
    </font>
    <font>
      <sz val="11"/>
      <name val="ＭＳ ゴシック"/>
      <family val="3"/>
    </font>
    <font>
      <sz val="9"/>
      <name val="ＭＳ Ｐゴシック"/>
      <family val="3"/>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6" fillId="0" borderId="0">
      <alignment/>
      <protection locked="0"/>
    </xf>
    <xf numFmtId="41" fontId="8" fillId="0" borderId="0" applyFont="0" applyFill="0" applyBorder="0" applyAlignment="0" applyProtection="0"/>
    <xf numFmtId="183" fontId="6" fillId="0" borderId="0">
      <alignment/>
      <protection locked="0"/>
    </xf>
    <xf numFmtId="184" fontId="6" fillId="0" borderId="0">
      <alignment/>
      <protection locked="0"/>
    </xf>
    <xf numFmtId="182" fontId="8" fillId="0" borderId="0" applyFont="0" applyFill="0" applyBorder="0" applyAlignment="0" applyProtection="0"/>
    <xf numFmtId="183" fontId="6" fillId="0" borderId="0">
      <alignment/>
      <protection locked="0"/>
    </xf>
    <xf numFmtId="184" fontId="6" fillId="0" borderId="0">
      <alignment/>
      <protection locked="0"/>
    </xf>
    <xf numFmtId="184" fontId="6" fillId="0" borderId="0">
      <alignment/>
      <protection locked="0"/>
    </xf>
    <xf numFmtId="0" fontId="9" fillId="0" borderId="1" applyNumberFormat="0" applyAlignment="0" applyProtection="0"/>
    <xf numFmtId="0" fontId="9" fillId="0" borderId="2">
      <alignment horizontal="left" vertical="center"/>
      <protection/>
    </xf>
    <xf numFmtId="184" fontId="6" fillId="0" borderId="0">
      <alignment/>
      <protection locked="0"/>
    </xf>
    <xf numFmtId="184" fontId="6" fillId="0" borderId="0">
      <alignment/>
      <protection locked="0"/>
    </xf>
    <xf numFmtId="0" fontId="10" fillId="0" borderId="0">
      <alignment/>
      <protection/>
    </xf>
    <xf numFmtId="184" fontId="6" fillId="0" borderId="0">
      <alignment/>
      <protection locked="0"/>
    </xf>
    <xf numFmtId="184" fontId="6" fillId="0" borderId="3">
      <alignment/>
      <protection locked="0"/>
    </xf>
    <xf numFmtId="9" fontId="0" fillId="0" borderId="0" applyFont="0" applyFill="0" applyBorder="0" applyAlignment="0" applyProtection="0"/>
    <xf numFmtId="0" fontId="7"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8" fillId="0" borderId="0">
      <alignment/>
      <protection/>
    </xf>
    <xf numFmtId="0" fontId="6" fillId="0" borderId="0">
      <alignment/>
      <protection/>
    </xf>
    <xf numFmtId="0" fontId="6" fillId="0" borderId="0">
      <alignment/>
      <protection/>
    </xf>
  </cellStyleXfs>
  <cellXfs count="387">
    <xf numFmtId="0" fontId="0" fillId="0" borderId="0" xfId="0" applyAlignment="1">
      <alignment/>
    </xf>
    <xf numFmtId="0" fontId="13" fillId="0" borderId="0" xfId="40" applyFont="1" applyAlignment="1">
      <alignment vertical="center"/>
      <protection/>
    </xf>
    <xf numFmtId="0" fontId="13" fillId="0" borderId="0" xfId="0" applyFont="1" applyAlignment="1">
      <alignment vertical="center"/>
    </xf>
    <xf numFmtId="0" fontId="13" fillId="0" borderId="0" xfId="0" applyFont="1" applyAlignment="1">
      <alignment horizontal="centerContinuous" vertical="center"/>
    </xf>
    <xf numFmtId="0" fontId="13" fillId="0" borderId="0" xfId="0" applyFont="1" applyFill="1" applyAlignment="1">
      <alignment vertical="center"/>
    </xf>
    <xf numFmtId="0" fontId="13" fillId="0" borderId="0" xfId="40" applyFont="1" applyAlignment="1">
      <alignment horizontal="left" vertical="center"/>
      <protection/>
    </xf>
    <xf numFmtId="0" fontId="13" fillId="0" borderId="0" xfId="40" applyFont="1" applyFill="1" applyAlignment="1">
      <alignment vertical="center"/>
      <protection/>
    </xf>
    <xf numFmtId="0" fontId="13" fillId="0" borderId="0" xfId="40" applyFont="1" applyBorder="1" applyAlignment="1">
      <alignment vertical="center"/>
      <protection/>
    </xf>
    <xf numFmtId="0" fontId="13" fillId="0" borderId="0" xfId="40" applyFont="1" applyAlignment="1" quotePrefix="1">
      <alignment horizontal="left" vertical="center"/>
      <protection/>
    </xf>
    <xf numFmtId="0" fontId="14" fillId="0" borderId="0" xfId="40" applyFont="1" applyBorder="1" applyAlignment="1">
      <alignment horizontal="centerContinuous" vertical="center"/>
      <protection/>
    </xf>
    <xf numFmtId="0" fontId="13" fillId="0" borderId="0" xfId="40" applyFont="1" applyBorder="1" applyAlignment="1">
      <alignment horizontal="centerContinuous" vertical="center"/>
      <protection/>
    </xf>
    <xf numFmtId="0" fontId="14" fillId="0" borderId="0" xfId="40" applyFont="1" applyBorder="1" applyAlignment="1">
      <alignment vertical="center"/>
      <protection/>
    </xf>
    <xf numFmtId="0" fontId="13" fillId="0" borderId="0" xfId="40" applyFont="1" applyBorder="1" applyAlignment="1">
      <alignment horizontal="left" vertical="center"/>
      <protection/>
    </xf>
    <xf numFmtId="0" fontId="13" fillId="0" borderId="0" xfId="40" applyFont="1" applyAlignment="1">
      <alignment horizontal="centerContinuous" vertical="center"/>
      <protection/>
    </xf>
    <xf numFmtId="0" fontId="13" fillId="0" borderId="0" xfId="40" applyFont="1" applyAlignment="1">
      <alignment horizontal="center" vertical="center"/>
      <protection/>
    </xf>
    <xf numFmtId="185" fontId="13" fillId="0" borderId="0" xfId="40" applyNumberFormat="1" applyFont="1" applyAlignment="1">
      <alignment horizontal="centerContinuous" vertical="center"/>
      <protection/>
    </xf>
    <xf numFmtId="180" fontId="13" fillId="0" borderId="0" xfId="40" applyNumberFormat="1" applyFont="1" applyBorder="1" applyAlignment="1">
      <alignment horizontal="centerContinuous" vertical="center"/>
      <protection/>
    </xf>
    <xf numFmtId="0" fontId="17" fillId="0" borderId="0" xfId="40" applyFont="1" applyAlignment="1">
      <alignment vertical="center"/>
      <protection/>
    </xf>
    <xf numFmtId="0" fontId="13" fillId="0" borderId="0" xfId="0" applyFont="1" applyBorder="1" applyAlignment="1">
      <alignment horizontal="centerContinuous" vertical="center"/>
    </xf>
    <xf numFmtId="181" fontId="13" fillId="0" borderId="0" xfId="0" applyNumberFormat="1" applyFont="1" applyFill="1" applyAlignment="1">
      <alignment horizontal="centerContinuous" vertical="center"/>
    </xf>
    <xf numFmtId="0" fontId="13" fillId="0" borderId="0" xfId="39" applyFont="1" applyAlignment="1">
      <alignment vertical="center"/>
      <protection/>
    </xf>
    <xf numFmtId="0" fontId="13" fillId="0" borderId="0" xfId="39" applyFont="1" applyBorder="1" applyAlignment="1">
      <alignment vertical="center"/>
      <protection/>
    </xf>
    <xf numFmtId="0" fontId="13" fillId="0" borderId="0" xfId="39" applyFont="1" applyAlignment="1">
      <alignment horizontal="centerContinuous" vertical="center"/>
      <protection/>
    </xf>
    <xf numFmtId="0" fontId="13" fillId="0" borderId="0" xfId="39" applyFont="1" applyAlignment="1">
      <alignment horizontal="center" vertical="center"/>
      <protection/>
    </xf>
    <xf numFmtId="0" fontId="17" fillId="0" borderId="0" xfId="39" applyFont="1" applyAlignment="1">
      <alignment vertical="center"/>
      <protection/>
    </xf>
    <xf numFmtId="0" fontId="12" fillId="0" borderId="0" xfId="0" applyFont="1" applyAlignment="1">
      <alignment vertical="center"/>
    </xf>
    <xf numFmtId="185" fontId="13" fillId="0" borderId="0" xfId="0" applyNumberFormat="1" applyFont="1" applyAlignment="1">
      <alignment horizontal="centerContinuous" vertical="center"/>
    </xf>
    <xf numFmtId="0" fontId="13" fillId="0" borderId="0" xfId="39" applyFont="1" applyFill="1" applyAlignment="1">
      <alignment vertical="center"/>
      <protection/>
    </xf>
    <xf numFmtId="0" fontId="13" fillId="0" borderId="0" xfId="41" applyFont="1" applyAlignment="1">
      <alignment vertical="center"/>
      <protection/>
    </xf>
    <xf numFmtId="0" fontId="13" fillId="0" borderId="0" xfId="39" applyFont="1" applyFill="1" applyBorder="1" applyAlignment="1">
      <alignment vertical="center"/>
      <protection/>
    </xf>
    <xf numFmtId="0" fontId="13" fillId="0" borderId="0" xfId="0" applyFont="1" applyFill="1" applyAlignment="1" quotePrefix="1">
      <alignment vertical="center"/>
    </xf>
    <xf numFmtId="0" fontId="13" fillId="0" borderId="0" xfId="39" applyFont="1" applyBorder="1" applyAlignment="1">
      <alignment horizontal="center" vertical="center"/>
      <protection/>
    </xf>
    <xf numFmtId="0" fontId="13" fillId="0" borderId="0" xfId="0" applyFont="1" applyBorder="1" applyAlignment="1">
      <alignment horizontal="left" vertical="center"/>
    </xf>
    <xf numFmtId="0" fontId="13" fillId="0" borderId="0" xfId="0" applyFont="1" applyFill="1" applyAlignment="1">
      <alignment horizontal="center" vertical="center"/>
    </xf>
    <xf numFmtId="195" fontId="13" fillId="0" borderId="0" xfId="39" applyNumberFormat="1" applyFont="1" applyFill="1" applyAlignment="1" quotePrefix="1">
      <alignment horizontal="center" vertical="center"/>
      <protection/>
    </xf>
    <xf numFmtId="0" fontId="13" fillId="0" borderId="0" xfId="39" applyFont="1" applyFill="1" applyAlignment="1">
      <alignment horizontal="center" vertical="center"/>
      <protection/>
    </xf>
    <xf numFmtId="0" fontId="17" fillId="0" borderId="0" xfId="39" applyFont="1" applyFill="1" applyAlignment="1">
      <alignment vertical="center"/>
      <protection/>
    </xf>
    <xf numFmtId="185" fontId="13" fillId="0" borderId="0" xfId="39" applyNumberFormat="1" applyFont="1" applyFill="1" applyBorder="1" applyAlignment="1">
      <alignment horizontal="center" vertical="center"/>
      <protection/>
    </xf>
    <xf numFmtId="185" fontId="13" fillId="0" borderId="0" xfId="39" applyNumberFormat="1" applyFont="1" applyFill="1" applyAlignment="1">
      <alignment horizontal="centerContinuous" vertical="center"/>
      <protection/>
    </xf>
    <xf numFmtId="0" fontId="13" fillId="0" borderId="0" xfId="39" applyFont="1" applyFill="1" applyAlignment="1" quotePrefix="1">
      <alignment vertical="center"/>
      <protection/>
    </xf>
    <xf numFmtId="187" fontId="13" fillId="0" borderId="0" xfId="39" applyNumberFormat="1" applyFont="1" applyFill="1" applyAlignment="1">
      <alignment horizontal="centerContinuous" vertical="center"/>
      <protection/>
    </xf>
    <xf numFmtId="189" fontId="13" fillId="0" borderId="0" xfId="40" applyNumberFormat="1" applyFont="1" applyFill="1" applyBorder="1" applyAlignment="1">
      <alignment horizontal="center" vertical="center"/>
      <protection/>
    </xf>
    <xf numFmtId="0" fontId="13" fillId="0" borderId="0" xfId="39" applyFont="1" applyFill="1" applyAlignment="1">
      <alignment horizontal="centerContinuous" vertical="center"/>
      <protection/>
    </xf>
    <xf numFmtId="0" fontId="17" fillId="0" borderId="0" xfId="0" applyFont="1" applyFill="1" applyAlignment="1">
      <alignment vertical="center"/>
    </xf>
    <xf numFmtId="185" fontId="13" fillId="0" borderId="0" xfId="39" applyNumberFormat="1" applyFont="1" applyFill="1" applyAlignment="1">
      <alignment horizontal="center" vertical="center"/>
      <protection/>
    </xf>
    <xf numFmtId="0" fontId="13" fillId="0" borderId="0" xfId="39" applyFont="1" applyFill="1" applyBorder="1" applyAlignment="1">
      <alignment horizontal="center" vertical="center"/>
      <protection/>
    </xf>
    <xf numFmtId="185" fontId="13" fillId="0" borderId="0" xfId="0" applyNumberFormat="1" applyFont="1" applyFill="1" applyBorder="1" applyAlignment="1">
      <alignment horizontal="center" vertical="center"/>
    </xf>
    <xf numFmtId="0" fontId="13" fillId="0" borderId="0" xfId="39" applyFont="1" applyFill="1" applyAlignment="1">
      <alignment/>
      <protection/>
    </xf>
    <xf numFmtId="0" fontId="13" fillId="0" borderId="0" xfId="39" applyFont="1" applyFill="1" applyAlignment="1">
      <alignment horizontal="right" vertical="center" textRotation="90"/>
      <protection/>
    </xf>
    <xf numFmtId="0" fontId="13" fillId="0" borderId="0" xfId="0" applyFont="1" applyFill="1" applyBorder="1" applyAlignment="1">
      <alignment horizontal="center" vertical="center"/>
    </xf>
    <xf numFmtId="200" fontId="13" fillId="0" borderId="0" xfId="0" applyNumberFormat="1" applyFont="1" applyFill="1" applyAlignment="1">
      <alignment horizontal="centerContinuous" vertical="center"/>
    </xf>
    <xf numFmtId="189" fontId="13" fillId="0" borderId="0" xfId="0" applyNumberFormat="1" applyFont="1" applyFill="1" applyAlignment="1">
      <alignment horizontal="left" vertical="center"/>
    </xf>
    <xf numFmtId="0" fontId="13" fillId="0" borderId="4" xfId="0" applyFont="1" applyFill="1" applyBorder="1" applyAlignment="1">
      <alignment horizontal="center" vertical="center"/>
    </xf>
    <xf numFmtId="0" fontId="13" fillId="0" borderId="4" xfId="0" applyFont="1" applyFill="1" applyBorder="1" applyAlignment="1">
      <alignment vertical="center"/>
    </xf>
    <xf numFmtId="189" fontId="13" fillId="0" borderId="0" xfId="39" applyNumberFormat="1" applyFont="1" applyFill="1" applyAlignment="1">
      <alignment horizontal="center" vertical="center"/>
      <protection/>
    </xf>
    <xf numFmtId="0" fontId="13" fillId="0" borderId="0" xfId="0" applyFont="1" applyFill="1" applyAlignment="1">
      <alignment vertical="top"/>
    </xf>
    <xf numFmtId="185" fontId="13" fillId="0" borderId="0" xfId="0" applyNumberFormat="1" applyFont="1" applyFill="1" applyAlignment="1">
      <alignment vertical="center"/>
    </xf>
    <xf numFmtId="0" fontId="13" fillId="0" borderId="5" xfId="0" applyFont="1" applyFill="1" applyBorder="1" applyAlignment="1">
      <alignment vertical="center"/>
    </xf>
    <xf numFmtId="0" fontId="13" fillId="0" borderId="0" xfId="0" applyFont="1" applyFill="1" applyBorder="1" applyAlignment="1">
      <alignment vertical="center"/>
    </xf>
    <xf numFmtId="0" fontId="13" fillId="0" borderId="6" xfId="39" applyFont="1" applyFill="1" applyBorder="1" applyAlignment="1">
      <alignment vertical="center"/>
      <protection/>
    </xf>
    <xf numFmtId="0" fontId="13" fillId="0" borderId="7" xfId="39" applyFont="1" applyFill="1" applyBorder="1" applyAlignment="1">
      <alignment vertical="center"/>
      <protection/>
    </xf>
    <xf numFmtId="0" fontId="13" fillId="0" borderId="8"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9" xfId="39" applyFont="1" applyFill="1" applyBorder="1" applyAlignment="1">
      <alignment vertical="center"/>
      <protection/>
    </xf>
    <xf numFmtId="0" fontId="13" fillId="0" borderId="10" xfId="0" applyFont="1" applyFill="1" applyBorder="1" applyAlignment="1">
      <alignment vertical="center" wrapText="1"/>
    </xf>
    <xf numFmtId="0" fontId="13" fillId="0" borderId="10" xfId="39" applyFont="1" applyFill="1" applyBorder="1" applyAlignment="1">
      <alignment vertical="center"/>
      <protection/>
    </xf>
    <xf numFmtId="0" fontId="13" fillId="0" borderId="10" xfId="0" applyFont="1" applyFill="1" applyBorder="1" applyAlignment="1">
      <alignment vertical="center"/>
    </xf>
    <xf numFmtId="0" fontId="13" fillId="0" borderId="11" xfId="39" applyFont="1" applyFill="1" applyBorder="1" applyAlignment="1">
      <alignment vertical="center"/>
      <protection/>
    </xf>
    <xf numFmtId="0" fontId="13" fillId="0" borderId="0" xfId="39" applyFont="1" applyFill="1" applyBorder="1" applyAlignment="1">
      <alignment horizontal="left" vertical="center"/>
      <protection/>
    </xf>
    <xf numFmtId="0" fontId="13" fillId="0" borderId="6" xfId="39" applyFont="1" applyFill="1" applyBorder="1" applyAlignment="1">
      <alignment horizontal="left" vertical="center"/>
      <protection/>
    </xf>
    <xf numFmtId="0" fontId="13" fillId="0" borderId="5" xfId="0" applyFont="1" applyFill="1" applyBorder="1" applyAlignment="1">
      <alignment horizontal="left" vertical="center"/>
    </xf>
    <xf numFmtId="0" fontId="13" fillId="0" borderId="7" xfId="0" applyFont="1" applyFill="1" applyBorder="1" applyAlignment="1">
      <alignment vertical="center"/>
    </xf>
    <xf numFmtId="0" fontId="13" fillId="0" borderId="4" xfId="0" applyFont="1" applyFill="1" applyBorder="1" applyAlignment="1">
      <alignment vertical="center" wrapText="1"/>
    </xf>
    <xf numFmtId="0" fontId="13" fillId="0" borderId="4" xfId="39" applyFont="1" applyFill="1" applyBorder="1" applyAlignment="1">
      <alignment vertical="center"/>
      <protection/>
    </xf>
    <xf numFmtId="0" fontId="13" fillId="0" borderId="8" xfId="39" applyFont="1" applyFill="1" applyBorder="1" applyAlignment="1">
      <alignment vertical="center"/>
      <protection/>
    </xf>
    <xf numFmtId="0" fontId="13" fillId="0" borderId="7" xfId="0" applyFont="1" applyFill="1" applyBorder="1" applyAlignment="1" quotePrefix="1">
      <alignment vertical="center"/>
    </xf>
    <xf numFmtId="0" fontId="13" fillId="0" borderId="0" xfId="0" applyFont="1" applyFill="1" applyBorder="1" applyAlignment="1">
      <alignment horizontal="left" vertical="center" wrapText="1"/>
    </xf>
    <xf numFmtId="181" fontId="13" fillId="0" borderId="0" xfId="39" applyNumberFormat="1" applyFont="1" applyFill="1" applyBorder="1" applyAlignment="1">
      <alignment horizontal="center" vertical="center"/>
      <protection/>
    </xf>
    <xf numFmtId="185" fontId="13" fillId="0" borderId="0" xfId="0" applyNumberFormat="1" applyFont="1" applyFill="1" applyAlignment="1">
      <alignment horizontal="center" vertical="center"/>
    </xf>
    <xf numFmtId="0" fontId="13" fillId="0" borderId="0" xfId="39" applyFont="1" applyFill="1" applyAlignment="1">
      <alignment horizontal="center" vertical="center" textRotation="90"/>
      <protection/>
    </xf>
    <xf numFmtId="0" fontId="13" fillId="0" borderId="0" xfId="39" applyFont="1" applyFill="1" applyAlignment="1">
      <alignment vertical="center" textRotation="90"/>
      <protection/>
    </xf>
    <xf numFmtId="0" fontId="13" fillId="0" borderId="0" xfId="39" applyFont="1" applyFill="1" applyAlignment="1">
      <alignment horizontal="left" vertical="center" textRotation="90"/>
      <protection/>
    </xf>
    <xf numFmtId="0" fontId="13" fillId="0" borderId="0" xfId="39" applyNumberFormat="1" applyFont="1" applyFill="1" applyAlignment="1">
      <alignment horizontal="center" vertical="center"/>
      <protection/>
    </xf>
    <xf numFmtId="0" fontId="13" fillId="0" borderId="0" xfId="0" applyFont="1" applyFill="1" applyBorder="1" applyAlignment="1" quotePrefix="1">
      <alignment horizontal="left" vertical="center"/>
    </xf>
    <xf numFmtId="189" fontId="13" fillId="0" borderId="0" xfId="39" applyNumberFormat="1" applyFont="1" applyFill="1" applyAlignment="1">
      <alignment horizontal="centerContinuous" vertical="center"/>
      <protection/>
    </xf>
    <xf numFmtId="0" fontId="13" fillId="0" borderId="0" xfId="39" applyFont="1" applyFill="1" applyAlignment="1" quotePrefix="1">
      <alignment horizontal="left" vertical="center"/>
      <protection/>
    </xf>
    <xf numFmtId="0" fontId="13" fillId="0" borderId="0" xfId="41" applyFont="1" applyFill="1" applyAlignment="1">
      <alignment vertical="center"/>
      <protection/>
    </xf>
    <xf numFmtId="1" fontId="13" fillId="0" borderId="0" xfId="41" applyNumberFormat="1" applyFont="1" applyFill="1" applyAlignment="1">
      <alignment vertical="center"/>
      <protection/>
    </xf>
    <xf numFmtId="0" fontId="13" fillId="0" borderId="0" xfId="41" applyFont="1" applyFill="1" applyAlignment="1">
      <alignment horizontal="center" vertical="center"/>
      <protection/>
    </xf>
    <xf numFmtId="0" fontId="13" fillId="0" borderId="0" xfId="40" applyFont="1" applyFill="1" applyBorder="1" applyAlignment="1">
      <alignment vertical="center"/>
      <protection/>
    </xf>
    <xf numFmtId="0" fontId="13" fillId="0" borderId="0" xfId="0" applyFont="1" applyFill="1" applyBorder="1" applyAlignment="1">
      <alignment horizontal="centerContinuous" vertical="center"/>
    </xf>
    <xf numFmtId="180" fontId="13" fillId="0" borderId="0" xfId="40" applyNumberFormat="1" applyFont="1" applyFill="1" applyBorder="1" applyAlignment="1">
      <alignment horizontal="centerContinuous" vertical="center"/>
      <protection/>
    </xf>
    <xf numFmtId="0" fontId="13" fillId="0" borderId="0" xfId="40" applyFont="1" applyFill="1" applyBorder="1" applyAlignment="1">
      <alignment horizontal="left" vertical="center"/>
      <protection/>
    </xf>
    <xf numFmtId="0" fontId="17" fillId="0" borderId="0" xfId="41" applyFont="1" applyFill="1" applyAlignment="1">
      <alignment vertical="center"/>
      <protection/>
    </xf>
    <xf numFmtId="0" fontId="13" fillId="0" borderId="12" xfId="0" applyFont="1" applyFill="1" applyBorder="1" applyAlignment="1">
      <alignment horizontal="left" vertical="center"/>
    </xf>
    <xf numFmtId="0" fontId="13" fillId="0" borderId="2" xfId="0" applyFont="1" applyFill="1" applyBorder="1" applyAlignment="1">
      <alignment horizontal="left" vertical="center"/>
    </xf>
    <xf numFmtId="0" fontId="13" fillId="0" borderId="0" xfId="40" applyFont="1" applyFill="1" applyBorder="1" applyAlignment="1">
      <alignment horizontal="center" vertical="center"/>
      <protection/>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187" fontId="13" fillId="0" borderId="0" xfId="39" applyNumberFormat="1" applyFont="1" applyFill="1" applyAlignment="1">
      <alignment horizontal="center" vertical="center"/>
      <protection/>
    </xf>
    <xf numFmtId="0" fontId="13" fillId="0" borderId="0" xfId="0" applyFont="1" applyFill="1" applyAlignment="1">
      <alignment horizontal="left" vertical="center"/>
    </xf>
    <xf numFmtId="181" fontId="13" fillId="0" borderId="0" xfId="0" applyNumberFormat="1" applyFont="1" applyFill="1" applyAlignment="1">
      <alignment horizontal="center" vertical="center"/>
    </xf>
    <xf numFmtId="181" fontId="13" fillId="0" borderId="0" xfId="39" applyNumberFormat="1" applyFont="1" applyFill="1" applyAlignment="1">
      <alignment horizontal="center" vertical="center"/>
      <protection/>
    </xf>
    <xf numFmtId="0" fontId="13" fillId="0" borderId="0" xfId="39" applyFont="1" applyFill="1" applyAlignment="1" quotePrefix="1">
      <alignment horizontal="center" vertical="center"/>
      <protection/>
    </xf>
    <xf numFmtId="0" fontId="13" fillId="0" borderId="0" xfId="0" applyFont="1" applyFill="1" applyAlignment="1">
      <alignment horizontal="centerContinuous" vertical="center"/>
    </xf>
    <xf numFmtId="0" fontId="13" fillId="0" borderId="0" xfId="40" applyFont="1" applyFill="1" applyBorder="1" applyAlignment="1">
      <alignment horizontal="centerContinuous" vertical="center"/>
      <protection/>
    </xf>
    <xf numFmtId="0" fontId="15" fillId="0" borderId="0" xfId="0" applyFont="1" applyFill="1" applyAlignment="1">
      <alignment vertical="center"/>
    </xf>
    <xf numFmtId="0" fontId="13" fillId="0" borderId="0" xfId="39" applyFont="1" applyFill="1" applyAlignment="1">
      <alignment horizontal="center" vertical="top" textRotation="90"/>
      <protection/>
    </xf>
    <xf numFmtId="0" fontId="13" fillId="0" borderId="0" xfId="0" applyFont="1" applyFill="1" applyAlignment="1">
      <alignment horizontal="center" vertical="top"/>
    </xf>
    <xf numFmtId="1" fontId="13" fillId="0" borderId="0" xfId="41" applyNumberFormat="1" applyFont="1" applyFill="1" applyBorder="1" applyAlignment="1">
      <alignment vertical="center"/>
      <protection/>
    </xf>
    <xf numFmtId="0" fontId="13" fillId="0" borderId="0" xfId="41" applyFont="1" applyFill="1" applyAlignment="1" quotePrefix="1">
      <alignment horizontal="left" vertical="center"/>
      <protection/>
    </xf>
    <xf numFmtId="0" fontId="13" fillId="0" borderId="0" xfId="41" applyFont="1" applyFill="1" applyBorder="1" applyAlignment="1">
      <alignment vertical="center"/>
      <protection/>
    </xf>
    <xf numFmtId="0" fontId="13" fillId="0" borderId="0" xfId="41" applyFont="1" applyFill="1" applyBorder="1" applyAlignment="1">
      <alignment vertical="center" textRotation="90"/>
      <protection/>
    </xf>
    <xf numFmtId="0" fontId="13" fillId="0" borderId="0" xfId="41" applyFont="1" applyFill="1" applyAlignment="1">
      <alignment vertical="center" textRotation="90"/>
      <protection/>
    </xf>
    <xf numFmtId="0" fontId="13" fillId="0" borderId="0" xfId="41" applyFont="1" applyFill="1" applyAlignment="1">
      <alignment horizontal="left" vertical="center"/>
      <protection/>
    </xf>
    <xf numFmtId="0" fontId="13" fillId="0" borderId="0" xfId="41" applyFont="1" applyFill="1" applyAlignment="1">
      <alignment horizontal="right" vertical="center"/>
      <protection/>
    </xf>
    <xf numFmtId="0" fontId="13" fillId="0" borderId="0" xfId="41" applyFont="1" applyFill="1" applyBorder="1" applyAlignment="1">
      <alignment horizontal="center" vertical="center"/>
      <protection/>
    </xf>
    <xf numFmtId="180" fontId="13" fillId="0" borderId="0" xfId="41" applyNumberFormat="1" applyFont="1" applyFill="1" applyAlignment="1">
      <alignment vertical="center"/>
      <protection/>
    </xf>
    <xf numFmtId="180" fontId="13" fillId="0" borderId="0" xfId="41" applyNumberFormat="1" applyFont="1" applyFill="1" applyAlignment="1">
      <alignment horizontal="left" vertical="center"/>
      <protection/>
    </xf>
    <xf numFmtId="0" fontId="13" fillId="0" borderId="0" xfId="41" applyFont="1" applyFill="1" applyBorder="1" applyAlignment="1">
      <alignment horizontal="left" vertical="center"/>
      <protection/>
    </xf>
    <xf numFmtId="0" fontId="13" fillId="0" borderId="0" xfId="41" applyFont="1" applyFill="1" applyAlignment="1">
      <alignment horizontal="centerContinuous" vertical="center"/>
      <protection/>
    </xf>
    <xf numFmtId="2" fontId="13" fillId="0" borderId="0" xfId="41" applyNumberFormat="1" applyFont="1" applyFill="1" applyAlignment="1">
      <alignment vertical="center"/>
      <protection/>
    </xf>
    <xf numFmtId="0" fontId="13" fillId="0" borderId="0" xfId="40" applyFont="1" applyFill="1" applyAlignment="1">
      <alignment horizontal="centerContinuous" vertical="center"/>
      <protection/>
    </xf>
    <xf numFmtId="0" fontId="13" fillId="0" borderId="13" xfId="40" applyFont="1" applyFill="1" applyBorder="1" applyAlignment="1">
      <alignment vertical="center"/>
      <protection/>
    </xf>
    <xf numFmtId="0" fontId="13" fillId="0" borderId="13" xfId="0" applyFont="1" applyFill="1" applyBorder="1" applyAlignment="1">
      <alignment vertical="center"/>
    </xf>
    <xf numFmtId="0" fontId="13" fillId="0" borderId="13" xfId="40" applyFont="1" applyFill="1" applyBorder="1" applyAlignment="1">
      <alignment horizontal="centerContinuous" vertical="center"/>
      <protection/>
    </xf>
    <xf numFmtId="180" fontId="13" fillId="0" borderId="13" xfId="40" applyNumberFormat="1" applyFont="1" applyFill="1" applyBorder="1" applyAlignment="1">
      <alignment horizontal="centerContinuous" vertical="center"/>
      <protection/>
    </xf>
    <xf numFmtId="0" fontId="13" fillId="0" borderId="13" xfId="0" applyFont="1" applyFill="1" applyBorder="1" applyAlignment="1">
      <alignment horizontal="centerContinuous" vertical="center"/>
    </xf>
    <xf numFmtId="180" fontId="13" fillId="0" borderId="14" xfId="40" applyNumberFormat="1" applyFont="1" applyFill="1" applyBorder="1" applyAlignment="1">
      <alignment horizontal="centerContinuous" vertical="center"/>
      <protection/>
    </xf>
    <xf numFmtId="0" fontId="13" fillId="0" borderId="15" xfId="0" applyFont="1" applyFill="1" applyBorder="1" applyAlignment="1">
      <alignment horizontal="centerContinuous"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14" xfId="40" applyFont="1" applyFill="1" applyBorder="1" applyAlignment="1">
      <alignment vertical="center"/>
      <protection/>
    </xf>
    <xf numFmtId="189" fontId="13" fillId="0" borderId="0" xfId="0" applyNumberFormat="1" applyFont="1" applyFill="1" applyAlignment="1">
      <alignment horizontal="centerContinuous" vertical="center"/>
    </xf>
    <xf numFmtId="0" fontId="13" fillId="0" borderId="2" xfId="39" applyFont="1" applyFill="1" applyBorder="1" applyAlignment="1">
      <alignment vertical="center"/>
      <protection/>
    </xf>
    <xf numFmtId="0" fontId="13" fillId="0" borderId="16" xfId="39" applyFont="1" applyFill="1" applyBorder="1" applyAlignment="1">
      <alignment vertical="center"/>
      <protection/>
    </xf>
    <xf numFmtId="0" fontId="13" fillId="0" borderId="17" xfId="0" applyFont="1" applyFill="1" applyBorder="1" applyAlignment="1">
      <alignment horizontal="left" vertical="center"/>
    </xf>
    <xf numFmtId="0" fontId="13" fillId="0" borderId="3" xfId="0" applyFont="1" applyFill="1" applyBorder="1" applyAlignment="1">
      <alignment horizontal="left" vertical="center"/>
    </xf>
    <xf numFmtId="0" fontId="13" fillId="0" borderId="3" xfId="39" applyFont="1" applyFill="1" applyBorder="1" applyAlignment="1">
      <alignment vertical="center"/>
      <protection/>
    </xf>
    <xf numFmtId="0" fontId="13" fillId="0" borderId="18" xfId="39" applyFont="1" applyFill="1" applyBorder="1" applyAlignment="1">
      <alignment vertical="center"/>
      <protection/>
    </xf>
    <xf numFmtId="0" fontId="13" fillId="0" borderId="7" xfId="0" applyFont="1" applyFill="1" applyBorder="1" applyAlignment="1">
      <alignment horizontal="left" vertical="center"/>
    </xf>
    <xf numFmtId="0" fontId="13" fillId="0" borderId="4" xfId="0" applyFont="1" applyFill="1" applyBorder="1" applyAlignment="1">
      <alignment horizontal="left" vertical="center"/>
    </xf>
    <xf numFmtId="0" fontId="13" fillId="0" borderId="7" xfId="39" applyFont="1" applyFill="1" applyBorder="1" applyAlignment="1">
      <alignment horizontal="left" vertical="center"/>
      <protection/>
    </xf>
    <xf numFmtId="0" fontId="13" fillId="0" borderId="4" xfId="39" applyFont="1" applyFill="1" applyBorder="1" applyAlignment="1">
      <alignment horizontal="left" vertical="center"/>
      <protection/>
    </xf>
    <xf numFmtId="198" fontId="13" fillId="0" borderId="0" xfId="39" applyNumberFormat="1" applyFont="1" applyFill="1" applyAlignment="1">
      <alignment horizontal="centerContinuous" vertical="center"/>
      <protection/>
    </xf>
    <xf numFmtId="185" fontId="13" fillId="0" borderId="0" xfId="39" applyNumberFormat="1" applyFont="1" applyFill="1" applyBorder="1" applyAlignment="1">
      <alignment horizontal="centerContinuous" vertical="center"/>
      <protection/>
    </xf>
    <xf numFmtId="185" fontId="13" fillId="0" borderId="0" xfId="39" applyNumberFormat="1" applyFont="1" applyFill="1" applyAlignment="1">
      <alignment vertical="center"/>
      <protection/>
    </xf>
    <xf numFmtId="0" fontId="13" fillId="0" borderId="0" xfId="39" applyFont="1" applyFill="1" applyAlignment="1">
      <alignment vertical="top"/>
      <protection/>
    </xf>
    <xf numFmtId="185" fontId="13" fillId="0" borderId="0" xfId="0" applyNumberFormat="1" applyFont="1" applyFill="1" applyAlignment="1">
      <alignment horizontal="centerContinuous" vertical="center"/>
    </xf>
    <xf numFmtId="0" fontId="13" fillId="0" borderId="4" xfId="39" applyFont="1" applyFill="1" applyBorder="1" applyAlignment="1">
      <alignment horizontal="center" vertical="center"/>
      <protection/>
    </xf>
    <xf numFmtId="185" fontId="13" fillId="0" borderId="0" xfId="39" applyNumberFormat="1" applyFont="1" applyFill="1" applyAlignment="1" quotePrefix="1">
      <alignment horizontal="center" vertical="center"/>
      <protection/>
    </xf>
    <xf numFmtId="0" fontId="13" fillId="0" borderId="0" xfId="39" applyFont="1" applyFill="1" applyAlignment="1">
      <alignment horizontal="left" vertical="center"/>
      <protection/>
    </xf>
    <xf numFmtId="187" fontId="13" fillId="0" borderId="0" xfId="39" applyNumberFormat="1" applyFont="1" applyFill="1" applyBorder="1" applyAlignment="1">
      <alignment horizontal="centerContinuous" vertical="center"/>
      <protection/>
    </xf>
    <xf numFmtId="0" fontId="13" fillId="0" borderId="0" xfId="39" applyFont="1" applyFill="1" applyBorder="1" applyAlignment="1" quotePrefix="1">
      <alignment vertical="center"/>
      <protection/>
    </xf>
    <xf numFmtId="185" fontId="13" fillId="0" borderId="0" xfId="39" applyNumberFormat="1" applyFont="1" applyFill="1" applyAlignment="1">
      <alignment horizontal="left" vertical="center"/>
      <protection/>
    </xf>
    <xf numFmtId="185" fontId="13" fillId="0" borderId="4" xfId="39" applyNumberFormat="1" applyFont="1" applyFill="1" applyBorder="1" applyAlignment="1">
      <alignment horizontal="centerContinuous" vertical="center"/>
      <protection/>
    </xf>
    <xf numFmtId="0" fontId="13" fillId="0" borderId="4" xfId="39" applyFont="1" applyFill="1" applyBorder="1" applyAlignment="1" quotePrefix="1">
      <alignment vertical="center"/>
      <protection/>
    </xf>
    <xf numFmtId="199" fontId="13" fillId="0" borderId="0" xfId="39" applyNumberFormat="1" applyFont="1" applyFill="1" applyAlignment="1">
      <alignment horizontal="center" vertical="center"/>
      <protection/>
    </xf>
    <xf numFmtId="0" fontId="13" fillId="0" borderId="0" xfId="0" applyFont="1" applyFill="1" applyAlignment="1">
      <alignment vertical="center" wrapText="1"/>
    </xf>
    <xf numFmtId="0" fontId="13" fillId="0" borderId="0" xfId="0" applyFont="1" applyFill="1" applyAlignment="1" quotePrefix="1">
      <alignment horizontal="left" vertical="center"/>
    </xf>
    <xf numFmtId="181" fontId="13" fillId="0" borderId="0" xfId="39" applyNumberFormat="1" applyFont="1" applyFill="1" applyAlignment="1">
      <alignment horizontal="centerContinuous" vertical="center"/>
      <protection/>
    </xf>
    <xf numFmtId="0" fontId="13" fillId="0" borderId="0" xfId="0" applyFont="1" applyFill="1" applyAlignment="1">
      <alignment vertical="center" textRotation="90"/>
    </xf>
    <xf numFmtId="188" fontId="13" fillId="0" borderId="0" xfId="40" applyNumberFormat="1" applyFont="1" applyFill="1" applyAlignment="1" applyProtection="1">
      <alignment horizontal="center" vertical="center"/>
      <protection locked="0"/>
    </xf>
    <xf numFmtId="192" fontId="13" fillId="0" borderId="0" xfId="39" applyNumberFormat="1" applyFont="1" applyFill="1" applyAlignment="1">
      <alignment horizontal="center" vertical="center"/>
      <protection/>
    </xf>
    <xf numFmtId="0" fontId="13" fillId="0" borderId="0" xfId="39" applyFont="1" applyFill="1" applyAlignment="1">
      <alignment horizontal="left" vertical="top" textRotation="90"/>
      <protection/>
    </xf>
    <xf numFmtId="191" fontId="13" fillId="0" borderId="0" xfId="0" applyNumberFormat="1" applyFont="1" applyFill="1" applyAlignment="1">
      <alignment horizontal="left" vertical="center"/>
    </xf>
    <xf numFmtId="181" fontId="13" fillId="0" borderId="0" xfId="41" applyNumberFormat="1" applyFont="1" applyFill="1" applyAlignment="1">
      <alignment horizontal="center" vertical="center"/>
      <protection/>
    </xf>
    <xf numFmtId="189" fontId="13" fillId="0" borderId="0" xfId="41" applyNumberFormat="1" applyFont="1" applyFill="1" applyBorder="1" applyAlignment="1">
      <alignment horizontal="center" vertical="center"/>
      <protection/>
    </xf>
    <xf numFmtId="203" fontId="12" fillId="0" borderId="0" xfId="0" applyNumberFormat="1" applyFont="1" applyAlignment="1">
      <alignment vertical="center"/>
    </xf>
    <xf numFmtId="203" fontId="12" fillId="0" borderId="0" xfId="0" applyNumberFormat="1" applyFont="1" applyAlignment="1">
      <alignment vertical="center"/>
    </xf>
    <xf numFmtId="203" fontId="13" fillId="0" borderId="0" xfId="0" applyNumberFormat="1" applyFont="1" applyAlignment="1">
      <alignment vertical="center"/>
    </xf>
    <xf numFmtId="181" fontId="13" fillId="0" borderId="0" xfId="0" applyNumberFormat="1" applyFont="1" applyAlignment="1">
      <alignment horizontal="centerContinuous" vertical="center"/>
    </xf>
    <xf numFmtId="181" fontId="13" fillId="0" borderId="0" xfId="0" applyNumberFormat="1" applyFont="1" applyAlignment="1">
      <alignment vertical="center"/>
    </xf>
    <xf numFmtId="181" fontId="13" fillId="0" borderId="0" xfId="0" applyNumberFormat="1" applyFont="1" applyAlignment="1">
      <alignment horizontal="left" vertical="center"/>
    </xf>
    <xf numFmtId="0" fontId="13" fillId="0" borderId="0" xfId="0" applyNumberFormat="1" applyFont="1" applyAlignment="1">
      <alignment vertical="center"/>
    </xf>
    <xf numFmtId="0" fontId="12" fillId="0" borderId="0" xfId="0" applyNumberFormat="1" applyFont="1" applyAlignment="1">
      <alignment vertical="center"/>
    </xf>
    <xf numFmtId="0" fontId="13" fillId="0" borderId="0" xfId="0" applyNumberFormat="1" applyFont="1" applyAlignment="1">
      <alignment horizontal="centerContinuous" vertical="center"/>
    </xf>
    <xf numFmtId="0" fontId="13" fillId="0" borderId="0" xfId="0" applyNumberFormat="1" applyFont="1" applyAlignment="1" quotePrefix="1">
      <alignment vertical="center"/>
    </xf>
    <xf numFmtId="3" fontId="13" fillId="0" borderId="0" xfId="0" applyNumberFormat="1" applyFont="1" applyAlignment="1">
      <alignment horizontal="centerContinuous" vertical="center"/>
    </xf>
    <xf numFmtId="203" fontId="13" fillId="0" borderId="0" xfId="0" applyNumberFormat="1" applyFont="1" applyAlignment="1" quotePrefix="1">
      <alignment vertical="center"/>
    </xf>
    <xf numFmtId="203" fontId="13" fillId="0" borderId="0" xfId="0" applyNumberFormat="1" applyFont="1" applyAlignment="1">
      <alignment horizontal="centerContinuous" vertical="center"/>
    </xf>
    <xf numFmtId="194" fontId="13" fillId="0" borderId="19" xfId="0" applyNumberFormat="1" applyFont="1" applyFill="1" applyBorder="1" applyAlignment="1">
      <alignment horizontal="center" vertical="center"/>
    </xf>
    <xf numFmtId="194" fontId="13" fillId="0" borderId="19" xfId="0" applyNumberFormat="1" applyFont="1" applyFill="1" applyBorder="1" applyAlignment="1" quotePrefix="1">
      <alignment horizontal="center" vertical="center"/>
    </xf>
    <xf numFmtId="0" fontId="13" fillId="0" borderId="19" xfId="0" applyFont="1" applyFill="1" applyBorder="1" applyAlignment="1">
      <alignment horizontal="center" vertical="center"/>
    </xf>
    <xf numFmtId="0" fontId="13" fillId="0" borderId="19" xfId="0" applyFont="1" applyFill="1" applyBorder="1" applyAlignment="1">
      <alignment vertical="center"/>
    </xf>
    <xf numFmtId="0" fontId="13" fillId="0" borderId="15" xfId="40" applyFont="1" applyFill="1" applyBorder="1" applyAlignment="1">
      <alignment horizontal="center" vertical="center"/>
      <protection/>
    </xf>
    <xf numFmtId="0" fontId="13" fillId="0" borderId="17" xfId="40" applyFont="1" applyFill="1" applyBorder="1" applyAlignment="1">
      <alignment horizontal="center" vertical="center"/>
      <protection/>
    </xf>
    <xf numFmtId="0" fontId="13" fillId="0" borderId="3" xfId="40" applyFont="1" applyFill="1" applyBorder="1" applyAlignment="1">
      <alignment horizontal="center" vertical="center"/>
      <protection/>
    </xf>
    <xf numFmtId="0" fontId="13" fillId="0" borderId="18" xfId="40" applyFont="1" applyFill="1" applyBorder="1" applyAlignment="1">
      <alignment horizontal="center" vertical="center"/>
      <protection/>
    </xf>
    <xf numFmtId="193" fontId="13" fillId="0" borderId="19" xfId="39" applyNumberFormat="1" applyFont="1" applyFill="1" applyBorder="1" applyAlignment="1">
      <alignment horizontal="center" vertical="center"/>
      <protection/>
    </xf>
    <xf numFmtId="185" fontId="13" fillId="0" borderId="19" xfId="39" applyNumberFormat="1" applyFont="1" applyFill="1" applyBorder="1" applyAlignment="1">
      <alignment horizontal="center" vertical="center"/>
      <protection/>
    </xf>
    <xf numFmtId="190" fontId="13" fillId="0" borderId="14" xfId="40" applyNumberFormat="1" applyFont="1" applyFill="1" applyBorder="1" applyAlignment="1">
      <alignment horizontal="center" vertical="center"/>
      <protection/>
    </xf>
    <xf numFmtId="190" fontId="13" fillId="0" borderId="13" xfId="40" applyNumberFormat="1" applyFont="1" applyFill="1" applyBorder="1" applyAlignment="1">
      <alignment horizontal="center" vertical="center"/>
      <protection/>
    </xf>
    <xf numFmtId="190" fontId="13" fillId="0" borderId="15" xfId="40" applyNumberFormat="1" applyFont="1" applyFill="1" applyBorder="1" applyAlignment="1">
      <alignment horizontal="center" vertical="center"/>
      <protection/>
    </xf>
    <xf numFmtId="0" fontId="13" fillId="0" borderId="14" xfId="40" applyFont="1" applyFill="1" applyBorder="1" applyAlignment="1">
      <alignment horizontal="center" vertical="center"/>
      <protection/>
    </xf>
    <xf numFmtId="0" fontId="13" fillId="0" borderId="13" xfId="40" applyFont="1" applyFill="1" applyBorder="1" applyAlignment="1">
      <alignment horizontal="center" vertical="center"/>
      <protection/>
    </xf>
    <xf numFmtId="0" fontId="13" fillId="0" borderId="19" xfId="0" applyFont="1" applyBorder="1" applyAlignment="1">
      <alignment horizontal="center" vertical="center"/>
    </xf>
    <xf numFmtId="0" fontId="13" fillId="0" borderId="19" xfId="39" applyFont="1" applyBorder="1" applyAlignment="1">
      <alignment horizontal="left" vertical="center"/>
      <protection/>
    </xf>
    <xf numFmtId="0" fontId="13" fillId="0" borderId="19" xfId="39" applyFont="1" applyBorder="1" applyAlignment="1">
      <alignment horizontal="center" vertical="center"/>
      <protection/>
    </xf>
    <xf numFmtId="0" fontId="13" fillId="0" borderId="0" xfId="39" applyFont="1" applyFill="1" applyAlignment="1">
      <alignment horizontal="left" textRotation="90"/>
      <protection/>
    </xf>
    <xf numFmtId="190" fontId="13" fillId="0" borderId="0" xfId="0" applyNumberFormat="1" applyFont="1" applyAlignment="1">
      <alignment vertical="center"/>
    </xf>
    <xf numFmtId="0" fontId="13" fillId="0" borderId="19" xfId="0" applyFont="1" applyBorder="1" applyAlignment="1">
      <alignment horizontal="left" vertical="center"/>
    </xf>
    <xf numFmtId="190" fontId="12" fillId="0" borderId="0" xfId="0" applyNumberFormat="1" applyFont="1" applyFill="1" applyAlignment="1">
      <alignment vertical="center"/>
    </xf>
    <xf numFmtId="190" fontId="13" fillId="0" borderId="0" xfId="0" applyNumberFormat="1" applyFont="1" applyAlignment="1">
      <alignment vertical="center"/>
    </xf>
    <xf numFmtId="0" fontId="13" fillId="0" borderId="19" xfId="39" applyFont="1" applyFill="1" applyBorder="1" applyAlignment="1">
      <alignment horizontal="center" vertical="center"/>
      <protection/>
    </xf>
    <xf numFmtId="185" fontId="13" fillId="0" borderId="12" xfId="39" applyNumberFormat="1" applyFont="1" applyFill="1" applyBorder="1" applyAlignment="1">
      <alignment horizontal="center" vertical="center"/>
      <protection/>
    </xf>
    <xf numFmtId="185" fontId="13" fillId="0" borderId="2" xfId="39" applyNumberFormat="1" applyFont="1" applyFill="1" applyBorder="1" applyAlignment="1">
      <alignment horizontal="center" vertical="center"/>
      <protection/>
    </xf>
    <xf numFmtId="185" fontId="13" fillId="0" borderId="16" xfId="39" applyNumberFormat="1" applyFont="1" applyFill="1" applyBorder="1" applyAlignment="1">
      <alignment horizontal="center" vertical="center"/>
      <protection/>
    </xf>
    <xf numFmtId="189" fontId="13" fillId="0" borderId="19" xfId="0" applyNumberFormat="1" applyFont="1" applyFill="1" applyBorder="1" applyAlignment="1">
      <alignment horizontal="center" vertical="center"/>
    </xf>
    <xf numFmtId="187" fontId="13" fillId="0" borderId="0" xfId="40" applyNumberFormat="1" applyFont="1" applyFill="1" applyBorder="1" applyAlignment="1">
      <alignment horizontal="center" vertical="center"/>
      <protection/>
    </xf>
    <xf numFmtId="0" fontId="13" fillId="0" borderId="0" xfId="40" applyFont="1" applyFill="1" applyBorder="1" applyAlignment="1">
      <alignment horizontal="center" vertical="center"/>
      <protection/>
    </xf>
    <xf numFmtId="189" fontId="13" fillId="0" borderId="0" xfId="40" applyNumberFormat="1" applyFont="1" applyFill="1" applyBorder="1" applyAlignment="1">
      <alignment horizontal="center" vertical="center"/>
      <protection/>
    </xf>
    <xf numFmtId="0" fontId="13" fillId="0" borderId="19" xfId="0" applyFont="1" applyFill="1" applyBorder="1" applyAlignment="1">
      <alignment horizontal="left" vertical="center" wrapText="1"/>
    </xf>
    <xf numFmtId="185" fontId="13" fillId="0" borderId="19" xfId="0" applyNumberFormat="1" applyFont="1" applyFill="1" applyBorder="1" applyAlignment="1">
      <alignment horizontal="center" vertical="center"/>
    </xf>
    <xf numFmtId="0" fontId="13" fillId="0" borderId="5" xfId="0" applyFont="1" applyFill="1" applyBorder="1" applyAlignment="1">
      <alignment horizontal="center"/>
    </xf>
    <xf numFmtId="0" fontId="13" fillId="0" borderId="0"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204" fontId="13" fillId="0" borderId="12" xfId="0" applyNumberFormat="1" applyFont="1" applyFill="1" applyBorder="1" applyAlignment="1">
      <alignment horizontal="center" vertical="center"/>
    </xf>
    <xf numFmtId="204" fontId="13" fillId="0" borderId="2" xfId="0" applyNumberFormat="1" applyFont="1" applyFill="1" applyBorder="1" applyAlignment="1">
      <alignment horizontal="center" vertical="center"/>
    </xf>
    <xf numFmtId="204" fontId="13" fillId="0" borderId="16" xfId="0" applyNumberFormat="1" applyFont="1" applyFill="1" applyBorder="1" applyAlignment="1">
      <alignment horizontal="center" vertical="center"/>
    </xf>
    <xf numFmtId="191" fontId="13" fillId="0" borderId="19"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6" xfId="0" applyFont="1" applyFill="1" applyBorder="1" applyAlignment="1">
      <alignment horizontal="center" vertical="center"/>
    </xf>
    <xf numFmtId="191" fontId="13" fillId="0" borderId="21" xfId="0" applyNumberFormat="1" applyFont="1" applyFill="1" applyBorder="1" applyAlignment="1">
      <alignment horizontal="center" vertical="center"/>
    </xf>
    <xf numFmtId="0" fontId="13" fillId="0" borderId="0" xfId="0" applyFont="1" applyFill="1" applyAlignment="1">
      <alignment horizontal="center" vertical="center"/>
    </xf>
    <xf numFmtId="0" fontId="13" fillId="0" borderId="0" xfId="39" applyFont="1" applyFill="1" applyAlignment="1">
      <alignment horizontal="center" vertical="center"/>
      <protection/>
    </xf>
    <xf numFmtId="185" fontId="13" fillId="0" borderId="0" xfId="39" applyNumberFormat="1" applyFont="1" applyFill="1" applyAlignment="1">
      <alignment horizontal="center" vertical="center"/>
      <protection/>
    </xf>
    <xf numFmtId="185" fontId="13" fillId="0" borderId="12" xfId="0" applyNumberFormat="1" applyFont="1" applyFill="1" applyBorder="1" applyAlignment="1">
      <alignment horizontal="center" vertical="center"/>
    </xf>
    <xf numFmtId="0" fontId="23" fillId="0" borderId="2" xfId="0" applyFont="1" applyFill="1" applyBorder="1" applyAlignment="1">
      <alignment/>
    </xf>
    <xf numFmtId="0" fontId="23" fillId="0" borderId="16" xfId="0" applyFont="1" applyFill="1" applyBorder="1" applyAlignment="1">
      <alignment/>
    </xf>
    <xf numFmtId="187" fontId="13" fillId="0" borderId="0" xfId="39" applyNumberFormat="1" applyFont="1" applyFill="1" applyAlignment="1">
      <alignment horizontal="center" vertical="center"/>
      <protection/>
    </xf>
    <xf numFmtId="0" fontId="13" fillId="0" borderId="19" xfId="0" applyFont="1" applyFill="1" applyBorder="1" applyAlignment="1">
      <alignment horizontal="center" vertical="center" wrapText="1"/>
    </xf>
    <xf numFmtId="181" fontId="13" fillId="0" borderId="0" xfId="39" applyNumberFormat="1" applyFont="1" applyFill="1" applyAlignment="1">
      <alignment horizontal="center" vertical="center"/>
      <protection/>
    </xf>
    <xf numFmtId="185" fontId="13" fillId="0" borderId="0" xfId="0" applyNumberFormat="1" applyFont="1" applyFill="1" applyAlignment="1">
      <alignment horizontal="center" vertical="center"/>
    </xf>
    <xf numFmtId="189" fontId="13" fillId="0" borderId="0" xfId="0" applyNumberFormat="1" applyFont="1" applyFill="1" applyAlignment="1">
      <alignment horizontal="center" vertical="center"/>
    </xf>
    <xf numFmtId="196" fontId="13" fillId="0" borderId="0" xfId="0" applyNumberFormat="1" applyFont="1" applyFill="1" applyAlignment="1">
      <alignment horizontal="center" vertical="center"/>
    </xf>
    <xf numFmtId="193" fontId="13" fillId="0" borderId="0" xfId="0" applyNumberFormat="1" applyFont="1" applyFill="1" applyAlignment="1">
      <alignment vertical="center"/>
    </xf>
    <xf numFmtId="193" fontId="13" fillId="0" borderId="0" xfId="0" applyNumberFormat="1" applyFont="1" applyFill="1" applyAlignment="1">
      <alignment horizontal="center" vertical="center"/>
    </xf>
    <xf numFmtId="0" fontId="13" fillId="0" borderId="0" xfId="0" applyFont="1" applyFill="1" applyAlignment="1">
      <alignment horizontal="left" vertical="center"/>
    </xf>
    <xf numFmtId="189" fontId="13" fillId="0" borderId="0" xfId="39" applyNumberFormat="1" applyFont="1" applyFill="1" applyAlignment="1">
      <alignment horizontal="center" vertical="center"/>
      <protection/>
    </xf>
    <xf numFmtId="187" fontId="13" fillId="0" borderId="0" xfId="39" applyNumberFormat="1" applyFont="1" applyFill="1" applyAlignment="1">
      <alignment horizontal="center" textRotation="90"/>
      <protection/>
    </xf>
    <xf numFmtId="187" fontId="13" fillId="0" borderId="0" xfId="0" applyNumberFormat="1" applyFont="1" applyFill="1" applyAlignment="1">
      <alignment horizontal="center" vertical="center"/>
    </xf>
    <xf numFmtId="0" fontId="13" fillId="0" borderId="16" xfId="39" applyFont="1" applyFill="1" applyBorder="1" applyAlignment="1">
      <alignment horizontal="center" vertical="center"/>
      <protection/>
    </xf>
    <xf numFmtId="181" fontId="13" fillId="0" borderId="19" xfId="39" applyNumberFormat="1" applyFont="1" applyFill="1" applyBorder="1" applyAlignment="1">
      <alignment horizontal="center" vertical="center"/>
      <protection/>
    </xf>
    <xf numFmtId="189" fontId="13" fillId="0" borderId="0" xfId="39" applyNumberFormat="1" applyFont="1" applyFill="1" applyBorder="1" applyAlignment="1">
      <alignment horizontal="center" vertical="center"/>
      <protection/>
    </xf>
    <xf numFmtId="0" fontId="13" fillId="0" borderId="0" xfId="0" applyFont="1" applyFill="1" applyAlignment="1">
      <alignment horizontal="center" vertical="top"/>
    </xf>
    <xf numFmtId="195" fontId="13" fillId="0" borderId="0" xfId="39" applyNumberFormat="1" applyFont="1" applyFill="1" applyAlignment="1" quotePrefix="1">
      <alignment horizontal="center" vertical="center"/>
      <protection/>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6" xfId="0" applyFont="1" applyFill="1" applyBorder="1" applyAlignment="1">
      <alignment horizontal="left" vertical="center"/>
    </xf>
    <xf numFmtId="185" fontId="13" fillId="0" borderId="0" xfId="39" applyNumberFormat="1" applyFont="1" applyFill="1" applyBorder="1" applyAlignment="1">
      <alignment horizontal="center" vertical="center"/>
      <protection/>
    </xf>
    <xf numFmtId="181" fontId="13" fillId="0" borderId="22" xfId="39" applyNumberFormat="1" applyFont="1" applyFill="1" applyBorder="1" applyAlignment="1">
      <alignment horizontal="center" vertical="center"/>
      <protection/>
    </xf>
    <xf numFmtId="181" fontId="13" fillId="0" borderId="21" xfId="39" applyNumberFormat="1" applyFont="1" applyFill="1" applyBorder="1" applyAlignment="1">
      <alignment horizontal="center" vertical="center"/>
      <protection/>
    </xf>
    <xf numFmtId="202" fontId="13" fillId="0" borderId="0" xfId="39" applyNumberFormat="1" applyFont="1" applyFill="1" applyAlignment="1">
      <alignment horizontal="right" vertical="center"/>
      <protection/>
    </xf>
    <xf numFmtId="0" fontId="13" fillId="0" borderId="0" xfId="39" applyFont="1" applyFill="1" applyBorder="1" applyAlignment="1">
      <alignment horizontal="left" vertical="center"/>
      <protection/>
    </xf>
    <xf numFmtId="181" fontId="13" fillId="0" borderId="0" xfId="0" applyNumberFormat="1" applyFont="1" applyFill="1" applyAlignment="1">
      <alignment horizontal="center" vertical="center"/>
    </xf>
    <xf numFmtId="0" fontId="13" fillId="0" borderId="9" xfId="0" applyFont="1" applyFill="1" applyBorder="1" applyAlignment="1">
      <alignment horizontal="center" vertical="center" textRotation="255"/>
    </xf>
    <xf numFmtId="0" fontId="13" fillId="0" borderId="5" xfId="0" applyFont="1" applyFill="1" applyBorder="1" applyAlignment="1">
      <alignment horizontal="center" vertical="center" textRotation="255"/>
    </xf>
    <xf numFmtId="0" fontId="13" fillId="0" borderId="7" xfId="0" applyFont="1" applyFill="1" applyBorder="1" applyAlignment="1">
      <alignment horizontal="center" vertical="center" textRotation="255"/>
    </xf>
    <xf numFmtId="0" fontId="13" fillId="0" borderId="19" xfId="0" applyFont="1" applyFill="1" applyBorder="1" applyAlignment="1">
      <alignment horizontal="left" vertical="center"/>
    </xf>
    <xf numFmtId="0" fontId="13" fillId="0" borderId="5" xfId="39" applyFont="1" applyFill="1" applyBorder="1" applyAlignment="1">
      <alignment horizontal="left" vertical="center"/>
      <protection/>
    </xf>
    <xf numFmtId="0" fontId="13" fillId="0" borderId="6" xfId="39" applyFont="1" applyFill="1" applyBorder="1" applyAlignment="1">
      <alignment horizontal="left" vertical="center"/>
      <protection/>
    </xf>
    <xf numFmtId="0" fontId="13" fillId="0" borderId="19" xfId="0" applyFont="1" applyFill="1" applyBorder="1" applyAlignment="1">
      <alignment horizontal="center" vertical="center" textRotation="255" wrapText="1"/>
    </xf>
    <xf numFmtId="0" fontId="13" fillId="0" borderId="19" xfId="0" applyFont="1" applyFill="1" applyBorder="1" applyAlignment="1">
      <alignment horizontal="center" vertical="center" textRotation="255"/>
    </xf>
    <xf numFmtId="0" fontId="13" fillId="0" borderId="21" xfId="0" applyFont="1" applyFill="1" applyBorder="1" applyAlignment="1">
      <alignment horizontal="center" vertical="center"/>
    </xf>
    <xf numFmtId="181" fontId="13" fillId="0" borderId="0" xfId="41" applyNumberFormat="1" applyFont="1" applyFill="1" applyAlignment="1">
      <alignment horizontal="center" vertical="center"/>
      <protection/>
    </xf>
    <xf numFmtId="0" fontId="13" fillId="0" borderId="0" xfId="41" applyFont="1" applyFill="1" applyAlignment="1">
      <alignment horizontal="center" vertical="center"/>
      <protection/>
    </xf>
    <xf numFmtId="0" fontId="13" fillId="0" borderId="0" xfId="41" applyFont="1" applyFill="1" applyBorder="1" applyAlignment="1">
      <alignment horizontal="center" vertical="center"/>
      <protection/>
    </xf>
    <xf numFmtId="189" fontId="13" fillId="0" borderId="0" xfId="41" applyNumberFormat="1" applyFont="1" applyFill="1" applyBorder="1" applyAlignment="1">
      <alignment horizontal="center" vertical="center"/>
      <protection/>
    </xf>
    <xf numFmtId="181" fontId="13" fillId="0" borderId="0" xfId="39" applyNumberFormat="1" applyFont="1" applyFill="1" applyBorder="1" applyAlignment="1">
      <alignment horizontal="center" vertical="center"/>
      <protection/>
    </xf>
    <xf numFmtId="199" fontId="13" fillId="0" borderId="0" xfId="39" applyNumberFormat="1" applyFont="1" applyFill="1" applyAlignment="1">
      <alignment horizontal="center" vertical="center"/>
      <protection/>
    </xf>
    <xf numFmtId="185" fontId="13" fillId="0" borderId="4" xfId="39" applyNumberFormat="1" applyFont="1" applyFill="1" applyBorder="1" applyAlignment="1">
      <alignment horizontal="center" vertical="center"/>
      <protection/>
    </xf>
    <xf numFmtId="0" fontId="13" fillId="0" borderId="12" xfId="39" applyFont="1" applyFill="1" applyBorder="1" applyAlignment="1">
      <alignment horizontal="center" vertical="center"/>
      <protection/>
    </xf>
    <xf numFmtId="0" fontId="13" fillId="0" borderId="2" xfId="39" applyFont="1" applyFill="1" applyBorder="1" applyAlignment="1">
      <alignment horizontal="center" vertical="center"/>
      <protection/>
    </xf>
    <xf numFmtId="189" fontId="13" fillId="0" borderId="4" xfId="39" applyNumberFormat="1" applyFont="1" applyFill="1" applyBorder="1" applyAlignment="1">
      <alignment horizontal="center" vertical="center"/>
      <protection/>
    </xf>
    <xf numFmtId="185" fontId="13" fillId="0" borderId="0" xfId="39" applyNumberFormat="1" applyFont="1" applyFill="1" applyAlignment="1" quotePrefix="1">
      <alignment horizontal="center" vertical="center"/>
      <protection/>
    </xf>
    <xf numFmtId="0" fontId="13" fillId="0" borderId="9" xfId="39" applyFont="1" applyFill="1" applyBorder="1" applyAlignment="1">
      <alignment horizontal="center" vertical="center"/>
      <protection/>
    </xf>
    <xf numFmtId="0" fontId="13" fillId="0" borderId="10" xfId="39" applyFont="1" applyFill="1" applyBorder="1" applyAlignment="1">
      <alignment horizontal="center" vertical="center"/>
      <protection/>
    </xf>
    <xf numFmtId="0" fontId="13" fillId="0" borderId="11" xfId="39" applyFont="1" applyFill="1" applyBorder="1" applyAlignment="1">
      <alignment horizontal="center" vertical="center"/>
      <protection/>
    </xf>
    <xf numFmtId="189" fontId="13" fillId="0" borderId="19" xfId="39" applyNumberFormat="1" applyFont="1" applyFill="1" applyBorder="1" applyAlignment="1">
      <alignment horizontal="center" vertical="center"/>
      <protection/>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2"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1" xfId="0" applyFont="1" applyFill="1" applyBorder="1" applyAlignment="1">
      <alignment horizontal="center" vertical="center" textRotation="255"/>
    </xf>
    <xf numFmtId="0" fontId="13" fillId="0" borderId="6" xfId="0" applyFont="1" applyFill="1" applyBorder="1" applyAlignment="1">
      <alignment horizontal="center" vertical="center" textRotation="255"/>
    </xf>
    <xf numFmtId="0" fontId="13" fillId="0" borderId="8" xfId="0" applyFont="1" applyFill="1" applyBorder="1" applyAlignment="1">
      <alignment horizontal="center" vertical="center" textRotation="255"/>
    </xf>
    <xf numFmtId="0" fontId="13" fillId="0" borderId="0" xfId="39" applyFont="1" applyFill="1" applyAlignment="1">
      <alignment horizontal="left" textRotation="90"/>
      <protection/>
    </xf>
    <xf numFmtId="192" fontId="13" fillId="0" borderId="0" xfId="39" applyNumberFormat="1" applyFont="1" applyFill="1" applyAlignment="1">
      <alignment horizontal="center" vertical="center"/>
      <protection/>
    </xf>
    <xf numFmtId="0" fontId="13" fillId="0" borderId="5" xfId="39" applyFont="1" applyFill="1" applyBorder="1" applyAlignment="1">
      <alignment horizontal="center" vertical="center"/>
      <protection/>
    </xf>
    <xf numFmtId="0" fontId="13" fillId="0" borderId="0" xfId="39" applyFont="1" applyFill="1" applyBorder="1" applyAlignment="1">
      <alignment horizontal="center" vertical="center"/>
      <protection/>
    </xf>
    <xf numFmtId="0" fontId="13" fillId="0" borderId="6" xfId="39" applyFont="1" applyFill="1" applyBorder="1" applyAlignment="1">
      <alignment horizontal="center" vertical="center"/>
      <protection/>
    </xf>
    <xf numFmtId="0" fontId="13" fillId="0" borderId="7" xfId="39" applyFont="1" applyFill="1" applyBorder="1" applyAlignment="1">
      <alignment horizontal="center" vertical="center"/>
      <protection/>
    </xf>
    <xf numFmtId="0" fontId="13" fillId="0" borderId="4" xfId="39" applyFont="1" applyFill="1" applyBorder="1" applyAlignment="1">
      <alignment horizontal="center" vertical="center"/>
      <protection/>
    </xf>
    <xf numFmtId="0" fontId="13" fillId="0" borderId="8" xfId="39" applyFont="1" applyFill="1" applyBorder="1" applyAlignment="1">
      <alignment horizontal="center" vertical="center"/>
      <protection/>
    </xf>
    <xf numFmtId="0" fontId="13" fillId="0" borderId="19" xfId="39" applyFont="1" applyFill="1" applyBorder="1" applyAlignment="1">
      <alignment vertical="center"/>
      <protection/>
    </xf>
    <xf numFmtId="181" fontId="13" fillId="0" borderId="12" xfId="39" applyNumberFormat="1" applyFont="1" applyFill="1" applyBorder="1" applyAlignment="1">
      <alignment horizontal="center" vertical="center"/>
      <protection/>
    </xf>
    <xf numFmtId="181" fontId="13" fillId="0" borderId="2" xfId="39" applyNumberFormat="1" applyFont="1" applyFill="1" applyBorder="1" applyAlignment="1">
      <alignment horizontal="center" vertical="center"/>
      <protection/>
    </xf>
    <xf numFmtId="181" fontId="13" fillId="0" borderId="16" xfId="39" applyNumberFormat="1" applyFont="1" applyFill="1" applyBorder="1" applyAlignment="1">
      <alignment horizontal="center" vertical="center"/>
      <protection/>
    </xf>
    <xf numFmtId="0" fontId="13" fillId="0" borderId="9" xfId="0" applyFont="1" applyFill="1" applyBorder="1" applyAlignment="1">
      <alignment horizontal="center" vertical="center" textRotation="255" wrapText="1"/>
    </xf>
    <xf numFmtId="0" fontId="13" fillId="0" borderId="11" xfId="0" applyFont="1" applyFill="1" applyBorder="1" applyAlignment="1">
      <alignment horizontal="center" vertical="center" textRotation="255" wrapText="1"/>
    </xf>
    <xf numFmtId="0" fontId="13" fillId="0" borderId="5" xfId="0" applyFont="1" applyFill="1" applyBorder="1" applyAlignment="1">
      <alignment horizontal="center" vertical="center" textRotation="255" wrapText="1"/>
    </xf>
    <xf numFmtId="0" fontId="13" fillId="0" borderId="6" xfId="0" applyFont="1" applyFill="1" applyBorder="1" applyAlignment="1">
      <alignment horizontal="center" vertical="center" textRotation="255" wrapText="1"/>
    </xf>
    <xf numFmtId="0" fontId="13" fillId="0" borderId="7" xfId="0" applyFont="1" applyFill="1" applyBorder="1" applyAlignment="1">
      <alignment horizontal="center" vertical="center" textRotation="255" wrapText="1"/>
    </xf>
    <xf numFmtId="0" fontId="13" fillId="0" borderId="8" xfId="0" applyFont="1" applyFill="1" applyBorder="1" applyAlignment="1">
      <alignment horizontal="center" vertical="center" textRotation="255" wrapText="1"/>
    </xf>
    <xf numFmtId="181" fontId="13" fillId="0" borderId="0" xfId="0" applyNumberFormat="1" applyFont="1" applyFill="1" applyAlignment="1">
      <alignment horizontal="right" vertical="center"/>
    </xf>
    <xf numFmtId="196" fontId="13" fillId="0" borderId="0" xfId="0" applyNumberFormat="1" applyFont="1" applyFill="1" applyAlignment="1">
      <alignment horizontal="left" vertical="center"/>
    </xf>
    <xf numFmtId="0" fontId="13" fillId="0" borderId="0" xfId="39" applyNumberFormat="1" applyFont="1" applyFill="1" applyAlignment="1">
      <alignment horizontal="center" vertical="center"/>
      <protection/>
    </xf>
    <xf numFmtId="193" fontId="13" fillId="0" borderId="0" xfId="39" applyNumberFormat="1" applyFont="1" applyFill="1" applyAlignment="1">
      <alignment horizontal="center" vertical="center"/>
      <protection/>
    </xf>
    <xf numFmtId="0" fontId="13" fillId="0" borderId="0" xfId="39" applyFont="1" applyFill="1" applyAlignment="1" quotePrefix="1">
      <alignment horizontal="center" vertical="center"/>
      <protection/>
    </xf>
    <xf numFmtId="0" fontId="13" fillId="0" borderId="0" xfId="39" applyFont="1" applyFill="1" applyAlignment="1">
      <alignment horizontal="center" vertical="center" textRotation="90"/>
      <protection/>
    </xf>
    <xf numFmtId="185" fontId="13" fillId="0" borderId="0" xfId="39" applyNumberFormat="1" applyFont="1" applyFill="1" applyAlignment="1">
      <alignment horizontal="center" vertical="center" textRotation="90"/>
      <protection/>
    </xf>
    <xf numFmtId="204" fontId="13" fillId="0" borderId="0" xfId="39" applyNumberFormat="1" applyFont="1" applyFill="1" applyAlignment="1">
      <alignment horizontal="center" vertical="center"/>
      <protection/>
    </xf>
    <xf numFmtId="204" fontId="13" fillId="0" borderId="0" xfId="0" applyNumberFormat="1" applyFont="1" applyAlignment="1">
      <alignment horizontal="center" vertical="center"/>
    </xf>
    <xf numFmtId="205" fontId="13" fillId="0" borderId="0" xfId="39" applyNumberFormat="1" applyFont="1" applyFill="1" applyAlignment="1">
      <alignment horizontal="center" vertical="center"/>
      <protection/>
    </xf>
    <xf numFmtId="202" fontId="13" fillId="0" borderId="0" xfId="39" applyNumberFormat="1" applyFont="1" applyAlignment="1">
      <alignment horizontal="center" vertical="center"/>
      <protection/>
    </xf>
    <xf numFmtId="190" fontId="13" fillId="0" borderId="0" xfId="39" applyNumberFormat="1" applyFont="1" applyFill="1" applyAlignment="1">
      <alignment vertical="center"/>
      <protection/>
    </xf>
    <xf numFmtId="206" fontId="13" fillId="0" borderId="0" xfId="39" applyNumberFormat="1" applyFont="1" applyFill="1" applyAlignment="1">
      <alignment horizontal="center" vertical="center"/>
      <protection/>
    </xf>
    <xf numFmtId="206" fontId="13" fillId="0" borderId="0" xfId="0" applyNumberFormat="1" applyFont="1" applyAlignment="1">
      <alignment horizontal="center" vertical="center"/>
    </xf>
    <xf numFmtId="190" fontId="13" fillId="0" borderId="0" xfId="39" applyNumberFormat="1" applyFont="1" applyFill="1" applyAlignment="1">
      <alignment horizontal="center" vertical="center"/>
      <protection/>
    </xf>
    <xf numFmtId="190" fontId="13" fillId="0" borderId="0" xfId="0" applyNumberFormat="1" applyFont="1" applyAlignment="1">
      <alignment horizontal="center" vertical="center"/>
    </xf>
    <xf numFmtId="190" fontId="13" fillId="0" borderId="0" xfId="39" applyNumberFormat="1" applyFont="1" applyAlignment="1">
      <alignment horizontal="center" vertical="center"/>
      <protection/>
    </xf>
    <xf numFmtId="206" fontId="13" fillId="0" borderId="0" xfId="39" applyNumberFormat="1" applyFont="1" applyAlignment="1">
      <alignment horizontal="center" vertical="center"/>
      <protection/>
    </xf>
    <xf numFmtId="205" fontId="13" fillId="0" borderId="0" xfId="40" applyNumberFormat="1" applyFont="1" applyFill="1" applyAlignment="1">
      <alignment horizontal="center" vertical="center"/>
      <protection/>
    </xf>
    <xf numFmtId="205" fontId="13" fillId="0" borderId="0" xfId="0" applyNumberFormat="1" applyFont="1" applyAlignment="1">
      <alignment horizontal="center" vertical="center"/>
    </xf>
    <xf numFmtId="190" fontId="13" fillId="0" borderId="0" xfId="40" applyNumberFormat="1" applyFont="1" applyFill="1" applyAlignment="1">
      <alignment horizontal="left" vertical="center"/>
      <protection/>
    </xf>
    <xf numFmtId="190" fontId="13" fillId="0" borderId="0" xfId="40" applyNumberFormat="1" applyFont="1" applyAlignment="1" applyProtection="1">
      <alignment horizontal="center" vertical="center"/>
      <protection locked="0"/>
    </xf>
    <xf numFmtId="190" fontId="13" fillId="0" borderId="0" xfId="40" applyNumberFormat="1" applyFont="1" applyAlignment="1">
      <alignment horizontal="center" vertical="center"/>
      <protection/>
    </xf>
    <xf numFmtId="190" fontId="13" fillId="0" borderId="0" xfId="0" applyNumberFormat="1" applyFont="1" applyFill="1" applyAlignment="1">
      <alignment vertical="center"/>
    </xf>
    <xf numFmtId="190" fontId="13" fillId="0" borderId="12" xfId="0" applyNumberFormat="1" applyFont="1" applyFill="1" applyBorder="1" applyAlignment="1">
      <alignment horizontal="center" vertical="center"/>
    </xf>
    <xf numFmtId="190" fontId="13" fillId="0" borderId="2" xfId="0" applyNumberFormat="1" applyFont="1" applyFill="1" applyBorder="1" applyAlignment="1">
      <alignment horizontal="center" vertical="center"/>
    </xf>
    <xf numFmtId="190" fontId="13" fillId="0" borderId="16" xfId="0" applyNumberFormat="1" applyFont="1" applyFill="1" applyBorder="1" applyAlignment="1">
      <alignment horizontal="center" vertical="center"/>
    </xf>
    <xf numFmtId="207" fontId="13" fillId="0" borderId="12" xfId="39" applyNumberFormat="1" applyFont="1" applyFill="1" applyBorder="1" applyAlignment="1">
      <alignment horizontal="center" vertical="center"/>
      <protection/>
    </xf>
    <xf numFmtId="207" fontId="13" fillId="0" borderId="2" xfId="39" applyNumberFormat="1" applyFont="1" applyFill="1" applyBorder="1" applyAlignment="1">
      <alignment horizontal="center" vertical="center"/>
      <protection/>
    </xf>
    <xf numFmtId="207" fontId="13" fillId="0" borderId="16" xfId="39" applyNumberFormat="1" applyFont="1" applyFill="1" applyBorder="1" applyAlignment="1">
      <alignment horizontal="center" vertical="center"/>
      <protection/>
    </xf>
    <xf numFmtId="208" fontId="13" fillId="0" borderId="12" xfId="39" applyNumberFormat="1" applyFont="1" applyFill="1" applyBorder="1" applyAlignment="1">
      <alignment horizontal="center" vertical="center"/>
      <protection/>
    </xf>
    <xf numFmtId="208" fontId="13" fillId="0" borderId="2" xfId="39" applyNumberFormat="1" applyFont="1" applyFill="1" applyBorder="1" applyAlignment="1">
      <alignment horizontal="center" vertical="center"/>
      <protection/>
    </xf>
    <xf numFmtId="208" fontId="13" fillId="0" borderId="16" xfId="39" applyNumberFormat="1" applyFont="1" applyFill="1" applyBorder="1" applyAlignment="1">
      <alignment horizontal="center" vertical="center"/>
      <protection/>
    </xf>
    <xf numFmtId="1" fontId="13" fillId="0" borderId="0" xfId="41" applyNumberFormat="1" applyFont="1" applyFill="1" applyAlignment="1">
      <alignment horizontal="center" vertical="center"/>
      <protection/>
    </xf>
    <xf numFmtId="197" fontId="13" fillId="0" borderId="0" xfId="41" applyNumberFormat="1" applyFont="1" applyFill="1" applyAlignment="1">
      <alignment horizontal="center" vertical="center"/>
      <protection/>
    </xf>
    <xf numFmtId="0" fontId="13" fillId="0" borderId="0" xfId="41" applyFont="1" applyFill="1" applyAlignment="1">
      <alignment horizontal="left" vertical="center" textRotation="90"/>
      <protection/>
    </xf>
    <xf numFmtId="190" fontId="13" fillId="0" borderId="0" xfId="41" applyNumberFormat="1" applyFont="1" applyFill="1" applyAlignment="1">
      <alignment horizontal="center" vertical="center"/>
      <protection/>
    </xf>
    <xf numFmtId="205" fontId="13" fillId="0" borderId="0" xfId="41" applyNumberFormat="1" applyFont="1" applyFill="1" applyBorder="1" applyAlignment="1">
      <alignment horizontal="center" vertical="center"/>
      <protection/>
    </xf>
    <xf numFmtId="190" fontId="13" fillId="0" borderId="0" xfId="41" applyNumberFormat="1" applyFont="1" applyFill="1" applyAlignment="1">
      <alignment vertical="center"/>
      <protection/>
    </xf>
    <xf numFmtId="190" fontId="13" fillId="0" borderId="14" xfId="40" applyNumberFormat="1" applyFont="1" applyFill="1" applyBorder="1" applyAlignment="1" quotePrefix="1">
      <alignment vertical="center"/>
      <protection/>
    </xf>
    <xf numFmtId="190" fontId="13" fillId="0" borderId="13" xfId="0" applyNumberFormat="1" applyFont="1" applyBorder="1" applyAlignment="1">
      <alignment horizontal="center" vertical="center"/>
    </xf>
    <xf numFmtId="190" fontId="13" fillId="0" borderId="15" xfId="0" applyNumberFormat="1" applyFont="1" applyBorder="1" applyAlignment="1">
      <alignment horizontal="center" vertical="center"/>
    </xf>
    <xf numFmtId="206" fontId="13" fillId="0" borderId="10" xfId="0" applyNumberFormat="1" applyFont="1" applyFill="1" applyBorder="1" applyAlignment="1">
      <alignment horizontal="center" vertical="center"/>
    </xf>
    <xf numFmtId="206" fontId="13" fillId="0" borderId="10" xfId="0" applyNumberFormat="1" applyFont="1" applyBorder="1" applyAlignment="1">
      <alignment horizontal="center" vertical="center"/>
    </xf>
    <xf numFmtId="190" fontId="13" fillId="0" borderId="10" xfId="40" applyNumberFormat="1" applyFont="1" applyFill="1" applyBorder="1" applyAlignment="1">
      <alignment horizontal="center" vertical="center"/>
      <protection/>
    </xf>
    <xf numFmtId="206" fontId="13" fillId="0" borderId="0" xfId="0" applyNumberFormat="1" applyFont="1" applyFill="1" applyBorder="1" applyAlignment="1">
      <alignment horizontal="center" vertical="center"/>
    </xf>
    <xf numFmtId="190" fontId="13" fillId="0" borderId="0" xfId="40" applyNumberFormat="1" applyFont="1" applyFill="1" applyBorder="1" applyAlignment="1">
      <alignment horizontal="center" vertical="center"/>
      <protection/>
    </xf>
    <xf numFmtId="190" fontId="13" fillId="0" borderId="0" xfId="0" applyNumberFormat="1" applyFont="1" applyFill="1" applyAlignment="1">
      <alignment horizontal="center" vertical="center"/>
    </xf>
    <xf numFmtId="205" fontId="13" fillId="0" borderId="0" xfId="0" applyNumberFormat="1" applyFont="1" applyFill="1" applyAlignment="1">
      <alignment horizontal="center" vertical="center"/>
    </xf>
    <xf numFmtId="190" fontId="13" fillId="0" borderId="0" xfId="0" applyNumberFormat="1" applyFont="1" applyFill="1" applyAlignment="1">
      <alignment horizontal="center" vertical="center"/>
    </xf>
    <xf numFmtId="188" fontId="13" fillId="0" borderId="0" xfId="40" applyNumberFormat="1" applyFont="1" applyFill="1" applyAlignment="1" applyProtection="1">
      <alignment horizontal="center" vertical="center"/>
      <protection locked="0"/>
    </xf>
    <xf numFmtId="0" fontId="13" fillId="0" borderId="0" xfId="39" applyFont="1" applyFill="1" applyAlignment="1">
      <alignment horizontal="center" textRotation="90"/>
      <protection/>
    </xf>
    <xf numFmtId="207" fontId="13" fillId="0" borderId="0" xfId="39" applyNumberFormat="1" applyFont="1" applyFill="1" applyAlignment="1">
      <alignment horizontal="center" vertical="center"/>
      <protection/>
    </xf>
    <xf numFmtId="190" fontId="13" fillId="0" borderId="12" xfId="39" applyNumberFormat="1" applyFont="1" applyFill="1" applyBorder="1" applyAlignment="1">
      <alignment horizontal="center" vertical="center"/>
      <protection/>
    </xf>
    <xf numFmtId="190" fontId="13" fillId="0" borderId="2" xfId="39" applyNumberFormat="1" applyFont="1" applyFill="1" applyBorder="1" applyAlignment="1">
      <alignment horizontal="center" vertical="center"/>
      <protection/>
    </xf>
    <xf numFmtId="190" fontId="13" fillId="0" borderId="16" xfId="39" applyNumberFormat="1" applyFont="1" applyFill="1" applyBorder="1" applyAlignment="1">
      <alignment horizontal="center" vertical="center"/>
      <protection/>
    </xf>
    <xf numFmtId="206" fontId="13" fillId="0" borderId="0" xfId="39" applyNumberFormat="1" applyFont="1" applyFill="1" applyAlignment="1" quotePrefix="1">
      <alignment horizontal="center" vertical="center"/>
      <protection/>
    </xf>
    <xf numFmtId="207" fontId="13" fillId="0" borderId="0" xfId="0" applyNumberFormat="1" applyFont="1" applyFill="1" applyAlignment="1">
      <alignment horizontal="center" vertical="center"/>
    </xf>
    <xf numFmtId="190" fontId="13" fillId="0" borderId="0" xfId="0" applyNumberFormat="1" applyFont="1" applyFill="1" applyBorder="1" applyAlignment="1">
      <alignment horizontal="center" vertical="center"/>
    </xf>
    <xf numFmtId="204" fontId="13" fillId="0" borderId="12" xfId="39" applyNumberFormat="1" applyFont="1" applyFill="1" applyBorder="1" applyAlignment="1">
      <alignment horizontal="center" vertical="center"/>
      <protection/>
    </xf>
    <xf numFmtId="204" fontId="13" fillId="0" borderId="2" xfId="39" applyNumberFormat="1" applyFont="1" applyFill="1" applyBorder="1" applyAlignment="1">
      <alignment horizontal="center" vertical="center"/>
      <protection/>
    </xf>
    <xf numFmtId="204" fontId="13" fillId="0" borderId="16" xfId="39" applyNumberFormat="1" applyFont="1" applyFill="1" applyBorder="1" applyAlignment="1">
      <alignment horizontal="center" vertical="center"/>
      <protection/>
    </xf>
    <xf numFmtId="206" fontId="13" fillId="0" borderId="0" xfId="39" applyNumberFormat="1" applyFont="1" applyFill="1" applyBorder="1" applyAlignment="1">
      <alignment horizontal="center" vertical="center"/>
      <protection/>
    </xf>
    <xf numFmtId="192" fontId="13" fillId="0" borderId="0" xfId="40" applyNumberFormat="1" applyFont="1" applyFill="1" applyBorder="1" applyAlignment="1">
      <alignment horizontal="center" vertical="center"/>
      <protection/>
    </xf>
    <xf numFmtId="185" fontId="13" fillId="0" borderId="0" xfId="39" applyNumberFormat="1" applyFont="1" applyAlignment="1">
      <alignment horizontal="center" vertical="center"/>
      <protection/>
    </xf>
    <xf numFmtId="191" fontId="13" fillId="0" borderId="0" xfId="0" applyNumberFormat="1" applyFont="1" applyFill="1" applyAlignment="1">
      <alignment horizontal="center" vertical="center"/>
    </xf>
    <xf numFmtId="190" fontId="13" fillId="0" borderId="0" xfId="0" applyNumberFormat="1" applyFont="1" applyFill="1" applyAlignment="1" quotePrefix="1">
      <alignment vertical="center"/>
    </xf>
    <xf numFmtId="190" fontId="13" fillId="0" borderId="19" xfId="0" applyNumberFormat="1" applyFont="1" applyFill="1" applyBorder="1" applyAlignment="1">
      <alignment horizontal="center" vertical="center"/>
    </xf>
    <xf numFmtId="190" fontId="13" fillId="0" borderId="20" xfId="0" applyNumberFormat="1" applyFont="1" applyFill="1" applyBorder="1" applyAlignment="1">
      <alignment horizontal="center" vertical="center"/>
    </xf>
  </cellXfs>
  <cellStyles count="28">
    <cellStyle name="Normal" xfId="0"/>
    <cellStyle name="Comma" xfId="15"/>
    <cellStyle name="Comma [0]_laroux" xfId="16"/>
    <cellStyle name="Comma_단면특성 (정) (2)" xfId="17"/>
    <cellStyle name="Currency" xfId="18"/>
    <cellStyle name="Currency [0]_laroux" xfId="19"/>
    <cellStyle name="Currency_단면특성 (정) (2)" xfId="20"/>
    <cellStyle name="Date" xfId="21"/>
    <cellStyle name="Fixed" xfId="22"/>
    <cellStyle name="Header1" xfId="23"/>
    <cellStyle name="Header2" xfId="24"/>
    <cellStyle name="Heading1" xfId="25"/>
    <cellStyle name="Heading2" xfId="26"/>
    <cellStyle name="Normal_Certs Q2" xfId="27"/>
    <cellStyle name="Percent" xfId="28"/>
    <cellStyle name="Total" xfId="29"/>
    <cellStyle name="Percent" xfId="30"/>
    <cellStyle name="Hyperlink" xfId="31"/>
    <cellStyle name="Comma [0]" xfId="32"/>
    <cellStyle name="Comma" xfId="33"/>
    <cellStyle name="Currency [0]" xfId="34"/>
    <cellStyle name="Currency" xfId="35"/>
    <cellStyle name="Followed Hyperlink" xfId="36"/>
    <cellStyle name="콤마 [0]_1061" xfId="37"/>
    <cellStyle name="콤마_1061" xfId="38"/>
    <cellStyle name="표준_WARP" xfId="39"/>
    <cellStyle name="표준_상-보청천교-stb" xfId="40"/>
    <cellStyle name="표준_하중계산"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file://C:\Program Files\Hangil IT\ASteelPlate\_tmpw21.wmf" TargetMode="External" /><Relationship Id="rId2" Type="http://schemas.openxmlformats.org/officeDocument/2006/relationships/image" Target="file://C:\Program Files\Hangil IT\ASteelPlate\_tmpw22.wmf" TargetMode="External" /><Relationship Id="rId3" Type="http://schemas.openxmlformats.org/officeDocument/2006/relationships/image" Target="file://C:\Program Files\Hangil IT\ASteelPlate\_tmpw23.wmf" TargetMode="External" /><Relationship Id="rId4" Type="http://schemas.openxmlformats.org/officeDocument/2006/relationships/image" Target="file://C:\Program Files\Hangil IT\ASteelPlate\_tmpw24.wmf" TargetMode="External" /><Relationship Id="rId5" Type="http://schemas.openxmlformats.org/officeDocument/2006/relationships/image" Target="file://C:\Program Files\Hangil IT\ASteelPlate\_tmpw25.wmf" TargetMode="External" /><Relationship Id="rId6" Type="http://schemas.openxmlformats.org/officeDocument/2006/relationships/image" Target="file://C:\Program Files\Hangil IT\ASteelPlate\_tmpw26.wmf" TargetMode="External" /><Relationship Id="rId7" Type="http://schemas.openxmlformats.org/officeDocument/2006/relationships/image" Target="file://C:\Program Files\Hangil IT\ASteelPlate\_tmpw27.wmf" TargetMode="External" /><Relationship Id="rId8" Type="http://schemas.openxmlformats.org/officeDocument/2006/relationships/image" Target="file://C:\Program Files\Hangil IT\ASteelPlate\_tmpw28.wm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Program Files\Hangil IT\ASteelPlate\_tmpw29.wmf" TargetMode="External" /><Relationship Id="rId2" Type="http://schemas.openxmlformats.org/officeDocument/2006/relationships/image" Target="file://C:\Program Files\Hangil IT\ASteelPlate\_tmpw30.wmf" TargetMode="External" /><Relationship Id="rId3" Type="http://schemas.openxmlformats.org/officeDocument/2006/relationships/image" Target="file://C:\Program Files\Hangil IT\ASteelPlate\_tmpw31.wmf" TargetMode="External" /><Relationship Id="rId4" Type="http://schemas.openxmlformats.org/officeDocument/2006/relationships/image" Target="file://C:\Program Files\Hangil IT\ASteelPlate\_tmpw32.wmf" TargetMode="External" /><Relationship Id="rId5" Type="http://schemas.openxmlformats.org/officeDocument/2006/relationships/image" Target="file://C:\Program Files\Hangil IT\ASteelPlate\_tmpw33.wmf" TargetMode="External" /><Relationship Id="rId6" Type="http://schemas.openxmlformats.org/officeDocument/2006/relationships/image" Target="file://C:\Program Files\Hangil IT\ASteelPlate\_tmpw34.wmf" TargetMode="External" /><Relationship Id="rId7" Type="http://schemas.openxmlformats.org/officeDocument/2006/relationships/image" Target="file://C:\Program Files\Hangil IT\ASteelPlate\_tmpw35.wmf" TargetMode="External" /><Relationship Id="rId8" Type="http://schemas.openxmlformats.org/officeDocument/2006/relationships/image" Target="file://C:\Program Files\Hangil IT\ASteelPlate\_tmpw36.wm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14</xdr:row>
      <xdr:rowOff>0</xdr:rowOff>
    </xdr:from>
    <xdr:to>
      <xdr:col>10</xdr:col>
      <xdr:colOff>0</xdr:colOff>
      <xdr:row>14</xdr:row>
      <xdr:rowOff>238125</xdr:rowOff>
    </xdr:to>
    <xdr:pic>
      <xdr:nvPicPr>
        <xdr:cNvPr id="1" name="Picture 1"/>
        <xdr:cNvPicPr preferRelativeResize="1">
          <a:picLocks noChangeAspect="1"/>
        </xdr:cNvPicPr>
      </xdr:nvPicPr>
      <xdr:blipFill>
        <a:blip r:embed="rId1"/>
        <a:stretch>
          <a:fillRect/>
        </a:stretch>
      </xdr:blipFill>
      <xdr:spPr>
        <a:xfrm>
          <a:off x="2143125" y="3467100"/>
          <a:ext cx="238125" cy="238125"/>
        </a:xfrm>
        <a:prstGeom prst="rect">
          <a:avLst/>
        </a:prstGeom>
        <a:noFill/>
        <a:ln w="9525" cmpd="sng">
          <a:noFill/>
        </a:ln>
      </xdr:spPr>
    </xdr:pic>
    <xdr:clientData/>
  </xdr:twoCellAnchor>
  <xdr:twoCellAnchor editAs="oneCell">
    <xdr:from>
      <xdr:col>12</xdr:col>
      <xdr:colOff>0</xdr:colOff>
      <xdr:row>14</xdr:row>
      <xdr:rowOff>0</xdr:rowOff>
    </xdr:from>
    <xdr:to>
      <xdr:col>13</xdr:col>
      <xdr:colOff>0</xdr:colOff>
      <xdr:row>14</xdr:row>
      <xdr:rowOff>238125</xdr:rowOff>
    </xdr:to>
    <xdr:pic>
      <xdr:nvPicPr>
        <xdr:cNvPr id="2" name="Picture 2"/>
        <xdr:cNvPicPr preferRelativeResize="1">
          <a:picLocks noChangeAspect="1"/>
        </xdr:cNvPicPr>
      </xdr:nvPicPr>
      <xdr:blipFill>
        <a:blip r:embed="rId2"/>
        <a:stretch>
          <a:fillRect/>
        </a:stretch>
      </xdr:blipFill>
      <xdr:spPr>
        <a:xfrm>
          <a:off x="2857500" y="3467100"/>
          <a:ext cx="238125" cy="238125"/>
        </a:xfrm>
        <a:prstGeom prst="rect">
          <a:avLst/>
        </a:prstGeom>
        <a:noFill/>
        <a:ln w="9525" cmpd="sng">
          <a:noFill/>
        </a:ln>
      </xdr:spPr>
    </xdr:pic>
    <xdr:clientData/>
  </xdr:twoCellAnchor>
  <xdr:twoCellAnchor editAs="oneCell">
    <xdr:from>
      <xdr:col>10</xdr:col>
      <xdr:colOff>0</xdr:colOff>
      <xdr:row>15</xdr:row>
      <xdr:rowOff>0</xdr:rowOff>
    </xdr:from>
    <xdr:to>
      <xdr:col>11</xdr:col>
      <xdr:colOff>0</xdr:colOff>
      <xdr:row>15</xdr:row>
      <xdr:rowOff>238125</xdr:rowOff>
    </xdr:to>
    <xdr:pic>
      <xdr:nvPicPr>
        <xdr:cNvPr id="3" name="Picture 3"/>
        <xdr:cNvPicPr preferRelativeResize="1">
          <a:picLocks noChangeAspect="1"/>
        </xdr:cNvPicPr>
      </xdr:nvPicPr>
      <xdr:blipFill>
        <a:blip r:embed="rId3"/>
        <a:stretch>
          <a:fillRect/>
        </a:stretch>
      </xdr:blipFill>
      <xdr:spPr>
        <a:xfrm>
          <a:off x="2381250" y="3714750"/>
          <a:ext cx="238125" cy="238125"/>
        </a:xfrm>
        <a:prstGeom prst="rect">
          <a:avLst/>
        </a:prstGeom>
        <a:noFill/>
        <a:ln w="9525" cmpd="sng">
          <a:noFill/>
        </a:ln>
      </xdr:spPr>
    </xdr:pic>
    <xdr:clientData/>
  </xdr:twoCellAnchor>
  <xdr:twoCellAnchor editAs="oneCell">
    <xdr:from>
      <xdr:col>14</xdr:col>
      <xdr:colOff>0</xdr:colOff>
      <xdr:row>15</xdr:row>
      <xdr:rowOff>0</xdr:rowOff>
    </xdr:from>
    <xdr:to>
      <xdr:col>15</xdr:col>
      <xdr:colOff>0</xdr:colOff>
      <xdr:row>15</xdr:row>
      <xdr:rowOff>238125</xdr:rowOff>
    </xdr:to>
    <xdr:pic>
      <xdr:nvPicPr>
        <xdr:cNvPr id="4" name="Picture 4"/>
        <xdr:cNvPicPr preferRelativeResize="1">
          <a:picLocks noChangeAspect="1"/>
        </xdr:cNvPicPr>
      </xdr:nvPicPr>
      <xdr:blipFill>
        <a:blip r:embed="rId1"/>
        <a:stretch>
          <a:fillRect/>
        </a:stretch>
      </xdr:blipFill>
      <xdr:spPr>
        <a:xfrm>
          <a:off x="3333750" y="3714750"/>
          <a:ext cx="2381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0</xdr:row>
      <xdr:rowOff>0</xdr:rowOff>
    </xdr:from>
    <xdr:to>
      <xdr:col>27</xdr:col>
      <xdr:colOff>9525</xdr:colOff>
      <xdr:row>0</xdr:row>
      <xdr:rowOff>0</xdr:rowOff>
    </xdr:to>
    <xdr:sp>
      <xdr:nvSpPr>
        <xdr:cNvPr id="1" name="Drawing 21"/>
        <xdr:cNvSpPr>
          <a:spLocks/>
        </xdr:cNvSpPr>
      </xdr:nvSpPr>
      <xdr:spPr>
        <a:xfrm>
          <a:off x="2400300" y="0"/>
          <a:ext cx="1724025" cy="0"/>
        </a:xfrm>
        <a:custGeom>
          <a:pathLst>
            <a:path h="16384" w="16384">
              <a:moveTo>
                <a:pt x="0" y="13435"/>
              </a:moveTo>
              <a:lnTo>
                <a:pt x="634" y="16384"/>
              </a:lnTo>
              <a:lnTo>
                <a:pt x="1810" y="0"/>
              </a:lnTo>
              <a:lnTo>
                <a:pt x="1638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2" name="Oval 3"/>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3" name="Oval 4"/>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4" name="Oval 5"/>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5" name="Oval 6"/>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9</xdr:col>
      <xdr:colOff>0</xdr:colOff>
      <xdr:row>0</xdr:row>
      <xdr:rowOff>0</xdr:rowOff>
    </xdr:from>
    <xdr:to>
      <xdr:col>24</xdr:col>
      <xdr:colOff>0</xdr:colOff>
      <xdr:row>0</xdr:row>
      <xdr:rowOff>0</xdr:rowOff>
    </xdr:to>
    <xdr:sp>
      <xdr:nvSpPr>
        <xdr:cNvPr id="6" name="Line 7"/>
        <xdr:cNvSpPr>
          <a:spLocks/>
        </xdr:cNvSpPr>
      </xdr:nvSpPr>
      <xdr:spPr>
        <a:xfrm>
          <a:off x="1371600" y="0"/>
          <a:ext cx="2286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7" name="Oval 8"/>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3</xdr:col>
      <xdr:colOff>133350</xdr:colOff>
      <xdr:row>68</xdr:row>
      <xdr:rowOff>38100</xdr:rowOff>
    </xdr:from>
    <xdr:to>
      <xdr:col>36</xdr:col>
      <xdr:colOff>19050</xdr:colOff>
      <xdr:row>98</xdr:row>
      <xdr:rowOff>171450</xdr:rowOff>
    </xdr:to>
    <xdr:grpSp>
      <xdr:nvGrpSpPr>
        <xdr:cNvPr id="8" name="Group 9"/>
        <xdr:cNvGrpSpPr>
          <a:grpSpLocks/>
        </xdr:cNvGrpSpPr>
      </xdr:nvGrpSpPr>
      <xdr:grpSpPr>
        <a:xfrm>
          <a:off x="590550" y="17106900"/>
          <a:ext cx="4914900" cy="7562850"/>
          <a:chOff x="62" y="2908"/>
          <a:chExt cx="516" cy="795"/>
        </a:xfrm>
        <a:solidFill>
          <a:srgbClr val="FFFFFF"/>
        </a:solidFill>
      </xdr:grpSpPr>
      <xdr:sp>
        <xdr:nvSpPr>
          <xdr:cNvPr id="9" name="AutoShape 10"/>
          <xdr:cNvSpPr>
            <a:spLocks/>
          </xdr:cNvSpPr>
        </xdr:nvSpPr>
        <xdr:spPr>
          <a:xfrm>
            <a:off x="269" y="2908"/>
            <a:ext cx="87" cy="32"/>
          </a:xfrm>
          <a:prstGeom prst="flowChartTerminator">
            <a:avLst/>
          </a:prstGeom>
          <a:noFill/>
          <a:ln w="9525" cmpd="sng">
            <a:solidFill>
              <a:srgbClr val="000000"/>
            </a:solidFill>
            <a:headEnd type="none"/>
            <a:tailEnd type="none"/>
          </a:ln>
        </xdr:spPr>
        <xdr:txBody>
          <a:bodyPr vertOverflow="clip" wrap="square"/>
          <a:p>
            <a:pPr algn="l">
              <a:defRPr/>
            </a:pPr>
            <a:r>
              <a:rPr lang="en-US" cap="none" sz="1100" b="0" i="0" u="none" baseline="0">
                <a:latin typeface="돋움"/>
                <a:ea typeface="돋움"/>
                <a:cs typeface="돋움"/>
              </a:rPr>
              <a:t>    </a:t>
            </a:r>
            <a:r>
              <a:rPr lang="en-US" cap="none" sz="900" b="0" i="0" u="none" baseline="0"/>
              <a:t>START</a:t>
            </a:r>
          </a:p>
        </xdr:txBody>
      </xdr:sp>
      <xdr:sp>
        <xdr:nvSpPr>
          <xdr:cNvPr id="10" name="AutoShape 11"/>
          <xdr:cNvSpPr>
            <a:spLocks/>
          </xdr:cNvSpPr>
        </xdr:nvSpPr>
        <xdr:spPr>
          <a:xfrm>
            <a:off x="224" y="2961"/>
            <a:ext cx="183" cy="40"/>
          </a:xfrm>
          <a:prstGeom prst="flowChartProcess">
            <a:avLst/>
          </a:prstGeom>
          <a:noFill/>
          <a:ln w="9525" cmpd="sng">
            <a:solidFill>
              <a:srgbClr val="000000"/>
            </a:solidFill>
            <a:headEnd type="none"/>
            <a:tailEnd type="none"/>
          </a:ln>
        </xdr:spPr>
        <xdr:txBody>
          <a:bodyPr vertOverflow="clip" wrap="square"/>
          <a:p>
            <a:pPr algn="l">
              <a:defRPr/>
            </a:pPr>
            <a:r>
              <a:rPr lang="en-US" cap="none" sz="1100" b="0" i="0" u="none" baseline="0">
                <a:latin typeface="돋움"/>
                <a:ea typeface="돋움"/>
                <a:cs typeface="돋움"/>
              </a:rPr>
              <a:t>        </a:t>
            </a:r>
            <a:r>
              <a:rPr lang="en-US" cap="none" sz="900" b="0" i="0" u="none" baseline="0">
                <a:latin typeface="돋움"/>
                <a:ea typeface="돋움"/>
                <a:cs typeface="돋움"/>
              </a:rPr>
              <a:t> </a:t>
            </a:r>
            <a:r>
              <a:rPr lang="en-US" cap="none" sz="900" b="0" i="0" u="none" baseline="0"/>
              <a:t>断面力の算出</a:t>
            </a:r>
            <a:r>
              <a:rPr lang="en-US" cap="none" sz="900" b="0" i="0" u="none" baseline="0">
                <a:latin typeface="돋움"/>
                <a:ea typeface="돋움"/>
                <a:cs typeface="돋움"/>
              </a:rPr>
              <a:t>
 </a:t>
            </a:r>
            <a:r>
              <a:rPr lang="en-US" cap="none" sz="900" b="0" i="0" u="none" baseline="0"/>
              <a:t>・死荷重・活荷重</a:t>
            </a:r>
            <a:r>
              <a:rPr lang="en-US" cap="none" sz="900" b="0" i="0" u="none" baseline="0">
                <a:latin typeface="돋움"/>
                <a:ea typeface="돋움"/>
                <a:cs typeface="돋움"/>
              </a:rPr>
              <a:t> </a:t>
            </a:r>
            <a:r>
              <a:rPr lang="en-US" cap="none" sz="900" b="0" i="0" u="none" baseline="0"/>
              <a:t>・衝突</a:t>
            </a:r>
            <a:r>
              <a:rPr lang="en-US" cap="none" sz="900" b="0" i="0" u="none" baseline="0">
                <a:latin typeface="돋움"/>
                <a:ea typeface="돋움"/>
                <a:cs typeface="돋움"/>
              </a:rPr>
              <a:t>
</a:t>
            </a:r>
          </a:p>
        </xdr:txBody>
      </xdr:sp>
      <xdr:sp>
        <xdr:nvSpPr>
          <xdr:cNvPr id="11" name="AutoShape 12"/>
          <xdr:cNvSpPr>
            <a:spLocks/>
          </xdr:cNvSpPr>
        </xdr:nvSpPr>
        <xdr:spPr>
          <a:xfrm>
            <a:off x="225" y="3029"/>
            <a:ext cx="181" cy="53"/>
          </a:xfrm>
          <a:prstGeom prst="flowChartProcess">
            <a:avLst/>
          </a:prstGeom>
          <a:noFill/>
          <a:ln w="9525" cmpd="sng">
            <a:solidFill>
              <a:srgbClr val="000000"/>
            </a:solidFill>
            <a:headEnd type="none"/>
            <a:tailEnd type="none"/>
          </a:ln>
        </xdr:spPr>
        <xdr:txBody>
          <a:bodyPr vertOverflow="clip" wrap="square"/>
          <a:p>
            <a:pPr algn="l">
              <a:defRPr/>
            </a:pPr>
            <a:r>
              <a:rPr lang="en-US" cap="none" sz="1100" b="0" i="0" u="none" baseline="0">
                <a:latin typeface="돋움"/>
                <a:ea typeface="돋움"/>
                <a:cs typeface="돋움"/>
              </a:rPr>
              <a:t>         </a:t>
            </a:r>
            <a:r>
              <a:rPr lang="en-US" cap="none" sz="900" b="0" i="0" u="none" baseline="0">
                <a:latin typeface="돋움"/>
                <a:ea typeface="돋움"/>
                <a:cs typeface="돋움"/>
              </a:rPr>
              <a:t> PC</a:t>
            </a:r>
            <a:r>
              <a:rPr lang="en-US" cap="none" sz="900" b="0" i="0" u="none" baseline="0"/>
              <a:t>鋼線配置</a:t>
            </a:r>
            <a:r>
              <a:rPr lang="en-US" cap="none" sz="900" b="0" i="0" u="none" baseline="0">
                <a:latin typeface="돋움"/>
                <a:ea typeface="돋움"/>
                <a:cs typeface="돋움"/>
              </a:rPr>
              <a:t>
            </a:t>
            </a:r>
            <a:r>
              <a:rPr lang="en-US" cap="none" sz="900" b="0" i="0" u="none" baseline="0"/>
              <a:t>・間隔</a:t>
            </a:r>
            <a:r>
              <a:rPr lang="en-US" cap="none" sz="900" b="0" i="0" u="none" baseline="0">
                <a:latin typeface="돋움"/>
                <a:ea typeface="돋움"/>
                <a:cs typeface="돋움"/>
              </a:rPr>
              <a:t>(平面)
            </a:t>
            </a:r>
            <a:r>
              <a:rPr lang="en-US" cap="none" sz="900" b="0" i="0" u="none" baseline="0"/>
              <a:t>・偏心量</a:t>
            </a:r>
            <a:r>
              <a:rPr lang="en-US" cap="none" sz="900" b="0" i="0" u="none" baseline="0">
                <a:latin typeface="돋움"/>
                <a:ea typeface="돋움"/>
                <a:cs typeface="돋움"/>
              </a:rPr>
              <a:t>(</a:t>
            </a:r>
            <a:r>
              <a:rPr lang="en-US" cap="none" sz="900" b="0" i="0" u="none" baseline="0"/>
              <a:t>断面</a:t>
            </a:r>
            <a:r>
              <a:rPr lang="en-US" cap="none" sz="900" b="0" i="0" u="none" baseline="0">
                <a:latin typeface="돋움"/>
                <a:ea typeface="돋움"/>
                <a:cs typeface="돋움"/>
              </a:rPr>
              <a:t>)</a:t>
            </a:r>
          </a:p>
        </xdr:txBody>
      </xdr:sp>
      <xdr:sp>
        <xdr:nvSpPr>
          <xdr:cNvPr id="12" name="AutoShape 13"/>
          <xdr:cNvSpPr>
            <a:spLocks/>
          </xdr:cNvSpPr>
        </xdr:nvSpPr>
        <xdr:spPr>
          <a:xfrm>
            <a:off x="225" y="3106"/>
            <a:ext cx="181" cy="20"/>
          </a:xfrm>
          <a:prstGeom prst="flowChartProcess">
            <a:avLst/>
          </a:prstGeom>
          <a:noFill/>
          <a:ln w="9525" cmpd="sng">
            <a:solidFill>
              <a:srgbClr val="000000"/>
            </a:solidFill>
            <a:headEnd type="none"/>
            <a:tailEnd type="none"/>
          </a:ln>
        </xdr:spPr>
        <xdr:txBody>
          <a:bodyPr vertOverflow="clip" wrap="square"/>
          <a:p>
            <a:pPr algn="l">
              <a:defRPr/>
            </a:pPr>
            <a:r>
              <a:rPr lang="en-US" cap="none" sz="1100" b="0" i="0" u="none" baseline="0">
                <a:latin typeface="돋움"/>
                <a:ea typeface="돋움"/>
                <a:cs typeface="돋움"/>
              </a:rPr>
              <a:t>         </a:t>
            </a:r>
            <a:r>
              <a:rPr lang="en-US" cap="none" sz="900" b="0" i="0" u="none" baseline="0"/>
              <a:t>応力度の算出</a:t>
            </a:r>
            <a:r>
              <a:rPr lang="en-US" cap="none" sz="1100" b="0" i="0" u="none" baseline="0">
                <a:latin typeface="돋움"/>
                <a:ea typeface="돋움"/>
                <a:cs typeface="돋움"/>
              </a:rPr>
              <a:t>
</a:t>
            </a:r>
          </a:p>
        </xdr:txBody>
      </xdr:sp>
      <xdr:sp>
        <xdr:nvSpPr>
          <xdr:cNvPr id="13" name="AutoShape 14"/>
          <xdr:cNvSpPr>
            <a:spLocks/>
          </xdr:cNvSpPr>
        </xdr:nvSpPr>
        <xdr:spPr>
          <a:xfrm>
            <a:off x="225" y="3155"/>
            <a:ext cx="181" cy="56"/>
          </a:xfrm>
          <a:prstGeom prst="flowChartProcess">
            <a:avLst/>
          </a:prstGeom>
          <a:noFill/>
          <a:ln w="9525" cmpd="sng">
            <a:solidFill>
              <a:srgbClr val="000000"/>
            </a:solidFill>
            <a:headEnd type="none"/>
            <a:tailEnd type="none"/>
          </a:ln>
        </xdr:spPr>
        <xdr:txBody>
          <a:bodyPr vertOverflow="clip" wrap="square"/>
          <a:p>
            <a:pPr algn="l">
              <a:defRPr/>
            </a:pPr>
            <a:r>
              <a:rPr lang="en-US" cap="none" sz="1100" b="0" i="0" u="none" baseline="0">
                <a:latin typeface="돋움"/>
                <a:ea typeface="돋움"/>
                <a:cs typeface="돋움"/>
              </a:rPr>
              <a:t>  </a:t>
            </a:r>
            <a:r>
              <a:rPr lang="en-US" cap="none" sz="900" b="0" i="0" u="none" baseline="0">
                <a:latin typeface="돋움"/>
                <a:ea typeface="돋움"/>
                <a:cs typeface="돋움"/>
              </a:rPr>
              <a:t>有</a:t>
            </a:r>
            <a:r>
              <a:rPr lang="en-US" cap="none" sz="900" b="0" i="0" u="none" baseline="0"/>
              <a:t>効プレストレス量の算出</a:t>
            </a:r>
            <a:r>
              <a:rPr lang="en-US" cap="none" sz="900" b="0" i="0" u="none" baseline="0">
                <a:latin typeface="돋움"/>
                <a:ea typeface="돋움"/>
                <a:cs typeface="돋움"/>
              </a:rPr>
              <a:t>
       </a:t>
            </a:r>
            <a:r>
              <a:rPr lang="en-US" cap="none" sz="900" b="0" i="0" u="none" baseline="0"/>
              <a:t>・導入直後の減少</a:t>
            </a:r>
            <a:r>
              <a:rPr lang="en-US" cap="none" sz="900" b="0" i="0" u="none" baseline="0">
                <a:latin typeface="돋움"/>
                <a:ea typeface="돋움"/>
                <a:cs typeface="돋움"/>
              </a:rPr>
              <a:t>
       </a:t>
            </a:r>
            <a:r>
              <a:rPr lang="en-US" cap="none" sz="900" b="0" i="0" u="none" baseline="0"/>
              <a:t>・経時的減少</a:t>
            </a:r>
            <a:r>
              <a:rPr lang="en-US" cap="none" sz="1100" b="0" i="0" u="none" baseline="0">
                <a:latin typeface="돋움"/>
                <a:ea typeface="돋움"/>
                <a:cs typeface="돋움"/>
              </a:rPr>
              <a:t>
</a:t>
            </a:r>
          </a:p>
        </xdr:txBody>
      </xdr:sp>
      <xdr:sp>
        <xdr:nvSpPr>
          <xdr:cNvPr id="14" name="AutoShape 15"/>
          <xdr:cNvSpPr>
            <a:spLocks/>
          </xdr:cNvSpPr>
        </xdr:nvSpPr>
        <xdr:spPr>
          <a:xfrm>
            <a:off x="225" y="3243"/>
            <a:ext cx="181" cy="58"/>
          </a:xfrm>
          <a:prstGeom prst="flowChartProcess">
            <a:avLst/>
          </a:prstGeom>
          <a:noFill/>
          <a:ln w="9525" cmpd="sng">
            <a:solidFill>
              <a:srgbClr val="000000"/>
            </a:solidFill>
            <a:headEnd type="none"/>
            <a:tailEnd type="none"/>
          </a:ln>
        </xdr:spPr>
        <xdr:txBody>
          <a:bodyPr vertOverflow="clip" wrap="square"/>
          <a:p>
            <a:pPr algn="l">
              <a:defRPr/>
            </a:pPr>
            <a:r>
              <a:rPr lang="en-US" cap="none" sz="1100" b="0" i="0" u="none" baseline="0">
                <a:latin typeface="돋움"/>
                <a:ea typeface="돋움"/>
                <a:cs typeface="돋움"/>
              </a:rPr>
              <a:t>         </a:t>
            </a:r>
            <a:r>
              <a:rPr lang="en-US" cap="none" sz="900" b="0" i="0" u="none" baseline="0"/>
              <a:t>応力度の照査</a:t>
            </a:r>
            <a:r>
              <a:rPr lang="en-US" cap="none" sz="900" b="0" i="0" u="none" baseline="0">
                <a:latin typeface="돋움"/>
                <a:ea typeface="돋움"/>
                <a:cs typeface="돋움"/>
              </a:rPr>
              <a:t>
            </a:t>
            </a:r>
            <a:r>
              <a:rPr lang="en-US" cap="none" sz="900" b="0" i="0" u="none" baseline="0"/>
              <a:t>・鋼材</a:t>
            </a:r>
            <a:r>
              <a:rPr lang="en-US" cap="none" sz="900" b="0" i="0" u="none" baseline="0">
                <a:latin typeface="돋움"/>
                <a:ea typeface="돋움"/>
                <a:cs typeface="돋움"/>
              </a:rPr>
              <a:t>
            </a:t>
            </a:r>
            <a:r>
              <a:rPr lang="en-US" cap="none" sz="900" b="0" i="0" u="none" baseline="0"/>
              <a:t>・コンクリート</a:t>
            </a:r>
            <a:r>
              <a:rPr lang="en-US" cap="none" sz="900" b="0" i="0" u="none" baseline="0">
                <a:latin typeface="돋움"/>
                <a:ea typeface="돋움"/>
                <a:cs typeface="돋움"/>
              </a:rPr>
              <a:t>  </a:t>
            </a:r>
            <a:r>
              <a:rPr lang="en-US" cap="none" sz="1100" b="0" i="0" u="none" baseline="0">
                <a:latin typeface="돋움"/>
                <a:ea typeface="돋움"/>
                <a:cs typeface="돋움"/>
              </a:rPr>
              <a:t>
</a:t>
            </a:r>
          </a:p>
        </xdr:txBody>
      </xdr:sp>
      <xdr:sp>
        <xdr:nvSpPr>
          <xdr:cNvPr id="15" name="AutoShape 16"/>
          <xdr:cNvSpPr>
            <a:spLocks/>
          </xdr:cNvSpPr>
        </xdr:nvSpPr>
        <xdr:spPr>
          <a:xfrm>
            <a:off x="225" y="3327"/>
            <a:ext cx="181" cy="20"/>
          </a:xfrm>
          <a:prstGeom prst="flowChartProcess">
            <a:avLst/>
          </a:prstGeom>
          <a:noFill/>
          <a:ln w="9525" cmpd="sng">
            <a:solidFill>
              <a:srgbClr val="000000"/>
            </a:solidFill>
            <a:headEnd type="none"/>
            <a:tailEnd type="none"/>
          </a:ln>
        </xdr:spPr>
        <xdr:txBody>
          <a:bodyPr vertOverflow="clip" wrap="square"/>
          <a:p>
            <a:pPr algn="l">
              <a:defRPr/>
            </a:pPr>
            <a:r>
              <a:rPr lang="en-US" cap="none" sz="1100" b="0" i="0" u="none" baseline="0"/>
              <a:t>  </a:t>
            </a:r>
            <a:r>
              <a:rPr lang="en-US" cap="none" sz="900" b="0" i="0" u="none" baseline="0"/>
              <a:t>曲げひび割れの照査</a:t>
            </a:r>
          </a:p>
        </xdr:txBody>
      </xdr:sp>
      <xdr:sp>
        <xdr:nvSpPr>
          <xdr:cNvPr id="16" name="AutoShape 17"/>
          <xdr:cNvSpPr>
            <a:spLocks/>
          </xdr:cNvSpPr>
        </xdr:nvSpPr>
        <xdr:spPr>
          <a:xfrm>
            <a:off x="225" y="3381"/>
            <a:ext cx="181" cy="38"/>
          </a:xfrm>
          <a:prstGeom prst="flowChartProcess">
            <a:avLst/>
          </a:prstGeom>
          <a:noFill/>
          <a:ln w="9525" cmpd="sng">
            <a:solidFill>
              <a:srgbClr val="000000"/>
            </a:solidFill>
            <a:headEnd type="none"/>
            <a:tailEnd type="none"/>
          </a:ln>
        </xdr:spPr>
        <xdr:txBody>
          <a:bodyPr vertOverflow="clip" wrap="square"/>
          <a:p>
            <a:pPr algn="ctr">
              <a:defRPr/>
            </a:pPr>
            <a:r>
              <a:rPr lang="en-US" cap="none" sz="900" b="0" i="0" u="none" baseline="0"/>
              <a:t>曲げひび割れ発生限界            　　　(設計荷重時)</a:t>
            </a:r>
            <a:r>
              <a:rPr lang="en-US" cap="none" sz="900" b="0" i="0" u="none" baseline="0">
                <a:latin typeface="돋움"/>
                <a:ea typeface="돋움"/>
                <a:cs typeface="돋움"/>
              </a:rPr>
              <a:t>
</a:t>
            </a:r>
            <a:r>
              <a:rPr lang="en-US" cap="none" sz="1100" b="0" i="0" u="none" baseline="0">
                <a:latin typeface="돋움"/>
                <a:ea typeface="돋움"/>
                <a:cs typeface="돋움"/>
              </a:rPr>
              <a:t>
</a:t>
            </a:r>
          </a:p>
        </xdr:txBody>
      </xdr:sp>
      <xdr:sp>
        <xdr:nvSpPr>
          <xdr:cNvPr id="17" name="AutoShape 18"/>
          <xdr:cNvSpPr>
            <a:spLocks/>
          </xdr:cNvSpPr>
        </xdr:nvSpPr>
        <xdr:spPr>
          <a:xfrm>
            <a:off x="225" y="3479"/>
            <a:ext cx="181" cy="20"/>
          </a:xfrm>
          <a:prstGeom prst="flowChartProcess">
            <a:avLst/>
          </a:prstGeom>
          <a:noFill/>
          <a:ln w="9525" cmpd="sng">
            <a:solidFill>
              <a:srgbClr val="000000"/>
            </a:solidFill>
            <a:headEnd type="none"/>
            <a:tailEnd type="none"/>
          </a:ln>
        </xdr:spPr>
        <xdr:txBody>
          <a:bodyPr vertOverflow="clip" wrap="square"/>
          <a:p>
            <a:pPr algn="l">
              <a:defRPr/>
            </a:pPr>
            <a:r>
              <a:rPr lang="en-US" cap="none" sz="1100" b="0" i="0" u="none" baseline="0">
                <a:latin typeface="돋움"/>
                <a:ea typeface="돋움"/>
                <a:cs typeface="돋움"/>
              </a:rPr>
              <a:t>         </a:t>
            </a:r>
            <a:r>
              <a:rPr lang="en-US" cap="none" sz="900" b="0" i="0" u="none" baseline="0">
                <a:latin typeface="돋움"/>
                <a:ea typeface="돋움"/>
                <a:cs typeface="돋움"/>
              </a:rPr>
              <a:t>必要</a:t>
            </a:r>
            <a:r>
              <a:rPr lang="en-US" cap="none" sz="900" b="0" i="0" u="none" baseline="0"/>
              <a:t>鉄筋量の算出</a:t>
            </a:r>
            <a:r>
              <a:rPr lang="en-US" cap="none" sz="1100" b="0" i="0" u="none" baseline="0">
                <a:latin typeface="돋움"/>
                <a:ea typeface="돋움"/>
                <a:cs typeface="돋움"/>
              </a:rPr>
              <a:t>
</a:t>
            </a:r>
          </a:p>
        </xdr:txBody>
      </xdr:sp>
      <xdr:sp>
        <xdr:nvSpPr>
          <xdr:cNvPr id="18" name="AutoShape 19"/>
          <xdr:cNvSpPr>
            <a:spLocks/>
          </xdr:cNvSpPr>
        </xdr:nvSpPr>
        <xdr:spPr>
          <a:xfrm>
            <a:off x="225" y="3563"/>
            <a:ext cx="181" cy="20"/>
          </a:xfrm>
          <a:prstGeom prst="flowChartProcess">
            <a:avLst/>
          </a:prstGeom>
          <a:noFill/>
          <a:ln w="9525" cmpd="sng">
            <a:solidFill>
              <a:srgbClr val="000000"/>
            </a:solidFill>
            <a:headEnd type="none"/>
            <a:tailEnd type="none"/>
          </a:ln>
        </xdr:spPr>
        <xdr:txBody>
          <a:bodyPr vertOverflow="clip" wrap="square"/>
          <a:p>
            <a:pPr algn="l">
              <a:defRPr/>
            </a:pPr>
            <a:r>
              <a:rPr lang="en-US" cap="none" sz="1100" b="0" i="0" u="none" baseline="0">
                <a:latin typeface="돋움"/>
                <a:ea typeface="돋움"/>
                <a:cs typeface="돋움"/>
              </a:rPr>
              <a:t>         </a:t>
            </a:r>
            <a:r>
              <a:rPr lang="en-US" cap="none" sz="900" b="0" i="0" u="none" baseline="0"/>
              <a:t>筋配置の決定</a:t>
            </a:r>
            <a:r>
              <a:rPr lang="en-US" cap="none" sz="1100" b="0" i="0" u="none" baseline="0">
                <a:latin typeface="돋움"/>
                <a:ea typeface="돋움"/>
                <a:cs typeface="돋움"/>
              </a:rPr>
              <a:t>
</a:t>
            </a:r>
          </a:p>
        </xdr:txBody>
      </xdr:sp>
      <xdr:sp>
        <xdr:nvSpPr>
          <xdr:cNvPr id="19" name="AutoShape 20"/>
          <xdr:cNvSpPr>
            <a:spLocks/>
          </xdr:cNvSpPr>
        </xdr:nvSpPr>
        <xdr:spPr>
          <a:xfrm>
            <a:off x="225" y="3605"/>
            <a:ext cx="181" cy="38"/>
          </a:xfrm>
          <a:prstGeom prst="flowChartProcess">
            <a:avLst/>
          </a:prstGeom>
          <a:noFill/>
          <a:ln w="9525" cmpd="sng">
            <a:solidFill>
              <a:srgbClr val="000000"/>
            </a:solidFill>
            <a:headEnd type="none"/>
            <a:tailEnd type="none"/>
          </a:ln>
        </xdr:spPr>
        <xdr:txBody>
          <a:bodyPr vertOverflow="clip" wrap="square"/>
          <a:p>
            <a:pPr algn="ctr">
              <a:defRPr/>
            </a:pPr>
            <a:r>
              <a:rPr lang="en-US" cap="none" sz="900" b="0" i="0" u="none" baseline="0"/>
              <a:t>終局限界状態の照査
曲げ破壊</a:t>
            </a:r>
            <a:r>
              <a:rPr lang="en-US" cap="none" sz="1100" b="0" i="0" u="none" baseline="0">
                <a:latin typeface="돋움"/>
                <a:ea typeface="돋움"/>
                <a:cs typeface="돋움"/>
              </a:rPr>
              <a:t>
</a:t>
            </a:r>
          </a:p>
        </xdr:txBody>
      </xdr:sp>
      <xdr:sp>
        <xdr:nvSpPr>
          <xdr:cNvPr id="20" name="AutoShape 21"/>
          <xdr:cNvSpPr>
            <a:spLocks/>
          </xdr:cNvSpPr>
        </xdr:nvSpPr>
        <xdr:spPr>
          <a:xfrm>
            <a:off x="438" y="3381"/>
            <a:ext cx="140" cy="38"/>
          </a:xfrm>
          <a:prstGeom prst="flowChartProcess">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曲げひび割れ幅限界</a:t>
            </a:r>
            <a:r>
              <a:rPr lang="en-US" cap="none" sz="900" b="0" i="0" u="none" baseline="0"/>
              <a:t>状態</a:t>
            </a:r>
            <a:r>
              <a:rPr lang="en-US" cap="none" sz="900" b="0" i="0" u="none" baseline="0">
                <a:latin typeface="돋움"/>
                <a:ea typeface="돋움"/>
                <a:cs typeface="돋움"/>
              </a:rPr>
              <a:t>
           (衝突時)
</a:t>
            </a:r>
            <a:r>
              <a:rPr lang="en-US" cap="none" sz="1100" b="0" i="0" u="none" baseline="0">
                <a:latin typeface="돋움"/>
                <a:ea typeface="돋움"/>
                <a:cs typeface="돋움"/>
              </a:rPr>
              <a:t>
</a:t>
            </a:r>
          </a:p>
        </xdr:txBody>
      </xdr:sp>
      <xdr:sp>
        <xdr:nvSpPr>
          <xdr:cNvPr id="21" name="AutoShape 22"/>
          <xdr:cNvSpPr>
            <a:spLocks/>
          </xdr:cNvSpPr>
        </xdr:nvSpPr>
        <xdr:spPr>
          <a:xfrm>
            <a:off x="438" y="3439"/>
            <a:ext cx="140" cy="20"/>
          </a:xfrm>
          <a:prstGeom prst="flowChartProcess">
            <a:avLst/>
          </a:prstGeom>
          <a:noFill/>
          <a:ln w="9525" cmpd="sng">
            <a:solidFill>
              <a:srgbClr val="000000"/>
            </a:solidFill>
            <a:headEnd type="none"/>
            <a:tailEnd type="none"/>
          </a:ln>
        </xdr:spPr>
        <xdr:txBody>
          <a:bodyPr vertOverflow="clip" wrap="square"/>
          <a:p>
            <a:pPr algn="l">
              <a:defRPr/>
            </a:pPr>
            <a:r>
              <a:rPr lang="en-US" cap="none" sz="1100" b="0" i="0" u="none" baseline="0">
                <a:latin typeface="돋움"/>
                <a:ea typeface="돋움"/>
                <a:cs typeface="돋움"/>
              </a:rPr>
              <a:t>   </a:t>
            </a:r>
            <a:r>
              <a:rPr lang="en-US" cap="none" sz="900" b="0" i="0" u="none" baseline="0">
                <a:latin typeface="돋움"/>
                <a:ea typeface="돋움"/>
                <a:cs typeface="돋움"/>
              </a:rPr>
              <a:t>必要</a:t>
            </a:r>
            <a:r>
              <a:rPr lang="en-US" cap="none" sz="900" b="0" i="0" u="none" baseline="0"/>
              <a:t>鉄筋量の算出</a:t>
            </a:r>
            <a:r>
              <a:rPr lang="en-US" cap="none" sz="900" b="0" i="0" u="none" baseline="0">
                <a:latin typeface="돋움"/>
                <a:ea typeface="돋움"/>
                <a:cs typeface="돋움"/>
              </a:rPr>
              <a:t>
</a:t>
            </a:r>
            <a:r>
              <a:rPr lang="en-US" cap="none" sz="1100" b="0" i="0" u="none" baseline="0">
                <a:latin typeface="돋움"/>
                <a:ea typeface="돋움"/>
                <a:cs typeface="돋움"/>
              </a:rPr>
              <a:t>
</a:t>
            </a:r>
          </a:p>
        </xdr:txBody>
      </xdr:sp>
      <xdr:sp>
        <xdr:nvSpPr>
          <xdr:cNvPr id="22" name="AutoShape 23"/>
          <xdr:cNvSpPr>
            <a:spLocks/>
          </xdr:cNvSpPr>
        </xdr:nvSpPr>
        <xdr:spPr>
          <a:xfrm>
            <a:off x="438" y="3476"/>
            <a:ext cx="140" cy="20"/>
          </a:xfrm>
          <a:prstGeom prst="flowChartProcess">
            <a:avLst/>
          </a:prstGeom>
          <a:noFill/>
          <a:ln w="9525" cmpd="sng">
            <a:solidFill>
              <a:srgbClr val="000000"/>
            </a:solidFill>
            <a:headEnd type="none"/>
            <a:tailEnd type="none"/>
          </a:ln>
        </xdr:spPr>
        <xdr:txBody>
          <a:bodyPr vertOverflow="clip" wrap="square"/>
          <a:p>
            <a:pPr algn="l">
              <a:defRPr/>
            </a:pPr>
            <a:r>
              <a:rPr lang="en-US" cap="none" sz="1100" b="0" i="0" u="none" baseline="0">
                <a:latin typeface="돋움"/>
                <a:ea typeface="돋움"/>
                <a:cs typeface="돋움"/>
              </a:rPr>
              <a:t>  </a:t>
            </a:r>
            <a:r>
              <a:rPr lang="en-US" cap="none" sz="900" b="0" i="0" u="none" baseline="0"/>
              <a:t>RC断面としての照査</a:t>
            </a:r>
            <a:r>
              <a:rPr lang="en-US" cap="none" sz="1100" b="0" i="0" u="none" baseline="0">
                <a:latin typeface="돋움"/>
                <a:ea typeface="돋움"/>
                <a:cs typeface="돋움"/>
              </a:rPr>
              <a:t>     </a:t>
            </a:r>
            <a:r>
              <a:rPr lang="en-US" cap="none" sz="900" b="0" i="0" u="none" baseline="0">
                <a:latin typeface="돋움"/>
                <a:ea typeface="돋움"/>
                <a:cs typeface="돋움"/>
              </a:rPr>
              <a:t>
</a:t>
            </a:r>
            <a:r>
              <a:rPr lang="en-US" cap="none" sz="1100" b="0" i="0" u="none" baseline="0">
                <a:latin typeface="돋움"/>
                <a:ea typeface="돋움"/>
                <a:cs typeface="돋움"/>
              </a:rPr>
              <a:t>
RC단면으로서의 검토</a:t>
            </a:r>
          </a:p>
        </xdr:txBody>
      </xdr:sp>
      <xdr:sp>
        <xdr:nvSpPr>
          <xdr:cNvPr id="23" name="AutoShape 24"/>
          <xdr:cNvSpPr>
            <a:spLocks/>
          </xdr:cNvSpPr>
        </xdr:nvSpPr>
        <xdr:spPr>
          <a:xfrm>
            <a:off x="438" y="3516"/>
            <a:ext cx="140" cy="20"/>
          </a:xfrm>
          <a:prstGeom prst="flowChartProcess">
            <a:avLst/>
          </a:prstGeom>
          <a:noFill/>
          <a:ln w="9525" cmpd="sng">
            <a:solidFill>
              <a:srgbClr val="000000"/>
            </a:solidFill>
            <a:headEnd type="none"/>
            <a:tailEnd type="none"/>
          </a:ln>
        </xdr:spPr>
        <xdr:txBody>
          <a:bodyPr vertOverflow="clip" wrap="square"/>
          <a:p>
            <a:pPr algn="l">
              <a:defRPr/>
            </a:pPr>
            <a:r>
              <a:rPr lang="en-US" cap="none" sz="900" b="0" i="0" u="none" baseline="0"/>
              <a:t>曲げひび割れ幅の照査
</a:t>
            </a:r>
            <a:r>
              <a:rPr lang="en-US" cap="none" sz="1100" b="0" i="0" u="none" baseline="0">
                <a:latin typeface="돋움"/>
                <a:ea typeface="돋움"/>
                <a:cs typeface="돋움"/>
              </a:rPr>
              <a:t>
     </a:t>
            </a:r>
            <a:r>
              <a:rPr lang="en-US" cap="none" sz="900" b="0" i="0" u="none" baseline="0">
                <a:latin typeface="돋움"/>
                <a:ea typeface="돋움"/>
                <a:cs typeface="돋움"/>
              </a:rPr>
              <a:t>
</a:t>
            </a:r>
            <a:r>
              <a:rPr lang="en-US" cap="none" sz="1100" b="0" i="0" u="none" baseline="0">
                <a:latin typeface="돋움"/>
                <a:ea typeface="돋움"/>
                <a:cs typeface="돋움"/>
              </a:rPr>
              <a:t>
RC단면으로서의 검토</a:t>
            </a:r>
          </a:p>
        </xdr:txBody>
      </xdr:sp>
      <xdr:sp>
        <xdr:nvSpPr>
          <xdr:cNvPr id="24" name="AutoShape 25"/>
          <xdr:cNvSpPr>
            <a:spLocks/>
          </xdr:cNvSpPr>
        </xdr:nvSpPr>
        <xdr:spPr>
          <a:xfrm>
            <a:off x="62" y="3381"/>
            <a:ext cx="132" cy="38"/>
          </a:xfrm>
          <a:prstGeom prst="flowChartProcess">
            <a:avLst/>
          </a:prstGeom>
          <a:noFill/>
          <a:ln w="9525" cmpd="sng">
            <a:solidFill>
              <a:srgbClr val="000000"/>
            </a:solidFill>
            <a:headEnd type="none"/>
            <a:tailEnd type="none"/>
          </a:ln>
        </xdr:spPr>
        <xdr:txBody>
          <a:bodyPr vertOverflow="clip" wrap="square"/>
          <a:p>
            <a:pPr algn="ctr">
              <a:defRPr/>
            </a:pPr>
            <a:r>
              <a:rPr lang="en-US" cap="none" sz="1100" b="0" i="0" u="none" baseline="0">
                <a:latin typeface="돋움"/>
                <a:ea typeface="돋움"/>
                <a:cs typeface="돋움"/>
              </a:rPr>
              <a:t>  </a:t>
            </a:r>
            <a:r>
              <a:rPr lang="en-US" cap="none" sz="900" b="0" i="0" u="none" baseline="0">
                <a:latin typeface="돋움"/>
                <a:ea typeface="돋움"/>
                <a:cs typeface="돋움"/>
              </a:rPr>
              <a:t>引張</a:t>
            </a:r>
            <a:r>
              <a:rPr lang="en-US" cap="none" sz="900" b="0" i="0" u="none" baseline="0"/>
              <a:t>応力発生限界</a:t>
            </a:r>
            <a:r>
              <a:rPr lang="en-US" cap="none" sz="900" b="0" i="0" u="none" baseline="0">
                <a:latin typeface="돋움"/>
                <a:ea typeface="돋움"/>
                <a:cs typeface="돋움"/>
              </a:rPr>
              <a:t>     　　(死荷重時)
</a:t>
            </a:r>
            <a:r>
              <a:rPr lang="en-US" cap="none" sz="1100" b="0" i="0" u="none" baseline="0">
                <a:latin typeface="돋움"/>
                <a:ea typeface="돋움"/>
                <a:cs typeface="돋움"/>
              </a:rPr>
              <a:t>
</a:t>
            </a:r>
          </a:p>
        </xdr:txBody>
      </xdr:sp>
      <xdr:sp>
        <xdr:nvSpPr>
          <xdr:cNvPr id="25" name="AutoShape 26"/>
          <xdr:cNvSpPr>
            <a:spLocks/>
          </xdr:cNvSpPr>
        </xdr:nvSpPr>
        <xdr:spPr>
          <a:xfrm>
            <a:off x="62" y="3476"/>
            <a:ext cx="132" cy="21"/>
          </a:xfrm>
          <a:prstGeom prst="flowChartProcess">
            <a:avLst/>
          </a:prstGeom>
          <a:noFill/>
          <a:ln w="9525" cmpd="sng">
            <a:solidFill>
              <a:srgbClr val="000000"/>
            </a:solidFill>
            <a:headEnd type="none"/>
            <a:tailEnd type="none"/>
          </a:ln>
        </xdr:spPr>
        <xdr:txBody>
          <a:bodyPr vertOverflow="clip" wrap="square"/>
          <a:p>
            <a:pPr algn="l">
              <a:defRPr/>
            </a:pPr>
            <a:r>
              <a:rPr lang="en-US" cap="none" sz="1100" b="0" i="0" u="none" baseline="0">
                <a:latin typeface="돋움"/>
                <a:ea typeface="돋움"/>
                <a:cs typeface="돋움"/>
              </a:rPr>
              <a:t>   </a:t>
            </a:r>
            <a:r>
              <a:rPr lang="en-US" cap="none" sz="900" b="0" i="0" u="none" baseline="0">
                <a:latin typeface="돋움"/>
                <a:ea typeface="돋움"/>
                <a:cs typeface="돋움"/>
              </a:rPr>
              <a:t>最小</a:t>
            </a:r>
            <a:r>
              <a:rPr lang="en-US" cap="none" sz="900" b="0" i="0" u="none" baseline="0"/>
              <a:t>鉄筋量の照査</a:t>
            </a:r>
            <a:r>
              <a:rPr lang="en-US" cap="none" sz="900" b="0" i="0" u="none" baseline="0">
                <a:latin typeface="돋움"/>
                <a:ea typeface="돋움"/>
                <a:cs typeface="돋움"/>
              </a:rPr>
              <a:t>
</a:t>
            </a:r>
            <a:r>
              <a:rPr lang="en-US" cap="none" sz="1100" b="0" i="0" u="none" baseline="0">
                <a:latin typeface="돋움"/>
                <a:ea typeface="돋움"/>
                <a:cs typeface="돋움"/>
              </a:rPr>
              <a:t>
</a:t>
            </a:r>
          </a:p>
        </xdr:txBody>
      </xdr:sp>
      <xdr:sp>
        <xdr:nvSpPr>
          <xdr:cNvPr id="26" name="AutoShape 27"/>
          <xdr:cNvSpPr>
            <a:spLocks/>
          </xdr:cNvSpPr>
        </xdr:nvSpPr>
        <xdr:spPr>
          <a:xfrm>
            <a:off x="276" y="3671"/>
            <a:ext cx="87" cy="32"/>
          </a:xfrm>
          <a:prstGeom prst="flowChartTerminator">
            <a:avLst/>
          </a:prstGeom>
          <a:noFill/>
          <a:ln w="9525" cmpd="sng">
            <a:solidFill>
              <a:srgbClr val="000000"/>
            </a:solidFill>
            <a:headEnd type="none"/>
            <a:tailEnd type="none"/>
          </a:ln>
        </xdr:spPr>
        <xdr:txBody>
          <a:bodyPr vertOverflow="clip" wrap="square"/>
          <a:p>
            <a:pPr algn="l">
              <a:defRPr/>
            </a:pPr>
            <a:r>
              <a:rPr lang="en-US" cap="none" sz="1100" b="0" i="0" u="none" baseline="0">
                <a:latin typeface="돋움"/>
                <a:ea typeface="돋움"/>
                <a:cs typeface="돋움"/>
              </a:rPr>
              <a:t>     </a:t>
            </a:r>
            <a:r>
              <a:rPr lang="en-US" cap="none" sz="900" b="0" i="0" u="none" baseline="0">
                <a:latin typeface="돋움"/>
                <a:ea typeface="돋움"/>
                <a:cs typeface="돋움"/>
              </a:rPr>
              <a:t>END</a:t>
            </a:r>
          </a:p>
        </xdr:txBody>
      </xdr:sp>
      <xdr:sp>
        <xdr:nvSpPr>
          <xdr:cNvPr id="27" name="Line 28"/>
          <xdr:cNvSpPr>
            <a:spLocks/>
          </xdr:cNvSpPr>
        </xdr:nvSpPr>
        <xdr:spPr>
          <a:xfrm>
            <a:off x="313" y="2940"/>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28" name="Line 29"/>
          <xdr:cNvSpPr>
            <a:spLocks/>
          </xdr:cNvSpPr>
        </xdr:nvSpPr>
        <xdr:spPr>
          <a:xfrm>
            <a:off x="313" y="3001"/>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29" name="Line 30"/>
          <xdr:cNvSpPr>
            <a:spLocks/>
          </xdr:cNvSpPr>
        </xdr:nvSpPr>
        <xdr:spPr>
          <a:xfrm>
            <a:off x="313" y="3082"/>
            <a:ext cx="0" cy="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0" name="Line 31"/>
          <xdr:cNvSpPr>
            <a:spLocks/>
          </xdr:cNvSpPr>
        </xdr:nvSpPr>
        <xdr:spPr>
          <a:xfrm>
            <a:off x="313" y="3126"/>
            <a:ext cx="0"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1" name="Line 32"/>
          <xdr:cNvSpPr>
            <a:spLocks/>
          </xdr:cNvSpPr>
        </xdr:nvSpPr>
        <xdr:spPr>
          <a:xfrm>
            <a:off x="313" y="3211"/>
            <a:ext cx="0" cy="3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2" name="Line 33"/>
          <xdr:cNvSpPr>
            <a:spLocks/>
          </xdr:cNvSpPr>
        </xdr:nvSpPr>
        <xdr:spPr>
          <a:xfrm>
            <a:off x="313" y="3301"/>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3" name="Line 34"/>
          <xdr:cNvSpPr>
            <a:spLocks/>
          </xdr:cNvSpPr>
        </xdr:nvSpPr>
        <xdr:spPr>
          <a:xfrm>
            <a:off x="313" y="3347"/>
            <a:ext cx="0" cy="3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4" name="Line 35"/>
          <xdr:cNvSpPr>
            <a:spLocks/>
          </xdr:cNvSpPr>
        </xdr:nvSpPr>
        <xdr:spPr>
          <a:xfrm>
            <a:off x="313" y="3419"/>
            <a:ext cx="0" cy="6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5" name="Line 36"/>
          <xdr:cNvSpPr>
            <a:spLocks/>
          </xdr:cNvSpPr>
        </xdr:nvSpPr>
        <xdr:spPr>
          <a:xfrm>
            <a:off x="313" y="3499"/>
            <a:ext cx="0" cy="6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6" name="Line 37"/>
          <xdr:cNvSpPr>
            <a:spLocks/>
          </xdr:cNvSpPr>
        </xdr:nvSpPr>
        <xdr:spPr>
          <a:xfrm>
            <a:off x="313" y="3583"/>
            <a:ext cx="0" cy="2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7" name="Line 38"/>
          <xdr:cNvSpPr>
            <a:spLocks/>
          </xdr:cNvSpPr>
        </xdr:nvSpPr>
        <xdr:spPr>
          <a:xfrm>
            <a:off x="313" y="3643"/>
            <a:ext cx="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8" name="Line 39"/>
          <xdr:cNvSpPr>
            <a:spLocks/>
          </xdr:cNvSpPr>
        </xdr:nvSpPr>
        <xdr:spPr>
          <a:xfrm>
            <a:off x="128" y="3419"/>
            <a:ext cx="0" cy="5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9" name="Line 40"/>
          <xdr:cNvSpPr>
            <a:spLocks/>
          </xdr:cNvSpPr>
        </xdr:nvSpPr>
        <xdr:spPr>
          <a:xfrm>
            <a:off x="504" y="3419"/>
            <a:ext cx="1"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40" name="Line 41"/>
          <xdr:cNvSpPr>
            <a:spLocks/>
          </xdr:cNvSpPr>
        </xdr:nvSpPr>
        <xdr:spPr>
          <a:xfrm>
            <a:off x="505" y="3459"/>
            <a:ext cx="1" cy="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41" name="Line 42"/>
          <xdr:cNvSpPr>
            <a:spLocks/>
          </xdr:cNvSpPr>
        </xdr:nvSpPr>
        <xdr:spPr>
          <a:xfrm>
            <a:off x="128" y="3362"/>
            <a:ext cx="3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2" name="Line 43"/>
          <xdr:cNvSpPr>
            <a:spLocks/>
          </xdr:cNvSpPr>
        </xdr:nvSpPr>
        <xdr:spPr>
          <a:xfrm>
            <a:off x="128" y="3362"/>
            <a:ext cx="0"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43" name="Line 44"/>
          <xdr:cNvSpPr>
            <a:spLocks/>
          </xdr:cNvSpPr>
        </xdr:nvSpPr>
        <xdr:spPr>
          <a:xfrm>
            <a:off x="504" y="3362"/>
            <a:ext cx="0"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44" name="Line 45"/>
          <xdr:cNvSpPr>
            <a:spLocks/>
          </xdr:cNvSpPr>
        </xdr:nvSpPr>
        <xdr:spPr>
          <a:xfrm flipV="1">
            <a:off x="507" y="3536"/>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5" name="Line 46"/>
          <xdr:cNvSpPr>
            <a:spLocks/>
          </xdr:cNvSpPr>
        </xdr:nvSpPr>
        <xdr:spPr>
          <a:xfrm>
            <a:off x="505" y="3496"/>
            <a:ext cx="0"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46" name="Line 47"/>
          <xdr:cNvSpPr>
            <a:spLocks/>
          </xdr:cNvSpPr>
        </xdr:nvSpPr>
        <xdr:spPr>
          <a:xfrm>
            <a:off x="128" y="3498"/>
            <a:ext cx="0"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7" name="Line 48"/>
          <xdr:cNvSpPr>
            <a:spLocks/>
          </xdr:cNvSpPr>
        </xdr:nvSpPr>
        <xdr:spPr>
          <a:xfrm>
            <a:off x="128" y="3545"/>
            <a:ext cx="3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3</xdr:col>
      <xdr:colOff>0</xdr:colOff>
      <xdr:row>5</xdr:row>
      <xdr:rowOff>114300</xdr:rowOff>
    </xdr:from>
    <xdr:to>
      <xdr:col>18</xdr:col>
      <xdr:colOff>9525</xdr:colOff>
      <xdr:row>6</xdr:row>
      <xdr:rowOff>142875</xdr:rowOff>
    </xdr:to>
    <xdr:grpSp>
      <xdr:nvGrpSpPr>
        <xdr:cNvPr id="48" name="Group 49"/>
        <xdr:cNvGrpSpPr>
          <a:grpSpLocks/>
        </xdr:cNvGrpSpPr>
      </xdr:nvGrpSpPr>
      <xdr:grpSpPr>
        <a:xfrm>
          <a:off x="457200" y="1352550"/>
          <a:ext cx="2295525" cy="276225"/>
          <a:chOff x="48" y="2688"/>
          <a:chExt cx="241" cy="29"/>
        </a:xfrm>
        <a:solidFill>
          <a:srgbClr val="FFFFFF"/>
        </a:solidFill>
      </xdr:grpSpPr>
      <xdr:sp>
        <xdr:nvSpPr>
          <xdr:cNvPr id="49" name="Line 50"/>
          <xdr:cNvSpPr>
            <a:spLocks/>
          </xdr:cNvSpPr>
        </xdr:nvSpPr>
        <xdr:spPr>
          <a:xfrm>
            <a:off x="48" y="2702"/>
            <a:ext cx="2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0" name="Line 51"/>
          <xdr:cNvSpPr>
            <a:spLocks/>
          </xdr:cNvSpPr>
        </xdr:nvSpPr>
        <xdr:spPr>
          <a:xfrm flipH="1">
            <a:off x="86" y="2691"/>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1" name="Line 52"/>
          <xdr:cNvSpPr>
            <a:spLocks/>
          </xdr:cNvSpPr>
        </xdr:nvSpPr>
        <xdr:spPr>
          <a:xfrm flipH="1">
            <a:off x="240" y="2713"/>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2" name="Line 53"/>
          <xdr:cNvSpPr>
            <a:spLocks/>
          </xdr:cNvSpPr>
        </xdr:nvSpPr>
        <xdr:spPr>
          <a:xfrm flipH="1">
            <a:off x="86" y="2696"/>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3" name="Line 54"/>
          <xdr:cNvSpPr>
            <a:spLocks/>
          </xdr:cNvSpPr>
        </xdr:nvSpPr>
        <xdr:spPr>
          <a:xfrm flipH="1">
            <a:off x="86" y="270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4" name="Line 55"/>
          <xdr:cNvSpPr>
            <a:spLocks/>
          </xdr:cNvSpPr>
        </xdr:nvSpPr>
        <xdr:spPr>
          <a:xfrm flipH="1">
            <a:off x="240" y="2691"/>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5" name="Line 56"/>
          <xdr:cNvSpPr>
            <a:spLocks/>
          </xdr:cNvSpPr>
        </xdr:nvSpPr>
        <xdr:spPr>
          <a:xfrm flipH="1">
            <a:off x="240" y="2696"/>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6" name="Line 57"/>
          <xdr:cNvSpPr>
            <a:spLocks/>
          </xdr:cNvSpPr>
        </xdr:nvSpPr>
        <xdr:spPr>
          <a:xfrm flipH="1">
            <a:off x="240" y="270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7" name="Line 58"/>
          <xdr:cNvSpPr>
            <a:spLocks/>
          </xdr:cNvSpPr>
        </xdr:nvSpPr>
        <xdr:spPr>
          <a:xfrm flipH="1">
            <a:off x="86" y="2713"/>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8" name="Line 59"/>
          <xdr:cNvSpPr>
            <a:spLocks/>
          </xdr:cNvSpPr>
        </xdr:nvSpPr>
        <xdr:spPr>
          <a:xfrm>
            <a:off x="96" y="2689"/>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9" name="Line 60"/>
          <xdr:cNvSpPr>
            <a:spLocks/>
          </xdr:cNvSpPr>
        </xdr:nvSpPr>
        <xdr:spPr>
          <a:xfrm>
            <a:off x="240" y="2688"/>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0</xdr:colOff>
      <xdr:row>6</xdr:row>
      <xdr:rowOff>0</xdr:rowOff>
    </xdr:from>
    <xdr:to>
      <xdr:col>38</xdr:col>
      <xdr:colOff>9525</xdr:colOff>
      <xdr:row>6</xdr:row>
      <xdr:rowOff>114300</xdr:rowOff>
    </xdr:to>
    <xdr:grpSp>
      <xdr:nvGrpSpPr>
        <xdr:cNvPr id="60" name="Group 61"/>
        <xdr:cNvGrpSpPr>
          <a:grpSpLocks/>
        </xdr:cNvGrpSpPr>
      </xdr:nvGrpSpPr>
      <xdr:grpSpPr>
        <a:xfrm>
          <a:off x="3505200" y="1485900"/>
          <a:ext cx="2295525" cy="114300"/>
          <a:chOff x="368" y="2702"/>
          <a:chExt cx="241" cy="12"/>
        </a:xfrm>
        <a:solidFill>
          <a:srgbClr val="FFFFFF"/>
        </a:solidFill>
      </xdr:grpSpPr>
      <xdr:sp>
        <xdr:nvSpPr>
          <xdr:cNvPr id="61" name="Line 62"/>
          <xdr:cNvSpPr>
            <a:spLocks/>
          </xdr:cNvSpPr>
        </xdr:nvSpPr>
        <xdr:spPr>
          <a:xfrm>
            <a:off x="368" y="2702"/>
            <a:ext cx="2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2" name="AutoShape 63"/>
          <xdr:cNvSpPr>
            <a:spLocks/>
          </xdr:cNvSpPr>
        </xdr:nvSpPr>
        <xdr:spPr>
          <a:xfrm>
            <a:off x="555" y="2702"/>
            <a:ext cx="11" cy="12"/>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3" name="AutoShape 64"/>
          <xdr:cNvSpPr>
            <a:spLocks/>
          </xdr:cNvSpPr>
        </xdr:nvSpPr>
        <xdr:spPr>
          <a:xfrm>
            <a:off x="411" y="2702"/>
            <a:ext cx="11" cy="12"/>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0</xdr:row>
      <xdr:rowOff>0</xdr:rowOff>
    </xdr:from>
    <xdr:to>
      <xdr:col>27</xdr:col>
      <xdr:colOff>9525</xdr:colOff>
      <xdr:row>0</xdr:row>
      <xdr:rowOff>0</xdr:rowOff>
    </xdr:to>
    <xdr:sp>
      <xdr:nvSpPr>
        <xdr:cNvPr id="1" name="Drawing 21"/>
        <xdr:cNvSpPr>
          <a:spLocks/>
        </xdr:cNvSpPr>
      </xdr:nvSpPr>
      <xdr:spPr>
        <a:xfrm>
          <a:off x="2400300" y="0"/>
          <a:ext cx="1724025" cy="0"/>
        </a:xfrm>
        <a:custGeom>
          <a:pathLst>
            <a:path h="16384" w="16384">
              <a:moveTo>
                <a:pt x="0" y="13435"/>
              </a:moveTo>
              <a:lnTo>
                <a:pt x="634" y="16384"/>
              </a:lnTo>
              <a:lnTo>
                <a:pt x="1810" y="0"/>
              </a:lnTo>
              <a:lnTo>
                <a:pt x="1638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2" name="Oval 3"/>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3" name="Oval 4"/>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4" name="Oval 5"/>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5" name="Oval 6"/>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9</xdr:col>
      <xdr:colOff>0</xdr:colOff>
      <xdr:row>0</xdr:row>
      <xdr:rowOff>0</xdr:rowOff>
    </xdr:from>
    <xdr:to>
      <xdr:col>24</xdr:col>
      <xdr:colOff>0</xdr:colOff>
      <xdr:row>0</xdr:row>
      <xdr:rowOff>0</xdr:rowOff>
    </xdr:to>
    <xdr:sp>
      <xdr:nvSpPr>
        <xdr:cNvPr id="6" name="Line 7"/>
        <xdr:cNvSpPr>
          <a:spLocks/>
        </xdr:cNvSpPr>
      </xdr:nvSpPr>
      <xdr:spPr>
        <a:xfrm>
          <a:off x="1371600" y="0"/>
          <a:ext cx="2286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7" name="Oval 8"/>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3</xdr:col>
      <xdr:colOff>0</xdr:colOff>
      <xdr:row>0</xdr:row>
      <xdr:rowOff>0</xdr:rowOff>
    </xdr:from>
    <xdr:to>
      <xdr:col>18</xdr:col>
      <xdr:colOff>9525</xdr:colOff>
      <xdr:row>0</xdr:row>
      <xdr:rowOff>0</xdr:rowOff>
    </xdr:to>
    <xdr:grpSp>
      <xdr:nvGrpSpPr>
        <xdr:cNvPr id="8" name="Group 9"/>
        <xdr:cNvGrpSpPr>
          <a:grpSpLocks/>
        </xdr:cNvGrpSpPr>
      </xdr:nvGrpSpPr>
      <xdr:grpSpPr>
        <a:xfrm>
          <a:off x="457200" y="0"/>
          <a:ext cx="2295525" cy="0"/>
          <a:chOff x="48" y="2688"/>
          <a:chExt cx="241" cy="29"/>
        </a:xfrm>
        <a:solidFill>
          <a:srgbClr val="FFFFFF"/>
        </a:solidFill>
      </xdr:grpSpPr>
      <xdr:sp>
        <xdr:nvSpPr>
          <xdr:cNvPr id="9" name="Line 10"/>
          <xdr:cNvSpPr>
            <a:spLocks/>
          </xdr:cNvSpPr>
        </xdr:nvSpPr>
        <xdr:spPr>
          <a:xfrm>
            <a:off x="48" y="2702"/>
            <a:ext cx="2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 name="Line 11"/>
          <xdr:cNvSpPr>
            <a:spLocks/>
          </xdr:cNvSpPr>
        </xdr:nvSpPr>
        <xdr:spPr>
          <a:xfrm flipH="1">
            <a:off x="86" y="2691"/>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 name="Line 12"/>
          <xdr:cNvSpPr>
            <a:spLocks/>
          </xdr:cNvSpPr>
        </xdr:nvSpPr>
        <xdr:spPr>
          <a:xfrm flipH="1">
            <a:off x="240" y="2713"/>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 name="Line 13"/>
          <xdr:cNvSpPr>
            <a:spLocks/>
          </xdr:cNvSpPr>
        </xdr:nvSpPr>
        <xdr:spPr>
          <a:xfrm flipH="1">
            <a:off x="86" y="2696"/>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 name="Line 14"/>
          <xdr:cNvSpPr>
            <a:spLocks/>
          </xdr:cNvSpPr>
        </xdr:nvSpPr>
        <xdr:spPr>
          <a:xfrm flipH="1">
            <a:off x="86" y="270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 name="Line 15"/>
          <xdr:cNvSpPr>
            <a:spLocks/>
          </xdr:cNvSpPr>
        </xdr:nvSpPr>
        <xdr:spPr>
          <a:xfrm flipH="1">
            <a:off x="240" y="2691"/>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 name="Line 16"/>
          <xdr:cNvSpPr>
            <a:spLocks/>
          </xdr:cNvSpPr>
        </xdr:nvSpPr>
        <xdr:spPr>
          <a:xfrm flipH="1">
            <a:off x="240" y="2696"/>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 name="Line 17"/>
          <xdr:cNvSpPr>
            <a:spLocks/>
          </xdr:cNvSpPr>
        </xdr:nvSpPr>
        <xdr:spPr>
          <a:xfrm flipH="1">
            <a:off x="240" y="270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 name="Line 18"/>
          <xdr:cNvSpPr>
            <a:spLocks/>
          </xdr:cNvSpPr>
        </xdr:nvSpPr>
        <xdr:spPr>
          <a:xfrm flipH="1">
            <a:off x="86" y="2713"/>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 name="Line 19"/>
          <xdr:cNvSpPr>
            <a:spLocks/>
          </xdr:cNvSpPr>
        </xdr:nvSpPr>
        <xdr:spPr>
          <a:xfrm>
            <a:off x="96" y="2689"/>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 name="Line 20"/>
          <xdr:cNvSpPr>
            <a:spLocks/>
          </xdr:cNvSpPr>
        </xdr:nvSpPr>
        <xdr:spPr>
          <a:xfrm>
            <a:off x="240" y="2688"/>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0</xdr:colOff>
      <xdr:row>0</xdr:row>
      <xdr:rowOff>0</xdr:rowOff>
    </xdr:from>
    <xdr:to>
      <xdr:col>38</xdr:col>
      <xdr:colOff>9525</xdr:colOff>
      <xdr:row>0</xdr:row>
      <xdr:rowOff>0</xdr:rowOff>
    </xdr:to>
    <xdr:grpSp>
      <xdr:nvGrpSpPr>
        <xdr:cNvPr id="20" name="Group 21"/>
        <xdr:cNvGrpSpPr>
          <a:grpSpLocks/>
        </xdr:cNvGrpSpPr>
      </xdr:nvGrpSpPr>
      <xdr:grpSpPr>
        <a:xfrm>
          <a:off x="3505200" y="0"/>
          <a:ext cx="2295525" cy="0"/>
          <a:chOff x="368" y="2702"/>
          <a:chExt cx="241" cy="12"/>
        </a:xfrm>
        <a:solidFill>
          <a:srgbClr val="FFFFFF"/>
        </a:solidFill>
      </xdr:grpSpPr>
      <xdr:sp>
        <xdr:nvSpPr>
          <xdr:cNvPr id="21" name="Line 22"/>
          <xdr:cNvSpPr>
            <a:spLocks/>
          </xdr:cNvSpPr>
        </xdr:nvSpPr>
        <xdr:spPr>
          <a:xfrm>
            <a:off x="368" y="2702"/>
            <a:ext cx="2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 name="AutoShape 23"/>
          <xdr:cNvSpPr>
            <a:spLocks/>
          </xdr:cNvSpPr>
        </xdr:nvSpPr>
        <xdr:spPr>
          <a:xfrm>
            <a:off x="555" y="2702"/>
            <a:ext cx="11" cy="12"/>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 name="AutoShape 24"/>
          <xdr:cNvSpPr>
            <a:spLocks/>
          </xdr:cNvSpPr>
        </xdr:nvSpPr>
        <xdr:spPr>
          <a:xfrm>
            <a:off x="411" y="2702"/>
            <a:ext cx="11" cy="12"/>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25</xdr:col>
      <xdr:colOff>133350</xdr:colOff>
      <xdr:row>444</xdr:row>
      <xdr:rowOff>47625</xdr:rowOff>
    </xdr:from>
    <xdr:to>
      <xdr:col>30</xdr:col>
      <xdr:colOff>0</xdr:colOff>
      <xdr:row>445</xdr:row>
      <xdr:rowOff>142875</xdr:rowOff>
    </xdr:to>
    <xdr:sp>
      <xdr:nvSpPr>
        <xdr:cNvPr id="24" name="AutoShape 25"/>
        <xdr:cNvSpPr>
          <a:spLocks/>
        </xdr:cNvSpPr>
      </xdr:nvSpPr>
      <xdr:spPr>
        <a:xfrm>
          <a:off x="3943350" y="11000422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26</xdr:col>
      <xdr:colOff>133350</xdr:colOff>
      <xdr:row>468</xdr:row>
      <xdr:rowOff>47625</xdr:rowOff>
    </xdr:from>
    <xdr:to>
      <xdr:col>31</xdr:col>
      <xdr:colOff>0</xdr:colOff>
      <xdr:row>469</xdr:row>
      <xdr:rowOff>142875</xdr:rowOff>
    </xdr:to>
    <xdr:sp>
      <xdr:nvSpPr>
        <xdr:cNvPr id="25" name="AutoShape 26"/>
        <xdr:cNvSpPr>
          <a:spLocks/>
        </xdr:cNvSpPr>
      </xdr:nvSpPr>
      <xdr:spPr>
        <a:xfrm>
          <a:off x="4095750" y="11594782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18</xdr:col>
      <xdr:colOff>66675</xdr:colOff>
      <xdr:row>256</xdr:row>
      <xdr:rowOff>95250</xdr:rowOff>
    </xdr:from>
    <xdr:to>
      <xdr:col>20</xdr:col>
      <xdr:colOff>47625</xdr:colOff>
      <xdr:row>258</xdr:row>
      <xdr:rowOff>114300</xdr:rowOff>
    </xdr:to>
    <xdr:sp>
      <xdr:nvSpPr>
        <xdr:cNvPr id="26" name="Line 27"/>
        <xdr:cNvSpPr>
          <a:spLocks/>
        </xdr:cNvSpPr>
      </xdr:nvSpPr>
      <xdr:spPr>
        <a:xfrm>
          <a:off x="2809875" y="63493650"/>
          <a:ext cx="285750" cy="5143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20</xdr:col>
      <xdr:colOff>47625</xdr:colOff>
      <xdr:row>258</xdr:row>
      <xdr:rowOff>114300</xdr:rowOff>
    </xdr:from>
    <xdr:to>
      <xdr:col>21</xdr:col>
      <xdr:colOff>104775</xdr:colOff>
      <xdr:row>258</xdr:row>
      <xdr:rowOff>114300</xdr:rowOff>
    </xdr:to>
    <xdr:sp>
      <xdr:nvSpPr>
        <xdr:cNvPr id="27" name="Line 28"/>
        <xdr:cNvSpPr>
          <a:spLocks/>
        </xdr:cNvSpPr>
      </xdr:nvSpPr>
      <xdr:spPr>
        <a:xfrm>
          <a:off x="3095625" y="640080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13</xdr:col>
      <xdr:colOff>66675</xdr:colOff>
      <xdr:row>238</xdr:row>
      <xdr:rowOff>123825</xdr:rowOff>
    </xdr:from>
    <xdr:to>
      <xdr:col>29</xdr:col>
      <xdr:colOff>142875</xdr:colOff>
      <xdr:row>243</xdr:row>
      <xdr:rowOff>114300</xdr:rowOff>
    </xdr:to>
    <xdr:grpSp>
      <xdr:nvGrpSpPr>
        <xdr:cNvPr id="28" name="Group 29"/>
        <xdr:cNvGrpSpPr>
          <a:grpSpLocks/>
        </xdr:cNvGrpSpPr>
      </xdr:nvGrpSpPr>
      <xdr:grpSpPr>
        <a:xfrm>
          <a:off x="2047875" y="59064525"/>
          <a:ext cx="2514600" cy="1228725"/>
          <a:chOff x="215" y="9549"/>
          <a:chExt cx="264" cy="129"/>
        </a:xfrm>
        <a:solidFill>
          <a:srgbClr val="FFFFFF"/>
        </a:solidFill>
      </xdr:grpSpPr>
      <xdr:sp>
        <xdr:nvSpPr>
          <xdr:cNvPr id="29" name="Rectangle 30"/>
          <xdr:cNvSpPr>
            <a:spLocks/>
          </xdr:cNvSpPr>
        </xdr:nvSpPr>
        <xdr:spPr>
          <a:xfrm>
            <a:off x="272" y="9577"/>
            <a:ext cx="144" cy="5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 name="Line 31"/>
          <xdr:cNvSpPr>
            <a:spLocks/>
          </xdr:cNvSpPr>
        </xdr:nvSpPr>
        <xdr:spPr>
          <a:xfrm>
            <a:off x="272" y="9632"/>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 name="Line 32"/>
          <xdr:cNvSpPr>
            <a:spLocks/>
          </xdr:cNvSpPr>
        </xdr:nvSpPr>
        <xdr:spPr>
          <a:xfrm>
            <a:off x="415" y="9632"/>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 name="Line 33"/>
          <xdr:cNvSpPr>
            <a:spLocks/>
          </xdr:cNvSpPr>
        </xdr:nvSpPr>
        <xdr:spPr>
          <a:xfrm>
            <a:off x="416" y="9633"/>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 name="Line 34"/>
          <xdr:cNvSpPr>
            <a:spLocks/>
          </xdr:cNvSpPr>
        </xdr:nvSpPr>
        <xdr:spPr>
          <a:xfrm>
            <a:off x="272" y="9655"/>
            <a:ext cx="144"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4" name="Line 35"/>
          <xdr:cNvSpPr>
            <a:spLocks/>
          </xdr:cNvSpPr>
        </xdr:nvSpPr>
        <xdr:spPr>
          <a:xfrm>
            <a:off x="420" y="957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 name="Line 36"/>
          <xdr:cNvSpPr>
            <a:spLocks/>
          </xdr:cNvSpPr>
        </xdr:nvSpPr>
        <xdr:spPr>
          <a:xfrm>
            <a:off x="420" y="9629"/>
            <a:ext cx="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 name="Line 37"/>
          <xdr:cNvSpPr>
            <a:spLocks/>
          </xdr:cNvSpPr>
        </xdr:nvSpPr>
        <xdr:spPr>
          <a:xfrm>
            <a:off x="256" y="9603"/>
            <a:ext cx="179"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 name="Line 38"/>
          <xdr:cNvSpPr>
            <a:spLocks/>
          </xdr:cNvSpPr>
        </xdr:nvSpPr>
        <xdr:spPr>
          <a:xfrm>
            <a:off x="432" y="9590"/>
            <a:ext cx="0" cy="1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돋움"/>
                <a:ea typeface="돋움"/>
                <a:cs typeface="돋움"/>
              </a:rPr>
              <a:t/>
            </a:r>
          </a:p>
        </xdr:txBody>
      </xdr:sp>
      <xdr:sp>
        <xdr:nvSpPr>
          <xdr:cNvPr id="38" name="Line 39"/>
          <xdr:cNvSpPr>
            <a:spLocks/>
          </xdr:cNvSpPr>
        </xdr:nvSpPr>
        <xdr:spPr>
          <a:xfrm>
            <a:off x="432" y="9603"/>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 name="Line 40"/>
          <xdr:cNvSpPr>
            <a:spLocks/>
          </xdr:cNvSpPr>
        </xdr:nvSpPr>
        <xdr:spPr>
          <a:xfrm>
            <a:off x="432" y="9612"/>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 name="Line 41"/>
          <xdr:cNvSpPr>
            <a:spLocks/>
          </xdr:cNvSpPr>
        </xdr:nvSpPr>
        <xdr:spPr>
          <a:xfrm>
            <a:off x="432" y="9613"/>
            <a:ext cx="0" cy="1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41" name="Line 42"/>
          <xdr:cNvSpPr>
            <a:spLocks/>
          </xdr:cNvSpPr>
        </xdr:nvSpPr>
        <xdr:spPr>
          <a:xfrm>
            <a:off x="464" y="9577"/>
            <a:ext cx="0" cy="5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42" name="Line 43"/>
          <xdr:cNvSpPr>
            <a:spLocks/>
          </xdr:cNvSpPr>
        </xdr:nvSpPr>
        <xdr:spPr>
          <a:xfrm flipH="1">
            <a:off x="382" y="9552"/>
            <a:ext cx="19" cy="62"/>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돋움"/>
                <a:ea typeface="돋움"/>
                <a:cs typeface="돋움"/>
              </a:rPr>
              <a:t/>
            </a:r>
          </a:p>
        </xdr:txBody>
      </xdr:sp>
      <xdr:sp>
        <xdr:nvSpPr>
          <xdr:cNvPr id="43" name="Line 44"/>
          <xdr:cNvSpPr>
            <a:spLocks/>
          </xdr:cNvSpPr>
        </xdr:nvSpPr>
        <xdr:spPr>
          <a:xfrm>
            <a:off x="418" y="9614"/>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4" name="Line 45"/>
          <xdr:cNvSpPr>
            <a:spLocks/>
          </xdr:cNvSpPr>
        </xdr:nvSpPr>
        <xdr:spPr>
          <a:xfrm>
            <a:off x="295" y="9624"/>
            <a:ext cx="30" cy="54"/>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돋움"/>
                <a:ea typeface="돋움"/>
                <a:cs typeface="돋움"/>
              </a:rPr>
              <a:t/>
            </a:r>
          </a:p>
        </xdr:txBody>
      </xdr:sp>
      <xdr:sp>
        <xdr:nvSpPr>
          <xdr:cNvPr id="45" name="Line 46"/>
          <xdr:cNvSpPr>
            <a:spLocks/>
          </xdr:cNvSpPr>
        </xdr:nvSpPr>
        <xdr:spPr>
          <a:xfrm>
            <a:off x="325" y="9678"/>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 name="AutoShape 47"/>
          <xdr:cNvSpPr>
            <a:spLocks/>
          </xdr:cNvSpPr>
        </xdr:nvSpPr>
        <xdr:spPr>
          <a:xfrm>
            <a:off x="276"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7" name="AutoShape 48"/>
          <xdr:cNvSpPr>
            <a:spLocks/>
          </xdr:cNvSpPr>
        </xdr:nvSpPr>
        <xdr:spPr>
          <a:xfrm>
            <a:off x="292"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8" name="AutoShape 49"/>
          <xdr:cNvSpPr>
            <a:spLocks/>
          </xdr:cNvSpPr>
        </xdr:nvSpPr>
        <xdr:spPr>
          <a:xfrm>
            <a:off x="308"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9" name="AutoShape 50"/>
          <xdr:cNvSpPr>
            <a:spLocks/>
          </xdr:cNvSpPr>
        </xdr:nvSpPr>
        <xdr:spPr>
          <a:xfrm>
            <a:off x="324"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0" name="AutoShape 51"/>
          <xdr:cNvSpPr>
            <a:spLocks/>
          </xdr:cNvSpPr>
        </xdr:nvSpPr>
        <xdr:spPr>
          <a:xfrm>
            <a:off x="340"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1" name="AutoShape 52"/>
          <xdr:cNvSpPr>
            <a:spLocks/>
          </xdr:cNvSpPr>
        </xdr:nvSpPr>
        <xdr:spPr>
          <a:xfrm>
            <a:off x="356"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2" name="AutoShape 53"/>
          <xdr:cNvSpPr>
            <a:spLocks/>
          </xdr:cNvSpPr>
        </xdr:nvSpPr>
        <xdr:spPr>
          <a:xfrm>
            <a:off x="372"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3" name="AutoShape 54"/>
          <xdr:cNvSpPr>
            <a:spLocks/>
          </xdr:cNvSpPr>
        </xdr:nvSpPr>
        <xdr:spPr>
          <a:xfrm>
            <a:off x="388"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4" name="AutoShape 55"/>
          <xdr:cNvSpPr>
            <a:spLocks/>
          </xdr:cNvSpPr>
        </xdr:nvSpPr>
        <xdr:spPr>
          <a:xfrm>
            <a:off x="404"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5" name="AutoShape 56"/>
          <xdr:cNvSpPr>
            <a:spLocks/>
          </xdr:cNvSpPr>
        </xdr:nvSpPr>
        <xdr:spPr>
          <a:xfrm>
            <a:off x="276"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6" name="AutoShape 57"/>
          <xdr:cNvSpPr>
            <a:spLocks/>
          </xdr:cNvSpPr>
        </xdr:nvSpPr>
        <xdr:spPr>
          <a:xfrm>
            <a:off x="292"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7" name="AutoShape 58"/>
          <xdr:cNvSpPr>
            <a:spLocks/>
          </xdr:cNvSpPr>
        </xdr:nvSpPr>
        <xdr:spPr>
          <a:xfrm>
            <a:off x="308"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8" name="AutoShape 59"/>
          <xdr:cNvSpPr>
            <a:spLocks/>
          </xdr:cNvSpPr>
        </xdr:nvSpPr>
        <xdr:spPr>
          <a:xfrm>
            <a:off x="324"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9" name="AutoShape 60"/>
          <xdr:cNvSpPr>
            <a:spLocks/>
          </xdr:cNvSpPr>
        </xdr:nvSpPr>
        <xdr:spPr>
          <a:xfrm>
            <a:off x="340"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0" name="AutoShape 61"/>
          <xdr:cNvSpPr>
            <a:spLocks/>
          </xdr:cNvSpPr>
        </xdr:nvSpPr>
        <xdr:spPr>
          <a:xfrm>
            <a:off x="356"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1" name="AutoShape 62"/>
          <xdr:cNvSpPr>
            <a:spLocks/>
          </xdr:cNvSpPr>
        </xdr:nvSpPr>
        <xdr:spPr>
          <a:xfrm>
            <a:off x="372"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2" name="AutoShape 63"/>
          <xdr:cNvSpPr>
            <a:spLocks/>
          </xdr:cNvSpPr>
        </xdr:nvSpPr>
        <xdr:spPr>
          <a:xfrm>
            <a:off x="388"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3" name="AutoShape 64"/>
          <xdr:cNvSpPr>
            <a:spLocks/>
          </xdr:cNvSpPr>
        </xdr:nvSpPr>
        <xdr:spPr>
          <a:xfrm>
            <a:off x="404"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4" name="Line 65"/>
          <xdr:cNvSpPr>
            <a:spLocks/>
          </xdr:cNvSpPr>
        </xdr:nvSpPr>
        <xdr:spPr>
          <a:xfrm>
            <a:off x="401" y="9551"/>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5" name="Line 66"/>
          <xdr:cNvSpPr>
            <a:spLocks/>
          </xdr:cNvSpPr>
        </xdr:nvSpPr>
        <xdr:spPr>
          <a:xfrm flipH="1">
            <a:off x="237" y="9577"/>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6" name="Line 67"/>
          <xdr:cNvSpPr>
            <a:spLocks/>
          </xdr:cNvSpPr>
        </xdr:nvSpPr>
        <xdr:spPr>
          <a:xfrm flipH="1">
            <a:off x="235" y="9629"/>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7" name="Line 68"/>
          <xdr:cNvSpPr>
            <a:spLocks/>
          </xdr:cNvSpPr>
        </xdr:nvSpPr>
        <xdr:spPr>
          <a:xfrm flipH="1">
            <a:off x="237" y="9588"/>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8" name="Line 69"/>
          <xdr:cNvSpPr>
            <a:spLocks/>
          </xdr:cNvSpPr>
        </xdr:nvSpPr>
        <xdr:spPr>
          <a:xfrm flipH="1">
            <a:off x="236" y="9620"/>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9" name="Line 70"/>
          <xdr:cNvSpPr>
            <a:spLocks/>
          </xdr:cNvSpPr>
        </xdr:nvSpPr>
        <xdr:spPr>
          <a:xfrm>
            <a:off x="240" y="9577"/>
            <a:ext cx="0" cy="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70" name="Line 71"/>
          <xdr:cNvSpPr>
            <a:spLocks/>
          </xdr:cNvSpPr>
        </xdr:nvSpPr>
        <xdr:spPr>
          <a:xfrm>
            <a:off x="240" y="9588"/>
            <a:ext cx="0" cy="3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71" name="Line 72"/>
          <xdr:cNvSpPr>
            <a:spLocks/>
          </xdr:cNvSpPr>
        </xdr:nvSpPr>
        <xdr:spPr>
          <a:xfrm>
            <a:off x="240" y="9619"/>
            <a:ext cx="0" cy="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72" name="Line 73"/>
          <xdr:cNvSpPr>
            <a:spLocks/>
          </xdr:cNvSpPr>
        </xdr:nvSpPr>
        <xdr:spPr>
          <a:xfrm flipH="1" flipV="1">
            <a:off x="262" y="9549"/>
            <a:ext cx="30" cy="38"/>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돋움"/>
                <a:ea typeface="돋움"/>
                <a:cs typeface="돋움"/>
              </a:rPr>
              <a:t/>
            </a:r>
          </a:p>
        </xdr:txBody>
      </xdr:sp>
      <xdr:sp>
        <xdr:nvSpPr>
          <xdr:cNvPr id="73" name="Line 74"/>
          <xdr:cNvSpPr>
            <a:spLocks/>
          </xdr:cNvSpPr>
        </xdr:nvSpPr>
        <xdr:spPr>
          <a:xfrm flipH="1">
            <a:off x="215" y="9549"/>
            <a:ext cx="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4" name="AutoShape 75"/>
          <xdr:cNvSpPr>
            <a:spLocks/>
          </xdr:cNvSpPr>
        </xdr:nvSpPr>
        <xdr:spPr>
          <a:xfrm>
            <a:off x="314" y="9612"/>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5" name="AutoShape 76"/>
          <xdr:cNvSpPr>
            <a:spLocks/>
          </xdr:cNvSpPr>
        </xdr:nvSpPr>
        <xdr:spPr>
          <a:xfrm>
            <a:off x="378" y="9612"/>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6" name="Line 77"/>
          <xdr:cNvSpPr>
            <a:spLocks/>
          </xdr:cNvSpPr>
        </xdr:nvSpPr>
        <xdr:spPr>
          <a:xfrm>
            <a:off x="288" y="9614"/>
            <a:ext cx="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7" name="AutoShape 78"/>
          <xdr:cNvSpPr>
            <a:spLocks/>
          </xdr:cNvSpPr>
        </xdr:nvSpPr>
        <xdr:spPr>
          <a:xfrm>
            <a:off x="314" y="9612"/>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8" name="AutoShape 79"/>
          <xdr:cNvSpPr>
            <a:spLocks/>
          </xdr:cNvSpPr>
        </xdr:nvSpPr>
        <xdr:spPr>
          <a:xfrm>
            <a:off x="378" y="9612"/>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9" name="Line 80"/>
          <xdr:cNvSpPr>
            <a:spLocks/>
          </xdr:cNvSpPr>
        </xdr:nvSpPr>
        <xdr:spPr>
          <a:xfrm>
            <a:off x="288" y="9614"/>
            <a:ext cx="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66675</xdr:colOff>
      <xdr:row>253</xdr:row>
      <xdr:rowOff>123825</xdr:rowOff>
    </xdr:from>
    <xdr:to>
      <xdr:col>29</xdr:col>
      <xdr:colOff>57150</xdr:colOff>
      <xdr:row>257</xdr:row>
      <xdr:rowOff>180975</xdr:rowOff>
    </xdr:to>
    <xdr:grpSp>
      <xdr:nvGrpSpPr>
        <xdr:cNvPr id="80" name="Group 81"/>
        <xdr:cNvGrpSpPr>
          <a:grpSpLocks/>
        </xdr:cNvGrpSpPr>
      </xdr:nvGrpSpPr>
      <xdr:grpSpPr>
        <a:xfrm>
          <a:off x="2047875" y="62779275"/>
          <a:ext cx="2428875" cy="1047750"/>
          <a:chOff x="215" y="9757"/>
          <a:chExt cx="255" cy="110"/>
        </a:xfrm>
        <a:solidFill>
          <a:srgbClr val="FFFFFF"/>
        </a:solidFill>
      </xdr:grpSpPr>
      <xdr:sp>
        <xdr:nvSpPr>
          <xdr:cNvPr id="81" name="Rectangle 82"/>
          <xdr:cNvSpPr>
            <a:spLocks/>
          </xdr:cNvSpPr>
        </xdr:nvSpPr>
        <xdr:spPr>
          <a:xfrm>
            <a:off x="272" y="9785"/>
            <a:ext cx="144" cy="5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2" name="Line 83"/>
          <xdr:cNvSpPr>
            <a:spLocks/>
          </xdr:cNvSpPr>
        </xdr:nvSpPr>
        <xdr:spPr>
          <a:xfrm>
            <a:off x="272" y="9840"/>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3" name="Line 84"/>
          <xdr:cNvSpPr>
            <a:spLocks/>
          </xdr:cNvSpPr>
        </xdr:nvSpPr>
        <xdr:spPr>
          <a:xfrm>
            <a:off x="415" y="984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4" name="Line 85"/>
          <xdr:cNvSpPr>
            <a:spLocks/>
          </xdr:cNvSpPr>
        </xdr:nvSpPr>
        <xdr:spPr>
          <a:xfrm>
            <a:off x="416" y="9841"/>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5" name="Line 86"/>
          <xdr:cNvSpPr>
            <a:spLocks/>
          </xdr:cNvSpPr>
        </xdr:nvSpPr>
        <xdr:spPr>
          <a:xfrm>
            <a:off x="272" y="9863"/>
            <a:ext cx="144"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86" name="Line 87"/>
          <xdr:cNvSpPr>
            <a:spLocks/>
          </xdr:cNvSpPr>
        </xdr:nvSpPr>
        <xdr:spPr>
          <a:xfrm>
            <a:off x="420" y="9785"/>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7" name="Line 88"/>
          <xdr:cNvSpPr>
            <a:spLocks/>
          </xdr:cNvSpPr>
        </xdr:nvSpPr>
        <xdr:spPr>
          <a:xfrm>
            <a:off x="420" y="9837"/>
            <a:ext cx="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8" name="Line 89"/>
          <xdr:cNvSpPr>
            <a:spLocks/>
          </xdr:cNvSpPr>
        </xdr:nvSpPr>
        <xdr:spPr>
          <a:xfrm>
            <a:off x="256" y="9811"/>
            <a:ext cx="179"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9" name="Line 90"/>
          <xdr:cNvSpPr>
            <a:spLocks/>
          </xdr:cNvSpPr>
        </xdr:nvSpPr>
        <xdr:spPr>
          <a:xfrm>
            <a:off x="432" y="9812"/>
            <a:ext cx="0" cy="13"/>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90" name="Line 91"/>
          <xdr:cNvSpPr>
            <a:spLocks/>
          </xdr:cNvSpPr>
        </xdr:nvSpPr>
        <xdr:spPr>
          <a:xfrm>
            <a:off x="432" y="980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1" name="Line 92"/>
          <xdr:cNvSpPr>
            <a:spLocks/>
          </xdr:cNvSpPr>
        </xdr:nvSpPr>
        <xdr:spPr>
          <a:xfrm>
            <a:off x="432" y="982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2" name="Line 93"/>
          <xdr:cNvSpPr>
            <a:spLocks/>
          </xdr:cNvSpPr>
        </xdr:nvSpPr>
        <xdr:spPr>
          <a:xfrm>
            <a:off x="432" y="9785"/>
            <a:ext cx="0" cy="1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93" name="Line 94"/>
          <xdr:cNvSpPr>
            <a:spLocks/>
          </xdr:cNvSpPr>
        </xdr:nvSpPr>
        <xdr:spPr>
          <a:xfrm>
            <a:off x="464" y="9785"/>
            <a:ext cx="0" cy="5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94" name="Line 95"/>
          <xdr:cNvSpPr>
            <a:spLocks/>
          </xdr:cNvSpPr>
        </xdr:nvSpPr>
        <xdr:spPr>
          <a:xfrm flipH="1">
            <a:off x="381" y="9759"/>
            <a:ext cx="11" cy="4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돋움"/>
                <a:ea typeface="돋움"/>
                <a:cs typeface="돋움"/>
              </a:rPr>
              <a:t/>
            </a:r>
          </a:p>
        </xdr:txBody>
      </xdr:sp>
      <xdr:sp>
        <xdr:nvSpPr>
          <xdr:cNvPr id="95" name="Line 96"/>
          <xdr:cNvSpPr>
            <a:spLocks/>
          </xdr:cNvSpPr>
        </xdr:nvSpPr>
        <xdr:spPr>
          <a:xfrm>
            <a:off x="418" y="9801"/>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6" name="AutoShape 97"/>
          <xdr:cNvSpPr>
            <a:spLocks/>
          </xdr:cNvSpPr>
        </xdr:nvSpPr>
        <xdr:spPr>
          <a:xfrm>
            <a:off x="276"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7" name="AutoShape 98"/>
          <xdr:cNvSpPr>
            <a:spLocks/>
          </xdr:cNvSpPr>
        </xdr:nvSpPr>
        <xdr:spPr>
          <a:xfrm>
            <a:off x="292"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8" name="AutoShape 99"/>
          <xdr:cNvSpPr>
            <a:spLocks/>
          </xdr:cNvSpPr>
        </xdr:nvSpPr>
        <xdr:spPr>
          <a:xfrm>
            <a:off x="308"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9" name="AutoShape 100"/>
          <xdr:cNvSpPr>
            <a:spLocks/>
          </xdr:cNvSpPr>
        </xdr:nvSpPr>
        <xdr:spPr>
          <a:xfrm>
            <a:off x="324"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0" name="AutoShape 101"/>
          <xdr:cNvSpPr>
            <a:spLocks/>
          </xdr:cNvSpPr>
        </xdr:nvSpPr>
        <xdr:spPr>
          <a:xfrm>
            <a:off x="340"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1" name="AutoShape 102"/>
          <xdr:cNvSpPr>
            <a:spLocks/>
          </xdr:cNvSpPr>
        </xdr:nvSpPr>
        <xdr:spPr>
          <a:xfrm>
            <a:off x="356"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2" name="AutoShape 103"/>
          <xdr:cNvSpPr>
            <a:spLocks/>
          </xdr:cNvSpPr>
        </xdr:nvSpPr>
        <xdr:spPr>
          <a:xfrm>
            <a:off x="372"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3" name="AutoShape 104"/>
          <xdr:cNvSpPr>
            <a:spLocks/>
          </xdr:cNvSpPr>
        </xdr:nvSpPr>
        <xdr:spPr>
          <a:xfrm>
            <a:off x="388"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4" name="AutoShape 105"/>
          <xdr:cNvSpPr>
            <a:spLocks/>
          </xdr:cNvSpPr>
        </xdr:nvSpPr>
        <xdr:spPr>
          <a:xfrm>
            <a:off x="404"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5" name="AutoShape 106"/>
          <xdr:cNvSpPr>
            <a:spLocks/>
          </xdr:cNvSpPr>
        </xdr:nvSpPr>
        <xdr:spPr>
          <a:xfrm>
            <a:off x="276"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6" name="AutoShape 107"/>
          <xdr:cNvSpPr>
            <a:spLocks/>
          </xdr:cNvSpPr>
        </xdr:nvSpPr>
        <xdr:spPr>
          <a:xfrm>
            <a:off x="292"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7" name="AutoShape 108"/>
          <xdr:cNvSpPr>
            <a:spLocks/>
          </xdr:cNvSpPr>
        </xdr:nvSpPr>
        <xdr:spPr>
          <a:xfrm>
            <a:off x="308"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8" name="AutoShape 109"/>
          <xdr:cNvSpPr>
            <a:spLocks/>
          </xdr:cNvSpPr>
        </xdr:nvSpPr>
        <xdr:spPr>
          <a:xfrm>
            <a:off x="324"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9" name="AutoShape 110"/>
          <xdr:cNvSpPr>
            <a:spLocks/>
          </xdr:cNvSpPr>
        </xdr:nvSpPr>
        <xdr:spPr>
          <a:xfrm>
            <a:off x="340"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0" name="AutoShape 111"/>
          <xdr:cNvSpPr>
            <a:spLocks/>
          </xdr:cNvSpPr>
        </xdr:nvSpPr>
        <xdr:spPr>
          <a:xfrm>
            <a:off x="356"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1" name="AutoShape 112"/>
          <xdr:cNvSpPr>
            <a:spLocks/>
          </xdr:cNvSpPr>
        </xdr:nvSpPr>
        <xdr:spPr>
          <a:xfrm>
            <a:off x="372"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2" name="AutoShape 113"/>
          <xdr:cNvSpPr>
            <a:spLocks/>
          </xdr:cNvSpPr>
        </xdr:nvSpPr>
        <xdr:spPr>
          <a:xfrm>
            <a:off x="388"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3" name="AutoShape 114"/>
          <xdr:cNvSpPr>
            <a:spLocks/>
          </xdr:cNvSpPr>
        </xdr:nvSpPr>
        <xdr:spPr>
          <a:xfrm>
            <a:off x="404"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4" name="Line 115"/>
          <xdr:cNvSpPr>
            <a:spLocks/>
          </xdr:cNvSpPr>
        </xdr:nvSpPr>
        <xdr:spPr>
          <a:xfrm>
            <a:off x="392" y="9759"/>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5" name="Line 116"/>
          <xdr:cNvSpPr>
            <a:spLocks/>
          </xdr:cNvSpPr>
        </xdr:nvSpPr>
        <xdr:spPr>
          <a:xfrm flipH="1">
            <a:off x="237" y="9785"/>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6" name="Line 117"/>
          <xdr:cNvSpPr>
            <a:spLocks/>
          </xdr:cNvSpPr>
        </xdr:nvSpPr>
        <xdr:spPr>
          <a:xfrm flipH="1">
            <a:off x="235" y="9837"/>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7" name="Line 118"/>
          <xdr:cNvSpPr>
            <a:spLocks/>
          </xdr:cNvSpPr>
        </xdr:nvSpPr>
        <xdr:spPr>
          <a:xfrm flipH="1">
            <a:off x="237" y="9796"/>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8" name="Line 119"/>
          <xdr:cNvSpPr>
            <a:spLocks/>
          </xdr:cNvSpPr>
        </xdr:nvSpPr>
        <xdr:spPr>
          <a:xfrm flipH="1">
            <a:off x="236" y="9828"/>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9" name="Line 120"/>
          <xdr:cNvSpPr>
            <a:spLocks/>
          </xdr:cNvSpPr>
        </xdr:nvSpPr>
        <xdr:spPr>
          <a:xfrm>
            <a:off x="240" y="9785"/>
            <a:ext cx="0" cy="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20" name="Line 121"/>
          <xdr:cNvSpPr>
            <a:spLocks/>
          </xdr:cNvSpPr>
        </xdr:nvSpPr>
        <xdr:spPr>
          <a:xfrm>
            <a:off x="240" y="9796"/>
            <a:ext cx="0" cy="3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21" name="Line 122"/>
          <xdr:cNvSpPr>
            <a:spLocks/>
          </xdr:cNvSpPr>
        </xdr:nvSpPr>
        <xdr:spPr>
          <a:xfrm>
            <a:off x="240" y="9827"/>
            <a:ext cx="0" cy="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22" name="Line 123"/>
          <xdr:cNvSpPr>
            <a:spLocks/>
          </xdr:cNvSpPr>
        </xdr:nvSpPr>
        <xdr:spPr>
          <a:xfrm flipH="1" flipV="1">
            <a:off x="262" y="9757"/>
            <a:ext cx="30" cy="38"/>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돋움"/>
                <a:ea typeface="돋움"/>
                <a:cs typeface="돋움"/>
              </a:rPr>
              <a:t/>
            </a:r>
          </a:p>
        </xdr:txBody>
      </xdr:sp>
      <xdr:sp>
        <xdr:nvSpPr>
          <xdr:cNvPr id="123" name="Line 124"/>
          <xdr:cNvSpPr>
            <a:spLocks/>
          </xdr:cNvSpPr>
        </xdr:nvSpPr>
        <xdr:spPr>
          <a:xfrm flipH="1">
            <a:off x="215" y="9757"/>
            <a:ext cx="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4" name="AutoShape 125"/>
          <xdr:cNvSpPr>
            <a:spLocks/>
          </xdr:cNvSpPr>
        </xdr:nvSpPr>
        <xdr:spPr>
          <a:xfrm>
            <a:off x="314" y="9799"/>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5" name="AutoShape 126"/>
          <xdr:cNvSpPr>
            <a:spLocks/>
          </xdr:cNvSpPr>
        </xdr:nvSpPr>
        <xdr:spPr>
          <a:xfrm>
            <a:off x="378" y="9799"/>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6" name="Line 127"/>
          <xdr:cNvSpPr>
            <a:spLocks/>
          </xdr:cNvSpPr>
        </xdr:nvSpPr>
        <xdr:spPr>
          <a:xfrm>
            <a:off x="288" y="9801"/>
            <a:ext cx="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29</xdr:col>
      <xdr:colOff>133350</xdr:colOff>
      <xdr:row>557</xdr:row>
      <xdr:rowOff>47625</xdr:rowOff>
    </xdr:from>
    <xdr:to>
      <xdr:col>34</xdr:col>
      <xdr:colOff>0</xdr:colOff>
      <xdr:row>558</xdr:row>
      <xdr:rowOff>142875</xdr:rowOff>
    </xdr:to>
    <xdr:sp>
      <xdr:nvSpPr>
        <xdr:cNvPr id="127" name="AutoShape 128"/>
        <xdr:cNvSpPr>
          <a:spLocks/>
        </xdr:cNvSpPr>
      </xdr:nvSpPr>
      <xdr:spPr>
        <a:xfrm>
          <a:off x="4552950" y="13798867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26</xdr:col>
      <xdr:colOff>133350</xdr:colOff>
      <xdr:row>631</xdr:row>
      <xdr:rowOff>47625</xdr:rowOff>
    </xdr:from>
    <xdr:to>
      <xdr:col>31</xdr:col>
      <xdr:colOff>0</xdr:colOff>
      <xdr:row>632</xdr:row>
      <xdr:rowOff>142875</xdr:rowOff>
    </xdr:to>
    <xdr:sp>
      <xdr:nvSpPr>
        <xdr:cNvPr id="128" name="AutoShape 129"/>
        <xdr:cNvSpPr>
          <a:spLocks/>
        </xdr:cNvSpPr>
      </xdr:nvSpPr>
      <xdr:spPr>
        <a:xfrm>
          <a:off x="4095750" y="15631477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10</xdr:col>
      <xdr:colOff>28575</xdr:colOff>
      <xdr:row>1026</xdr:row>
      <xdr:rowOff>85725</xdr:rowOff>
    </xdr:from>
    <xdr:to>
      <xdr:col>35</xdr:col>
      <xdr:colOff>114300</xdr:colOff>
      <xdr:row>1034</xdr:row>
      <xdr:rowOff>85725</xdr:rowOff>
    </xdr:to>
    <xdr:grpSp>
      <xdr:nvGrpSpPr>
        <xdr:cNvPr id="129" name="Group 130"/>
        <xdr:cNvGrpSpPr>
          <a:grpSpLocks/>
        </xdr:cNvGrpSpPr>
      </xdr:nvGrpSpPr>
      <xdr:grpSpPr>
        <a:xfrm>
          <a:off x="1552575" y="245259225"/>
          <a:ext cx="3895725" cy="1981200"/>
          <a:chOff x="163" y="24452"/>
          <a:chExt cx="409" cy="208"/>
        </a:xfrm>
        <a:solidFill>
          <a:srgbClr val="FFFFFF"/>
        </a:solidFill>
      </xdr:grpSpPr>
      <xdr:sp>
        <xdr:nvSpPr>
          <xdr:cNvPr id="130" name="Line 131"/>
          <xdr:cNvSpPr>
            <a:spLocks/>
          </xdr:cNvSpPr>
        </xdr:nvSpPr>
        <xdr:spPr>
          <a:xfrm>
            <a:off x="192" y="24454"/>
            <a:ext cx="0" cy="182"/>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131" name="Line 132"/>
          <xdr:cNvSpPr>
            <a:spLocks/>
          </xdr:cNvSpPr>
        </xdr:nvSpPr>
        <xdr:spPr>
          <a:xfrm>
            <a:off x="191" y="24636"/>
            <a:ext cx="33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돋움"/>
                <a:ea typeface="돋움"/>
                <a:cs typeface="돋움"/>
              </a:rPr>
              <a:t/>
            </a:r>
          </a:p>
        </xdr:txBody>
      </xdr:sp>
      <xdr:sp>
        <xdr:nvSpPr>
          <xdr:cNvPr id="132" name="Line 133"/>
          <xdr:cNvSpPr>
            <a:spLocks/>
          </xdr:cNvSpPr>
        </xdr:nvSpPr>
        <xdr:spPr>
          <a:xfrm>
            <a:off x="192" y="24480"/>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3" name="Line 134"/>
          <xdr:cNvSpPr>
            <a:spLocks/>
          </xdr:cNvSpPr>
        </xdr:nvSpPr>
        <xdr:spPr>
          <a:xfrm>
            <a:off x="417" y="24480"/>
            <a:ext cx="0" cy="15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4" name="Line 135"/>
          <xdr:cNvSpPr>
            <a:spLocks/>
          </xdr:cNvSpPr>
        </xdr:nvSpPr>
        <xdr:spPr>
          <a:xfrm>
            <a:off x="304" y="24507"/>
            <a:ext cx="0" cy="12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5" name="Line 136"/>
          <xdr:cNvSpPr>
            <a:spLocks/>
          </xdr:cNvSpPr>
        </xdr:nvSpPr>
        <xdr:spPr>
          <a:xfrm>
            <a:off x="192" y="24506"/>
            <a:ext cx="111"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6" name="Line 137"/>
          <xdr:cNvSpPr>
            <a:spLocks/>
          </xdr:cNvSpPr>
        </xdr:nvSpPr>
        <xdr:spPr>
          <a:xfrm flipV="1">
            <a:off x="193" y="24507"/>
            <a:ext cx="110" cy="12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7" name="Line 138"/>
          <xdr:cNvSpPr>
            <a:spLocks/>
          </xdr:cNvSpPr>
        </xdr:nvSpPr>
        <xdr:spPr>
          <a:xfrm flipV="1">
            <a:off x="304" y="24481"/>
            <a:ext cx="113" cy="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8" name="Line 139"/>
          <xdr:cNvSpPr>
            <a:spLocks/>
          </xdr:cNvSpPr>
        </xdr:nvSpPr>
        <xdr:spPr>
          <a:xfrm>
            <a:off x="415" y="24480"/>
            <a:ext cx="0" cy="0"/>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139" name="Line 140"/>
          <xdr:cNvSpPr>
            <a:spLocks/>
          </xdr:cNvSpPr>
        </xdr:nvSpPr>
        <xdr:spPr>
          <a:xfrm>
            <a:off x="416" y="24481"/>
            <a:ext cx="113"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0" name="Line 141"/>
          <xdr:cNvSpPr>
            <a:spLocks/>
          </xdr:cNvSpPr>
        </xdr:nvSpPr>
        <xdr:spPr>
          <a:xfrm>
            <a:off x="192" y="24584"/>
            <a:ext cx="11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41" name="Line 142"/>
          <xdr:cNvSpPr>
            <a:spLocks/>
          </xdr:cNvSpPr>
        </xdr:nvSpPr>
        <xdr:spPr>
          <a:xfrm>
            <a:off x="304" y="24584"/>
            <a:ext cx="11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42" name="Line 143"/>
          <xdr:cNvSpPr>
            <a:spLocks/>
          </xdr:cNvSpPr>
        </xdr:nvSpPr>
        <xdr:spPr>
          <a:xfrm>
            <a:off x="417" y="24584"/>
            <a:ext cx="112"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143" name="Rectangle 144"/>
          <xdr:cNvSpPr>
            <a:spLocks/>
          </xdr:cNvSpPr>
        </xdr:nvSpPr>
        <xdr:spPr>
          <a:xfrm>
            <a:off x="283" y="24643"/>
            <a:ext cx="48" cy="17"/>
          </a:xfrm>
          <a:prstGeom prst="rect">
            <a:avLst/>
          </a:prstGeom>
          <a:noFill/>
          <a:ln w="9525" cmpd="sng">
            <a:noFill/>
          </a:ln>
        </xdr:spPr>
        <xdr:txBody>
          <a:bodyPr vertOverflow="clip" wrap="square"/>
          <a:p>
            <a:pPr algn="l">
              <a:defRPr/>
            </a:pPr>
            <a:r>
              <a:rPr lang="en-US" cap="none" sz="900" b="0" i="0" u="none" baseline="0"/>
              <a:t>0.00756</a:t>
            </a:r>
          </a:p>
        </xdr:txBody>
      </xdr:sp>
      <xdr:sp>
        <xdr:nvSpPr>
          <xdr:cNvPr id="144" name="Rectangle 145"/>
          <xdr:cNvSpPr>
            <a:spLocks/>
          </xdr:cNvSpPr>
        </xdr:nvSpPr>
        <xdr:spPr>
          <a:xfrm>
            <a:off x="226" y="24559"/>
            <a:ext cx="47" cy="18"/>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範</a:t>
            </a:r>
            <a:r>
              <a:rPr lang="en-US" cap="none" sz="900" b="0" i="0" u="none" baseline="0"/>
              <a:t>囲</a:t>
            </a:r>
            <a:r>
              <a:rPr lang="en-US" cap="none" sz="900" b="0" i="0" u="none" baseline="0">
                <a:latin typeface="돋움"/>
                <a:ea typeface="돋움"/>
                <a:cs typeface="돋움"/>
              </a:rPr>
              <a:t>Ⅰ</a:t>
            </a:r>
          </a:p>
        </xdr:txBody>
      </xdr:sp>
      <xdr:sp>
        <xdr:nvSpPr>
          <xdr:cNvPr id="145" name="Rectangle 146"/>
          <xdr:cNvSpPr>
            <a:spLocks/>
          </xdr:cNvSpPr>
        </xdr:nvSpPr>
        <xdr:spPr>
          <a:xfrm>
            <a:off x="399" y="24641"/>
            <a:ext cx="42" cy="16"/>
          </a:xfrm>
          <a:prstGeom prst="rect">
            <a:avLst/>
          </a:prstGeom>
          <a:noFill/>
          <a:ln w="9525" cmpd="sng">
            <a:noFill/>
          </a:ln>
        </xdr:spPr>
        <xdr:txBody>
          <a:bodyPr vertOverflow="clip" wrap="square"/>
          <a:p>
            <a:pPr algn="l">
              <a:defRPr/>
            </a:pPr>
            <a:r>
              <a:rPr lang="en-US" cap="none" sz="900" b="0" i="0" u="none" baseline="0"/>
              <a:t>0.015</a:t>
            </a:r>
          </a:p>
        </xdr:txBody>
      </xdr:sp>
      <xdr:sp>
        <xdr:nvSpPr>
          <xdr:cNvPr id="146" name="Rectangle 147"/>
          <xdr:cNvSpPr>
            <a:spLocks/>
          </xdr:cNvSpPr>
        </xdr:nvSpPr>
        <xdr:spPr>
          <a:xfrm>
            <a:off x="337" y="24558"/>
            <a:ext cx="47" cy="18"/>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範</a:t>
            </a:r>
            <a:r>
              <a:rPr lang="en-US" cap="none" sz="900" b="0" i="0" u="none" baseline="0"/>
              <a:t>囲</a:t>
            </a:r>
            <a:r>
              <a:rPr lang="en-US" cap="none" sz="900" b="0" i="0" u="none" baseline="0">
                <a:latin typeface="돋움"/>
                <a:ea typeface="돋움"/>
                <a:cs typeface="돋움"/>
              </a:rPr>
              <a:t>Ⅱ</a:t>
            </a:r>
          </a:p>
        </xdr:txBody>
      </xdr:sp>
      <xdr:sp>
        <xdr:nvSpPr>
          <xdr:cNvPr id="147" name="Rectangle 148"/>
          <xdr:cNvSpPr>
            <a:spLocks/>
          </xdr:cNvSpPr>
        </xdr:nvSpPr>
        <xdr:spPr>
          <a:xfrm>
            <a:off x="458" y="24559"/>
            <a:ext cx="47" cy="18"/>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範</a:t>
            </a:r>
            <a:r>
              <a:rPr lang="en-US" cap="none" sz="900" b="0" i="0" u="none" baseline="0"/>
              <a:t>囲</a:t>
            </a:r>
            <a:r>
              <a:rPr lang="en-US" cap="none" sz="900" b="0" i="0" u="none" baseline="0">
                <a:latin typeface="돋움"/>
                <a:ea typeface="돋움"/>
                <a:cs typeface="돋움"/>
              </a:rPr>
              <a:t>Ⅲ</a:t>
            </a:r>
          </a:p>
        </xdr:txBody>
      </xdr:sp>
      <xdr:sp>
        <xdr:nvSpPr>
          <xdr:cNvPr id="148" name="Rectangle 149"/>
          <xdr:cNvSpPr>
            <a:spLocks/>
          </xdr:cNvSpPr>
        </xdr:nvSpPr>
        <xdr:spPr>
          <a:xfrm>
            <a:off x="501" y="24641"/>
            <a:ext cx="25" cy="17"/>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 εp</a:t>
            </a:r>
          </a:p>
        </xdr:txBody>
      </xdr:sp>
      <xdr:sp>
        <xdr:nvSpPr>
          <xdr:cNvPr id="149" name="Rectangle 150"/>
          <xdr:cNvSpPr>
            <a:spLocks/>
          </xdr:cNvSpPr>
        </xdr:nvSpPr>
        <xdr:spPr>
          <a:xfrm>
            <a:off x="163" y="24452"/>
            <a:ext cx="25" cy="17"/>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σp</a:t>
            </a:r>
          </a:p>
        </xdr:txBody>
      </xdr:sp>
      <xdr:sp>
        <xdr:nvSpPr>
          <xdr:cNvPr id="150" name="Line 151"/>
          <xdr:cNvSpPr>
            <a:spLocks/>
          </xdr:cNvSpPr>
        </xdr:nvSpPr>
        <xdr:spPr>
          <a:xfrm>
            <a:off x="303" y="24505"/>
            <a:ext cx="17" cy="4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151" name="Line 152"/>
          <xdr:cNvSpPr>
            <a:spLocks/>
          </xdr:cNvSpPr>
        </xdr:nvSpPr>
        <xdr:spPr>
          <a:xfrm>
            <a:off x="320" y="24546"/>
            <a:ext cx="1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2" name="Line 153"/>
          <xdr:cNvSpPr>
            <a:spLocks/>
          </xdr:cNvSpPr>
        </xdr:nvSpPr>
        <xdr:spPr>
          <a:xfrm>
            <a:off x="417" y="24481"/>
            <a:ext cx="32" cy="4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153" name="Line 154"/>
          <xdr:cNvSpPr>
            <a:spLocks/>
          </xdr:cNvSpPr>
        </xdr:nvSpPr>
        <xdr:spPr>
          <a:xfrm>
            <a:off x="450" y="24521"/>
            <a:ext cx="1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4" name="Line 155"/>
          <xdr:cNvSpPr>
            <a:spLocks/>
          </xdr:cNvSpPr>
        </xdr:nvSpPr>
        <xdr:spPr>
          <a:xfrm flipH="1" flipV="1">
            <a:off x="321" y="24465"/>
            <a:ext cx="28" cy="27"/>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11</xdr:col>
      <xdr:colOff>142875</xdr:colOff>
      <xdr:row>1190</xdr:row>
      <xdr:rowOff>142875</xdr:rowOff>
    </xdr:from>
    <xdr:to>
      <xdr:col>28</xdr:col>
      <xdr:colOff>9525</xdr:colOff>
      <xdr:row>1197</xdr:row>
      <xdr:rowOff>0</xdr:rowOff>
    </xdr:to>
    <xdr:grpSp>
      <xdr:nvGrpSpPr>
        <xdr:cNvPr id="155" name="Group 156"/>
        <xdr:cNvGrpSpPr>
          <a:grpSpLocks/>
        </xdr:cNvGrpSpPr>
      </xdr:nvGrpSpPr>
      <xdr:grpSpPr>
        <a:xfrm>
          <a:off x="1819275" y="285930975"/>
          <a:ext cx="2457450" cy="1590675"/>
          <a:chOff x="191" y="26278"/>
          <a:chExt cx="258" cy="167"/>
        </a:xfrm>
        <a:solidFill>
          <a:srgbClr val="FFFFFF"/>
        </a:solidFill>
      </xdr:grpSpPr>
      <xdr:grpSp>
        <xdr:nvGrpSpPr>
          <xdr:cNvPr id="156" name="Group 157"/>
          <xdr:cNvGrpSpPr>
            <a:grpSpLocks/>
          </xdr:cNvGrpSpPr>
        </xdr:nvGrpSpPr>
        <xdr:grpSpPr>
          <a:xfrm>
            <a:off x="203" y="26289"/>
            <a:ext cx="246" cy="156"/>
            <a:chOff x="235" y="26263"/>
            <a:chExt cx="246" cy="156"/>
          </a:xfrm>
          <a:solidFill>
            <a:srgbClr val="FFFFFF"/>
          </a:solidFill>
        </xdr:grpSpPr>
        <xdr:sp>
          <xdr:nvSpPr>
            <xdr:cNvPr id="157" name="Rectangle 158"/>
            <xdr:cNvSpPr>
              <a:spLocks/>
            </xdr:cNvSpPr>
          </xdr:nvSpPr>
          <xdr:spPr>
            <a:xfrm>
              <a:off x="272" y="26304"/>
              <a:ext cx="144" cy="5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8" name="Line 159"/>
            <xdr:cNvSpPr>
              <a:spLocks/>
            </xdr:cNvSpPr>
          </xdr:nvSpPr>
          <xdr:spPr>
            <a:xfrm>
              <a:off x="272" y="26359"/>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9" name="Line 160"/>
            <xdr:cNvSpPr>
              <a:spLocks/>
            </xdr:cNvSpPr>
          </xdr:nvSpPr>
          <xdr:spPr>
            <a:xfrm>
              <a:off x="415" y="26359"/>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0" name="Line 161"/>
            <xdr:cNvSpPr>
              <a:spLocks/>
            </xdr:cNvSpPr>
          </xdr:nvSpPr>
          <xdr:spPr>
            <a:xfrm>
              <a:off x="416" y="26360"/>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1" name="Line 162"/>
            <xdr:cNvSpPr>
              <a:spLocks/>
            </xdr:cNvSpPr>
          </xdr:nvSpPr>
          <xdr:spPr>
            <a:xfrm>
              <a:off x="272" y="26382"/>
              <a:ext cx="144"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62" name="Line 163"/>
            <xdr:cNvSpPr>
              <a:spLocks/>
            </xdr:cNvSpPr>
          </xdr:nvSpPr>
          <xdr:spPr>
            <a:xfrm>
              <a:off x="420" y="26304"/>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3" name="Line 164"/>
            <xdr:cNvSpPr>
              <a:spLocks/>
            </xdr:cNvSpPr>
          </xdr:nvSpPr>
          <xdr:spPr>
            <a:xfrm>
              <a:off x="420" y="26356"/>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4" name="Line 165"/>
            <xdr:cNvSpPr>
              <a:spLocks/>
            </xdr:cNvSpPr>
          </xdr:nvSpPr>
          <xdr:spPr>
            <a:xfrm>
              <a:off x="256" y="26330"/>
              <a:ext cx="179"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5" name="Line 166"/>
            <xdr:cNvSpPr>
              <a:spLocks/>
            </xdr:cNvSpPr>
          </xdr:nvSpPr>
          <xdr:spPr>
            <a:xfrm>
              <a:off x="432" y="26291"/>
              <a:ext cx="0" cy="1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돋움"/>
                  <a:ea typeface="돋움"/>
                  <a:cs typeface="돋움"/>
                </a:rPr>
                <a:t/>
              </a:r>
            </a:p>
          </xdr:txBody>
        </xdr:sp>
        <xdr:sp>
          <xdr:nvSpPr>
            <xdr:cNvPr id="166" name="Line 167"/>
            <xdr:cNvSpPr>
              <a:spLocks/>
            </xdr:cNvSpPr>
          </xdr:nvSpPr>
          <xdr:spPr>
            <a:xfrm>
              <a:off x="432" y="26304"/>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7" name="Line 168"/>
            <xdr:cNvSpPr>
              <a:spLocks/>
            </xdr:cNvSpPr>
          </xdr:nvSpPr>
          <xdr:spPr>
            <a:xfrm>
              <a:off x="432" y="26339"/>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8" name="Line 169"/>
            <xdr:cNvSpPr>
              <a:spLocks/>
            </xdr:cNvSpPr>
          </xdr:nvSpPr>
          <xdr:spPr>
            <a:xfrm>
              <a:off x="432" y="26318"/>
              <a:ext cx="0" cy="16"/>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169" name="Line 170"/>
            <xdr:cNvSpPr>
              <a:spLocks/>
            </xdr:cNvSpPr>
          </xdr:nvSpPr>
          <xdr:spPr>
            <a:xfrm>
              <a:off x="464" y="26304"/>
              <a:ext cx="0" cy="5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70" name="Line 171"/>
            <xdr:cNvSpPr>
              <a:spLocks/>
            </xdr:cNvSpPr>
          </xdr:nvSpPr>
          <xdr:spPr>
            <a:xfrm>
              <a:off x="301" y="26350"/>
              <a:ext cx="37" cy="68"/>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171" name="AutoShape 172"/>
            <xdr:cNvSpPr>
              <a:spLocks/>
            </xdr:cNvSpPr>
          </xdr:nvSpPr>
          <xdr:spPr>
            <a:xfrm>
              <a:off x="276"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2" name="AutoShape 173"/>
            <xdr:cNvSpPr>
              <a:spLocks/>
            </xdr:cNvSpPr>
          </xdr:nvSpPr>
          <xdr:spPr>
            <a:xfrm>
              <a:off x="292"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3" name="AutoShape 174"/>
            <xdr:cNvSpPr>
              <a:spLocks/>
            </xdr:cNvSpPr>
          </xdr:nvSpPr>
          <xdr:spPr>
            <a:xfrm>
              <a:off x="308"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4" name="AutoShape 175"/>
            <xdr:cNvSpPr>
              <a:spLocks/>
            </xdr:cNvSpPr>
          </xdr:nvSpPr>
          <xdr:spPr>
            <a:xfrm>
              <a:off x="324"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5" name="AutoShape 176"/>
            <xdr:cNvSpPr>
              <a:spLocks/>
            </xdr:cNvSpPr>
          </xdr:nvSpPr>
          <xdr:spPr>
            <a:xfrm>
              <a:off x="340"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6" name="AutoShape 177"/>
            <xdr:cNvSpPr>
              <a:spLocks/>
            </xdr:cNvSpPr>
          </xdr:nvSpPr>
          <xdr:spPr>
            <a:xfrm>
              <a:off x="356"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7" name="AutoShape 178"/>
            <xdr:cNvSpPr>
              <a:spLocks/>
            </xdr:cNvSpPr>
          </xdr:nvSpPr>
          <xdr:spPr>
            <a:xfrm>
              <a:off x="372"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8" name="AutoShape 179"/>
            <xdr:cNvSpPr>
              <a:spLocks/>
            </xdr:cNvSpPr>
          </xdr:nvSpPr>
          <xdr:spPr>
            <a:xfrm>
              <a:off x="388"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9" name="AutoShape 180"/>
            <xdr:cNvSpPr>
              <a:spLocks/>
            </xdr:cNvSpPr>
          </xdr:nvSpPr>
          <xdr:spPr>
            <a:xfrm>
              <a:off x="404"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0" name="AutoShape 181"/>
            <xdr:cNvSpPr>
              <a:spLocks/>
            </xdr:cNvSpPr>
          </xdr:nvSpPr>
          <xdr:spPr>
            <a:xfrm>
              <a:off x="276"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1" name="AutoShape 182"/>
            <xdr:cNvSpPr>
              <a:spLocks/>
            </xdr:cNvSpPr>
          </xdr:nvSpPr>
          <xdr:spPr>
            <a:xfrm>
              <a:off x="292"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2" name="AutoShape 183"/>
            <xdr:cNvSpPr>
              <a:spLocks/>
            </xdr:cNvSpPr>
          </xdr:nvSpPr>
          <xdr:spPr>
            <a:xfrm>
              <a:off x="308"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3" name="AutoShape 184"/>
            <xdr:cNvSpPr>
              <a:spLocks/>
            </xdr:cNvSpPr>
          </xdr:nvSpPr>
          <xdr:spPr>
            <a:xfrm>
              <a:off x="324"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4" name="AutoShape 185"/>
            <xdr:cNvSpPr>
              <a:spLocks/>
            </xdr:cNvSpPr>
          </xdr:nvSpPr>
          <xdr:spPr>
            <a:xfrm>
              <a:off x="340"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5" name="AutoShape 186"/>
            <xdr:cNvSpPr>
              <a:spLocks/>
            </xdr:cNvSpPr>
          </xdr:nvSpPr>
          <xdr:spPr>
            <a:xfrm>
              <a:off x="356"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6" name="AutoShape 187"/>
            <xdr:cNvSpPr>
              <a:spLocks/>
            </xdr:cNvSpPr>
          </xdr:nvSpPr>
          <xdr:spPr>
            <a:xfrm>
              <a:off x="372"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7" name="AutoShape 188"/>
            <xdr:cNvSpPr>
              <a:spLocks/>
            </xdr:cNvSpPr>
          </xdr:nvSpPr>
          <xdr:spPr>
            <a:xfrm>
              <a:off x="388"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8" name="AutoShape 189"/>
            <xdr:cNvSpPr>
              <a:spLocks/>
            </xdr:cNvSpPr>
          </xdr:nvSpPr>
          <xdr:spPr>
            <a:xfrm>
              <a:off x="404"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9" name="Line 190"/>
            <xdr:cNvSpPr>
              <a:spLocks/>
            </xdr:cNvSpPr>
          </xdr:nvSpPr>
          <xdr:spPr>
            <a:xfrm flipH="1">
              <a:off x="237" y="26304"/>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0" name="Line 191"/>
            <xdr:cNvSpPr>
              <a:spLocks/>
            </xdr:cNvSpPr>
          </xdr:nvSpPr>
          <xdr:spPr>
            <a:xfrm flipH="1">
              <a:off x="235" y="26356"/>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1" name="Line 192"/>
            <xdr:cNvSpPr>
              <a:spLocks/>
            </xdr:cNvSpPr>
          </xdr:nvSpPr>
          <xdr:spPr>
            <a:xfrm flipH="1">
              <a:off x="237" y="26314"/>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2" name="Line 193"/>
            <xdr:cNvSpPr>
              <a:spLocks/>
            </xdr:cNvSpPr>
          </xdr:nvSpPr>
          <xdr:spPr>
            <a:xfrm flipH="1">
              <a:off x="236" y="2634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3" name="Line 194"/>
            <xdr:cNvSpPr>
              <a:spLocks/>
            </xdr:cNvSpPr>
          </xdr:nvSpPr>
          <xdr:spPr>
            <a:xfrm>
              <a:off x="240" y="26304"/>
              <a:ext cx="0" cy="1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94" name="Line 195"/>
            <xdr:cNvSpPr>
              <a:spLocks/>
            </xdr:cNvSpPr>
          </xdr:nvSpPr>
          <xdr:spPr>
            <a:xfrm>
              <a:off x="240" y="26314"/>
              <a:ext cx="0" cy="33"/>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95" name="Line 196"/>
            <xdr:cNvSpPr>
              <a:spLocks/>
            </xdr:cNvSpPr>
          </xdr:nvSpPr>
          <xdr:spPr>
            <a:xfrm>
              <a:off x="240" y="26347"/>
              <a:ext cx="0" cy="1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96" name="Line 197"/>
            <xdr:cNvSpPr>
              <a:spLocks/>
            </xdr:cNvSpPr>
          </xdr:nvSpPr>
          <xdr:spPr>
            <a:xfrm>
              <a:off x="339" y="26419"/>
              <a:ext cx="1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7" name="Line 198"/>
            <xdr:cNvSpPr>
              <a:spLocks/>
            </xdr:cNvSpPr>
          </xdr:nvSpPr>
          <xdr:spPr>
            <a:xfrm>
              <a:off x="272" y="26348"/>
              <a:ext cx="144"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8" name="Line 199"/>
            <xdr:cNvSpPr>
              <a:spLocks/>
            </xdr:cNvSpPr>
          </xdr:nvSpPr>
          <xdr:spPr>
            <a:xfrm>
              <a:off x="272" y="26314"/>
              <a:ext cx="144"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9" name="Line 200"/>
            <xdr:cNvSpPr>
              <a:spLocks/>
            </xdr:cNvSpPr>
          </xdr:nvSpPr>
          <xdr:spPr>
            <a:xfrm>
              <a:off x="420" y="26318"/>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0" name="Line 201"/>
            <xdr:cNvSpPr>
              <a:spLocks/>
            </xdr:cNvSpPr>
          </xdr:nvSpPr>
          <xdr:spPr>
            <a:xfrm>
              <a:off x="420" y="2634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1" name="Line 202"/>
            <xdr:cNvSpPr>
              <a:spLocks/>
            </xdr:cNvSpPr>
          </xdr:nvSpPr>
          <xdr:spPr>
            <a:xfrm flipV="1">
              <a:off x="448" y="26304"/>
              <a:ext cx="0" cy="3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02" name="Line 203"/>
            <xdr:cNvSpPr>
              <a:spLocks/>
            </xdr:cNvSpPr>
          </xdr:nvSpPr>
          <xdr:spPr>
            <a:xfrm flipV="1">
              <a:off x="332" y="26263"/>
              <a:ext cx="9" cy="48"/>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03" name="Line 204"/>
            <xdr:cNvSpPr>
              <a:spLocks/>
            </xdr:cNvSpPr>
          </xdr:nvSpPr>
          <xdr:spPr>
            <a:xfrm>
              <a:off x="342" y="26263"/>
              <a:ext cx="1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sp>
        <xdr:nvSpPr>
          <xdr:cNvPr id="204" name="Line 205"/>
          <xdr:cNvSpPr>
            <a:spLocks/>
          </xdr:cNvSpPr>
        </xdr:nvSpPr>
        <xdr:spPr>
          <a:xfrm flipH="1" flipV="1">
            <a:off x="235" y="26278"/>
            <a:ext cx="27" cy="67"/>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05" name="Line 206"/>
          <xdr:cNvSpPr>
            <a:spLocks/>
          </xdr:cNvSpPr>
        </xdr:nvSpPr>
        <xdr:spPr>
          <a:xfrm>
            <a:off x="240" y="26289"/>
            <a:ext cx="1"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206" name="Line 207"/>
          <xdr:cNvSpPr>
            <a:spLocks/>
          </xdr:cNvSpPr>
        </xdr:nvSpPr>
        <xdr:spPr>
          <a:xfrm flipH="1">
            <a:off x="192" y="26278"/>
            <a:ext cx="4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7" name="Line 208"/>
          <xdr:cNvSpPr>
            <a:spLocks/>
          </xdr:cNvSpPr>
        </xdr:nvSpPr>
        <xdr:spPr>
          <a:xfrm flipH="1">
            <a:off x="219" y="26370"/>
            <a:ext cx="43" cy="37"/>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08" name="Line 209"/>
          <xdr:cNvSpPr>
            <a:spLocks/>
          </xdr:cNvSpPr>
        </xdr:nvSpPr>
        <xdr:spPr>
          <a:xfrm flipH="1">
            <a:off x="191" y="26407"/>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32</xdr:col>
      <xdr:colOff>133350</xdr:colOff>
      <xdr:row>699</xdr:row>
      <xdr:rowOff>47625</xdr:rowOff>
    </xdr:from>
    <xdr:to>
      <xdr:col>37</xdr:col>
      <xdr:colOff>0</xdr:colOff>
      <xdr:row>701</xdr:row>
      <xdr:rowOff>66675</xdr:rowOff>
    </xdr:to>
    <xdr:sp>
      <xdr:nvSpPr>
        <xdr:cNvPr id="209" name="AutoShape 210"/>
        <xdr:cNvSpPr>
          <a:spLocks/>
        </xdr:cNvSpPr>
      </xdr:nvSpPr>
      <xdr:spPr>
        <a:xfrm>
          <a:off x="5010150" y="172212000"/>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圧縮</a:t>
          </a:r>
          <a:r>
            <a:rPr lang="en-US" cap="none" sz="900" b="0" i="0" u="none" baseline="0">
              <a:latin typeface="돋움"/>
              <a:ea typeface="돋움"/>
              <a:cs typeface="돋움"/>
            </a:rPr>
            <a:t>  (-) 
 引張  (+)</a:t>
          </a:r>
        </a:p>
      </xdr:txBody>
    </xdr:sp>
    <xdr:clientData/>
  </xdr:twoCellAnchor>
  <xdr:twoCellAnchor>
    <xdr:from>
      <xdr:col>32</xdr:col>
      <xdr:colOff>133350</xdr:colOff>
      <xdr:row>747</xdr:row>
      <xdr:rowOff>47625</xdr:rowOff>
    </xdr:from>
    <xdr:to>
      <xdr:col>37</xdr:col>
      <xdr:colOff>0</xdr:colOff>
      <xdr:row>749</xdr:row>
      <xdr:rowOff>66675</xdr:rowOff>
    </xdr:to>
    <xdr:sp>
      <xdr:nvSpPr>
        <xdr:cNvPr id="210" name="AutoShape 211"/>
        <xdr:cNvSpPr>
          <a:spLocks/>
        </xdr:cNvSpPr>
      </xdr:nvSpPr>
      <xdr:spPr>
        <a:xfrm>
          <a:off x="5010150" y="18007012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圧縮</a:t>
          </a:r>
          <a:r>
            <a:rPr lang="en-US" cap="none" sz="900" b="0" i="0" u="none" baseline="0">
              <a:latin typeface="돋움"/>
              <a:ea typeface="돋움"/>
              <a:cs typeface="돋움"/>
            </a:rPr>
            <a:t>  (-) 
 引張  (+)</a:t>
          </a:r>
        </a:p>
      </xdr:txBody>
    </xdr:sp>
    <xdr:clientData/>
  </xdr:twoCellAnchor>
  <xdr:twoCellAnchor>
    <xdr:from>
      <xdr:col>26</xdr:col>
      <xdr:colOff>133350</xdr:colOff>
      <xdr:row>481</xdr:row>
      <xdr:rowOff>47625</xdr:rowOff>
    </xdr:from>
    <xdr:to>
      <xdr:col>31</xdr:col>
      <xdr:colOff>0</xdr:colOff>
      <xdr:row>482</xdr:row>
      <xdr:rowOff>142875</xdr:rowOff>
    </xdr:to>
    <xdr:sp>
      <xdr:nvSpPr>
        <xdr:cNvPr id="211" name="AutoShape 212"/>
        <xdr:cNvSpPr>
          <a:spLocks/>
        </xdr:cNvSpPr>
      </xdr:nvSpPr>
      <xdr:spPr>
        <a:xfrm>
          <a:off x="4095750" y="11916727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29</xdr:col>
      <xdr:colOff>133350</xdr:colOff>
      <xdr:row>571</xdr:row>
      <xdr:rowOff>47625</xdr:rowOff>
    </xdr:from>
    <xdr:to>
      <xdr:col>34</xdr:col>
      <xdr:colOff>0</xdr:colOff>
      <xdr:row>572</xdr:row>
      <xdr:rowOff>142875</xdr:rowOff>
    </xdr:to>
    <xdr:sp>
      <xdr:nvSpPr>
        <xdr:cNvPr id="212" name="AutoShape 213"/>
        <xdr:cNvSpPr>
          <a:spLocks/>
        </xdr:cNvSpPr>
      </xdr:nvSpPr>
      <xdr:spPr>
        <a:xfrm>
          <a:off x="4552950" y="14145577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26</xdr:col>
      <xdr:colOff>133350</xdr:colOff>
      <xdr:row>640</xdr:row>
      <xdr:rowOff>47625</xdr:rowOff>
    </xdr:from>
    <xdr:to>
      <xdr:col>31</xdr:col>
      <xdr:colOff>0</xdr:colOff>
      <xdr:row>641</xdr:row>
      <xdr:rowOff>142875</xdr:rowOff>
    </xdr:to>
    <xdr:sp>
      <xdr:nvSpPr>
        <xdr:cNvPr id="213" name="AutoShape 214"/>
        <xdr:cNvSpPr>
          <a:spLocks/>
        </xdr:cNvSpPr>
      </xdr:nvSpPr>
      <xdr:spPr>
        <a:xfrm>
          <a:off x="4095750" y="15854362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10</xdr:col>
      <xdr:colOff>28575</xdr:colOff>
      <xdr:row>1083</xdr:row>
      <xdr:rowOff>85725</xdr:rowOff>
    </xdr:from>
    <xdr:to>
      <xdr:col>35</xdr:col>
      <xdr:colOff>114300</xdr:colOff>
      <xdr:row>1091</xdr:row>
      <xdr:rowOff>85725</xdr:rowOff>
    </xdr:to>
    <xdr:grpSp>
      <xdr:nvGrpSpPr>
        <xdr:cNvPr id="214" name="Group 215"/>
        <xdr:cNvGrpSpPr>
          <a:grpSpLocks/>
        </xdr:cNvGrpSpPr>
      </xdr:nvGrpSpPr>
      <xdr:grpSpPr>
        <a:xfrm>
          <a:off x="1552575" y="259375275"/>
          <a:ext cx="3895725" cy="1981200"/>
          <a:chOff x="163" y="24452"/>
          <a:chExt cx="409" cy="208"/>
        </a:xfrm>
        <a:solidFill>
          <a:srgbClr val="FFFFFF"/>
        </a:solidFill>
      </xdr:grpSpPr>
      <xdr:sp>
        <xdr:nvSpPr>
          <xdr:cNvPr id="215" name="Line 216"/>
          <xdr:cNvSpPr>
            <a:spLocks/>
          </xdr:cNvSpPr>
        </xdr:nvSpPr>
        <xdr:spPr>
          <a:xfrm>
            <a:off x="192" y="24454"/>
            <a:ext cx="0" cy="182"/>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16" name="Line 217"/>
          <xdr:cNvSpPr>
            <a:spLocks/>
          </xdr:cNvSpPr>
        </xdr:nvSpPr>
        <xdr:spPr>
          <a:xfrm>
            <a:off x="191" y="24636"/>
            <a:ext cx="33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돋움"/>
                <a:ea typeface="돋움"/>
                <a:cs typeface="돋움"/>
              </a:rPr>
              <a:t/>
            </a:r>
          </a:p>
        </xdr:txBody>
      </xdr:sp>
      <xdr:sp>
        <xdr:nvSpPr>
          <xdr:cNvPr id="217" name="Line 218"/>
          <xdr:cNvSpPr>
            <a:spLocks/>
          </xdr:cNvSpPr>
        </xdr:nvSpPr>
        <xdr:spPr>
          <a:xfrm>
            <a:off x="192" y="24480"/>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8" name="Line 219"/>
          <xdr:cNvSpPr>
            <a:spLocks/>
          </xdr:cNvSpPr>
        </xdr:nvSpPr>
        <xdr:spPr>
          <a:xfrm>
            <a:off x="417" y="24480"/>
            <a:ext cx="0" cy="15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9" name="Line 220"/>
          <xdr:cNvSpPr>
            <a:spLocks/>
          </xdr:cNvSpPr>
        </xdr:nvSpPr>
        <xdr:spPr>
          <a:xfrm>
            <a:off x="304" y="24507"/>
            <a:ext cx="0" cy="12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0" name="Line 221"/>
          <xdr:cNvSpPr>
            <a:spLocks/>
          </xdr:cNvSpPr>
        </xdr:nvSpPr>
        <xdr:spPr>
          <a:xfrm>
            <a:off x="192" y="24506"/>
            <a:ext cx="111"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1" name="Line 222"/>
          <xdr:cNvSpPr>
            <a:spLocks/>
          </xdr:cNvSpPr>
        </xdr:nvSpPr>
        <xdr:spPr>
          <a:xfrm flipV="1">
            <a:off x="193" y="24507"/>
            <a:ext cx="110" cy="12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2" name="Line 223"/>
          <xdr:cNvSpPr>
            <a:spLocks/>
          </xdr:cNvSpPr>
        </xdr:nvSpPr>
        <xdr:spPr>
          <a:xfrm flipV="1">
            <a:off x="304" y="24481"/>
            <a:ext cx="113" cy="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3" name="Line 224"/>
          <xdr:cNvSpPr>
            <a:spLocks/>
          </xdr:cNvSpPr>
        </xdr:nvSpPr>
        <xdr:spPr>
          <a:xfrm>
            <a:off x="415" y="24480"/>
            <a:ext cx="0" cy="0"/>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224" name="Line 225"/>
          <xdr:cNvSpPr>
            <a:spLocks/>
          </xdr:cNvSpPr>
        </xdr:nvSpPr>
        <xdr:spPr>
          <a:xfrm>
            <a:off x="416" y="24481"/>
            <a:ext cx="113"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5" name="Line 226"/>
          <xdr:cNvSpPr>
            <a:spLocks/>
          </xdr:cNvSpPr>
        </xdr:nvSpPr>
        <xdr:spPr>
          <a:xfrm>
            <a:off x="192" y="24584"/>
            <a:ext cx="11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26" name="Line 227"/>
          <xdr:cNvSpPr>
            <a:spLocks/>
          </xdr:cNvSpPr>
        </xdr:nvSpPr>
        <xdr:spPr>
          <a:xfrm>
            <a:off x="304" y="24584"/>
            <a:ext cx="11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27" name="Line 228"/>
          <xdr:cNvSpPr>
            <a:spLocks/>
          </xdr:cNvSpPr>
        </xdr:nvSpPr>
        <xdr:spPr>
          <a:xfrm>
            <a:off x="417" y="24584"/>
            <a:ext cx="112"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28" name="Rectangle 229"/>
          <xdr:cNvSpPr>
            <a:spLocks/>
          </xdr:cNvSpPr>
        </xdr:nvSpPr>
        <xdr:spPr>
          <a:xfrm>
            <a:off x="283" y="24643"/>
            <a:ext cx="48" cy="17"/>
          </a:xfrm>
          <a:prstGeom prst="rect">
            <a:avLst/>
          </a:prstGeom>
          <a:noFill/>
          <a:ln w="9525" cmpd="sng">
            <a:noFill/>
          </a:ln>
        </xdr:spPr>
        <xdr:txBody>
          <a:bodyPr vertOverflow="clip" wrap="square"/>
          <a:p>
            <a:pPr algn="l">
              <a:defRPr/>
            </a:pPr>
            <a:r>
              <a:rPr lang="en-US" cap="none" sz="900" b="0" i="0" u="none" baseline="0"/>
              <a:t>0.00756</a:t>
            </a:r>
          </a:p>
        </xdr:txBody>
      </xdr:sp>
      <xdr:sp>
        <xdr:nvSpPr>
          <xdr:cNvPr id="229" name="Rectangle 230"/>
          <xdr:cNvSpPr>
            <a:spLocks/>
          </xdr:cNvSpPr>
        </xdr:nvSpPr>
        <xdr:spPr>
          <a:xfrm>
            <a:off x="226" y="24559"/>
            <a:ext cx="47" cy="18"/>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範</a:t>
            </a:r>
            <a:r>
              <a:rPr lang="en-US" cap="none" sz="900" b="0" i="0" u="none" baseline="0"/>
              <a:t>囲</a:t>
            </a:r>
            <a:r>
              <a:rPr lang="en-US" cap="none" sz="900" b="0" i="0" u="none" baseline="0">
                <a:latin typeface="돋움"/>
                <a:ea typeface="돋움"/>
                <a:cs typeface="돋움"/>
              </a:rPr>
              <a:t>Ⅰ</a:t>
            </a:r>
          </a:p>
        </xdr:txBody>
      </xdr:sp>
      <xdr:sp>
        <xdr:nvSpPr>
          <xdr:cNvPr id="230" name="Rectangle 231"/>
          <xdr:cNvSpPr>
            <a:spLocks/>
          </xdr:cNvSpPr>
        </xdr:nvSpPr>
        <xdr:spPr>
          <a:xfrm>
            <a:off x="399" y="24641"/>
            <a:ext cx="42" cy="16"/>
          </a:xfrm>
          <a:prstGeom prst="rect">
            <a:avLst/>
          </a:prstGeom>
          <a:noFill/>
          <a:ln w="9525" cmpd="sng">
            <a:noFill/>
          </a:ln>
        </xdr:spPr>
        <xdr:txBody>
          <a:bodyPr vertOverflow="clip" wrap="square"/>
          <a:p>
            <a:pPr algn="l">
              <a:defRPr/>
            </a:pPr>
            <a:r>
              <a:rPr lang="en-US" cap="none" sz="900" b="0" i="0" u="none" baseline="0"/>
              <a:t>0.015</a:t>
            </a:r>
          </a:p>
        </xdr:txBody>
      </xdr:sp>
      <xdr:sp>
        <xdr:nvSpPr>
          <xdr:cNvPr id="231" name="Rectangle 232"/>
          <xdr:cNvSpPr>
            <a:spLocks/>
          </xdr:cNvSpPr>
        </xdr:nvSpPr>
        <xdr:spPr>
          <a:xfrm>
            <a:off x="337" y="24558"/>
            <a:ext cx="47" cy="18"/>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範</a:t>
            </a:r>
            <a:r>
              <a:rPr lang="en-US" cap="none" sz="900" b="0" i="0" u="none" baseline="0"/>
              <a:t>囲</a:t>
            </a:r>
            <a:r>
              <a:rPr lang="en-US" cap="none" sz="900" b="0" i="0" u="none" baseline="0">
                <a:latin typeface="돋움"/>
                <a:ea typeface="돋움"/>
                <a:cs typeface="돋움"/>
              </a:rPr>
              <a:t>Ⅱ</a:t>
            </a:r>
          </a:p>
        </xdr:txBody>
      </xdr:sp>
      <xdr:sp>
        <xdr:nvSpPr>
          <xdr:cNvPr id="232" name="Rectangle 233"/>
          <xdr:cNvSpPr>
            <a:spLocks/>
          </xdr:cNvSpPr>
        </xdr:nvSpPr>
        <xdr:spPr>
          <a:xfrm>
            <a:off x="458" y="24559"/>
            <a:ext cx="47" cy="18"/>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範</a:t>
            </a:r>
            <a:r>
              <a:rPr lang="en-US" cap="none" sz="900" b="0" i="0" u="none" baseline="0"/>
              <a:t>囲</a:t>
            </a:r>
            <a:r>
              <a:rPr lang="en-US" cap="none" sz="900" b="0" i="0" u="none" baseline="0">
                <a:latin typeface="돋움"/>
                <a:ea typeface="돋움"/>
                <a:cs typeface="돋움"/>
              </a:rPr>
              <a:t>Ⅲ</a:t>
            </a:r>
          </a:p>
        </xdr:txBody>
      </xdr:sp>
      <xdr:sp>
        <xdr:nvSpPr>
          <xdr:cNvPr id="233" name="Rectangle 234"/>
          <xdr:cNvSpPr>
            <a:spLocks/>
          </xdr:cNvSpPr>
        </xdr:nvSpPr>
        <xdr:spPr>
          <a:xfrm>
            <a:off x="501" y="24641"/>
            <a:ext cx="25" cy="17"/>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 εp</a:t>
            </a:r>
          </a:p>
        </xdr:txBody>
      </xdr:sp>
      <xdr:sp>
        <xdr:nvSpPr>
          <xdr:cNvPr id="234" name="Rectangle 235"/>
          <xdr:cNvSpPr>
            <a:spLocks/>
          </xdr:cNvSpPr>
        </xdr:nvSpPr>
        <xdr:spPr>
          <a:xfrm>
            <a:off x="163" y="24452"/>
            <a:ext cx="25" cy="17"/>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σp</a:t>
            </a:r>
          </a:p>
        </xdr:txBody>
      </xdr:sp>
      <xdr:sp>
        <xdr:nvSpPr>
          <xdr:cNvPr id="235" name="Line 236"/>
          <xdr:cNvSpPr>
            <a:spLocks/>
          </xdr:cNvSpPr>
        </xdr:nvSpPr>
        <xdr:spPr>
          <a:xfrm>
            <a:off x="303" y="24505"/>
            <a:ext cx="17" cy="4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36" name="Line 237"/>
          <xdr:cNvSpPr>
            <a:spLocks/>
          </xdr:cNvSpPr>
        </xdr:nvSpPr>
        <xdr:spPr>
          <a:xfrm>
            <a:off x="320" y="24546"/>
            <a:ext cx="1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7" name="Line 238"/>
          <xdr:cNvSpPr>
            <a:spLocks/>
          </xdr:cNvSpPr>
        </xdr:nvSpPr>
        <xdr:spPr>
          <a:xfrm>
            <a:off x="417" y="24481"/>
            <a:ext cx="32" cy="4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38" name="Line 239"/>
          <xdr:cNvSpPr>
            <a:spLocks/>
          </xdr:cNvSpPr>
        </xdr:nvSpPr>
        <xdr:spPr>
          <a:xfrm>
            <a:off x="450" y="24521"/>
            <a:ext cx="1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9" name="Line 240"/>
          <xdr:cNvSpPr>
            <a:spLocks/>
          </xdr:cNvSpPr>
        </xdr:nvSpPr>
        <xdr:spPr>
          <a:xfrm flipH="1" flipV="1">
            <a:off x="321" y="24465"/>
            <a:ext cx="28" cy="27"/>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5</xdr:col>
      <xdr:colOff>76200</xdr:colOff>
      <xdr:row>1053</xdr:row>
      <xdr:rowOff>219075</xdr:rowOff>
    </xdr:from>
    <xdr:to>
      <xdr:col>37</xdr:col>
      <xdr:colOff>123825</xdr:colOff>
      <xdr:row>1058</xdr:row>
      <xdr:rowOff>38100</xdr:rowOff>
    </xdr:to>
    <xdr:grpSp>
      <xdr:nvGrpSpPr>
        <xdr:cNvPr id="240" name="Group 241"/>
        <xdr:cNvGrpSpPr>
          <a:grpSpLocks/>
        </xdr:cNvGrpSpPr>
      </xdr:nvGrpSpPr>
      <xdr:grpSpPr>
        <a:xfrm>
          <a:off x="838200" y="252079125"/>
          <a:ext cx="4924425" cy="1057275"/>
          <a:chOff x="88" y="25572"/>
          <a:chExt cx="517" cy="110"/>
        </a:xfrm>
        <a:solidFill>
          <a:srgbClr val="FFFFFF"/>
        </a:solidFill>
      </xdr:grpSpPr>
      <xdr:sp>
        <xdr:nvSpPr>
          <xdr:cNvPr id="241" name="Rectangle 242"/>
          <xdr:cNvSpPr>
            <a:spLocks/>
          </xdr:cNvSpPr>
        </xdr:nvSpPr>
        <xdr:spPr>
          <a:xfrm>
            <a:off x="96" y="25573"/>
            <a:ext cx="144" cy="7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2" name="Line 243"/>
          <xdr:cNvSpPr>
            <a:spLocks/>
          </xdr:cNvSpPr>
        </xdr:nvSpPr>
        <xdr:spPr>
          <a:xfrm>
            <a:off x="239" y="2559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3" name="Line 244"/>
          <xdr:cNvSpPr>
            <a:spLocks/>
          </xdr:cNvSpPr>
        </xdr:nvSpPr>
        <xdr:spPr>
          <a:xfrm>
            <a:off x="256" y="25631"/>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4" name="AutoShape 245"/>
          <xdr:cNvSpPr>
            <a:spLocks/>
          </xdr:cNvSpPr>
        </xdr:nvSpPr>
        <xdr:spPr>
          <a:xfrm>
            <a:off x="100"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5" name="AutoShape 246"/>
          <xdr:cNvSpPr>
            <a:spLocks/>
          </xdr:cNvSpPr>
        </xdr:nvSpPr>
        <xdr:spPr>
          <a:xfrm>
            <a:off x="116"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6" name="AutoShape 247"/>
          <xdr:cNvSpPr>
            <a:spLocks/>
          </xdr:cNvSpPr>
        </xdr:nvSpPr>
        <xdr:spPr>
          <a:xfrm>
            <a:off x="132"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7" name="AutoShape 248"/>
          <xdr:cNvSpPr>
            <a:spLocks/>
          </xdr:cNvSpPr>
        </xdr:nvSpPr>
        <xdr:spPr>
          <a:xfrm>
            <a:off x="148"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8" name="AutoShape 249"/>
          <xdr:cNvSpPr>
            <a:spLocks/>
          </xdr:cNvSpPr>
        </xdr:nvSpPr>
        <xdr:spPr>
          <a:xfrm>
            <a:off x="164"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9" name="AutoShape 250"/>
          <xdr:cNvSpPr>
            <a:spLocks/>
          </xdr:cNvSpPr>
        </xdr:nvSpPr>
        <xdr:spPr>
          <a:xfrm>
            <a:off x="180"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0" name="AutoShape 251"/>
          <xdr:cNvSpPr>
            <a:spLocks/>
          </xdr:cNvSpPr>
        </xdr:nvSpPr>
        <xdr:spPr>
          <a:xfrm>
            <a:off x="196"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1" name="AutoShape 252"/>
          <xdr:cNvSpPr>
            <a:spLocks/>
          </xdr:cNvSpPr>
        </xdr:nvSpPr>
        <xdr:spPr>
          <a:xfrm>
            <a:off x="212"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2" name="AutoShape 253"/>
          <xdr:cNvSpPr>
            <a:spLocks/>
          </xdr:cNvSpPr>
        </xdr:nvSpPr>
        <xdr:spPr>
          <a:xfrm>
            <a:off x="228"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3" name="AutoShape 254"/>
          <xdr:cNvSpPr>
            <a:spLocks/>
          </xdr:cNvSpPr>
        </xdr:nvSpPr>
        <xdr:spPr>
          <a:xfrm>
            <a:off x="138" y="25587"/>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4" name="AutoShape 255"/>
          <xdr:cNvSpPr>
            <a:spLocks/>
          </xdr:cNvSpPr>
        </xdr:nvSpPr>
        <xdr:spPr>
          <a:xfrm>
            <a:off x="202" y="25587"/>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5" name="AutoShape 256"/>
          <xdr:cNvSpPr>
            <a:spLocks/>
          </xdr:cNvSpPr>
        </xdr:nvSpPr>
        <xdr:spPr>
          <a:xfrm>
            <a:off x="138" y="25587"/>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6" name="AutoShape 257"/>
          <xdr:cNvSpPr>
            <a:spLocks/>
          </xdr:cNvSpPr>
        </xdr:nvSpPr>
        <xdr:spPr>
          <a:xfrm>
            <a:off x="202" y="25587"/>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7" name="Rectangle 258"/>
          <xdr:cNvSpPr>
            <a:spLocks/>
          </xdr:cNvSpPr>
        </xdr:nvSpPr>
        <xdr:spPr>
          <a:xfrm>
            <a:off x="345" y="25649"/>
            <a:ext cx="30" cy="17"/>
          </a:xfrm>
          <a:prstGeom prst="rect">
            <a:avLst/>
          </a:prstGeom>
          <a:noFill/>
          <a:ln w="9525" cmpd="sng">
            <a:noFill/>
          </a:ln>
        </xdr:spPr>
        <xdr:txBody>
          <a:bodyPr vertOverflow="clip" wrap="square"/>
          <a:p>
            <a:pPr algn="l">
              <a:defRPr/>
            </a:pPr>
            <a:r>
              <a:rPr lang="en-US" cap="none" sz="900" b="0" i="0" u="none" baseline="0"/>
              <a:t>εcu</a:t>
            </a:r>
          </a:p>
        </xdr:txBody>
      </xdr:sp>
      <xdr:sp>
        <xdr:nvSpPr>
          <xdr:cNvPr id="258" name="Rectangle 259"/>
          <xdr:cNvSpPr>
            <a:spLocks/>
          </xdr:cNvSpPr>
        </xdr:nvSpPr>
        <xdr:spPr>
          <a:xfrm>
            <a:off x="512" y="25630"/>
            <a:ext cx="32" cy="2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9" name="Line 260"/>
          <xdr:cNvSpPr>
            <a:spLocks/>
          </xdr:cNvSpPr>
        </xdr:nvSpPr>
        <xdr:spPr>
          <a:xfrm>
            <a:off x="345" y="25573"/>
            <a:ext cx="22"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260" name="Line 261"/>
          <xdr:cNvSpPr>
            <a:spLocks/>
          </xdr:cNvSpPr>
        </xdr:nvSpPr>
        <xdr:spPr>
          <a:xfrm>
            <a:off x="346" y="25573"/>
            <a:ext cx="21"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261" name="Line 262"/>
          <xdr:cNvSpPr>
            <a:spLocks/>
          </xdr:cNvSpPr>
        </xdr:nvSpPr>
        <xdr:spPr>
          <a:xfrm>
            <a:off x="367" y="25651"/>
            <a:ext cx="37"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262" name="Rectangle 263"/>
          <xdr:cNvSpPr>
            <a:spLocks/>
          </xdr:cNvSpPr>
        </xdr:nvSpPr>
        <xdr:spPr>
          <a:xfrm>
            <a:off x="461" y="25583"/>
            <a:ext cx="21" cy="16"/>
          </a:xfrm>
          <a:prstGeom prst="rect">
            <a:avLst/>
          </a:prstGeom>
          <a:noFill/>
          <a:ln w="9525" cmpd="sng">
            <a:noFill/>
          </a:ln>
        </xdr:spPr>
        <xdr:txBody>
          <a:bodyPr vertOverflow="clip" wrap="square"/>
          <a:p>
            <a:pPr algn="l">
              <a:defRPr/>
            </a:pPr>
            <a:r>
              <a:rPr lang="en-US" cap="none" sz="900" b="0" i="0" u="none" baseline="0"/>
              <a:t>Tp</a:t>
            </a:r>
          </a:p>
        </xdr:txBody>
      </xdr:sp>
      <xdr:sp>
        <xdr:nvSpPr>
          <xdr:cNvPr id="263" name="Rectangle 264"/>
          <xdr:cNvSpPr>
            <a:spLocks/>
          </xdr:cNvSpPr>
        </xdr:nvSpPr>
        <xdr:spPr>
          <a:xfrm>
            <a:off x="461" y="25572"/>
            <a:ext cx="21" cy="16"/>
          </a:xfrm>
          <a:prstGeom prst="rect">
            <a:avLst/>
          </a:prstGeom>
          <a:noFill/>
          <a:ln w="9525" cmpd="sng">
            <a:noFill/>
          </a:ln>
        </xdr:spPr>
        <xdr:txBody>
          <a:bodyPr vertOverflow="clip" wrap="square"/>
          <a:p>
            <a:pPr algn="l">
              <a:defRPr/>
            </a:pPr>
            <a:r>
              <a:rPr lang="en-US" cap="none" sz="900" b="0" i="0" u="none" baseline="0"/>
              <a:t>Ts</a:t>
            </a:r>
          </a:p>
        </xdr:txBody>
      </xdr:sp>
      <xdr:sp>
        <xdr:nvSpPr>
          <xdr:cNvPr id="264" name="Rectangle 265"/>
          <xdr:cNvSpPr>
            <a:spLocks/>
          </xdr:cNvSpPr>
        </xdr:nvSpPr>
        <xdr:spPr>
          <a:xfrm>
            <a:off x="500" y="25662"/>
            <a:ext cx="54" cy="16"/>
          </a:xfrm>
          <a:prstGeom prst="rect">
            <a:avLst/>
          </a:prstGeom>
          <a:noFill/>
          <a:ln w="9525" cmpd="sng">
            <a:noFill/>
          </a:ln>
        </xdr:spPr>
        <xdr:txBody>
          <a:bodyPr vertOverflow="clip" wrap="square"/>
          <a:p>
            <a:pPr algn="l">
              <a:defRPr/>
            </a:pPr>
            <a:r>
              <a:rPr lang="en-US" cap="none" sz="900" b="0" i="0" u="none" baseline="0"/>
              <a:t>0.85</a:t>
            </a:r>
            <a:r>
              <a:rPr lang="en-US" cap="none" sz="900" b="0" i="0" u="none" baseline="0">
                <a:latin typeface="돋움"/>
                <a:ea typeface="돋움"/>
                <a:cs typeface="돋움"/>
              </a:rPr>
              <a:t>σ</a:t>
            </a:r>
            <a:r>
              <a:rPr lang="en-US" cap="none" sz="900" b="0" i="0" u="none" baseline="0"/>
              <a:t>ck</a:t>
            </a:r>
          </a:p>
        </xdr:txBody>
      </xdr:sp>
      <xdr:sp>
        <xdr:nvSpPr>
          <xdr:cNvPr id="265" name="Rectangle 266"/>
          <xdr:cNvSpPr>
            <a:spLocks/>
          </xdr:cNvSpPr>
        </xdr:nvSpPr>
        <xdr:spPr>
          <a:xfrm>
            <a:off x="158" y="25662"/>
            <a:ext cx="30" cy="16"/>
          </a:xfrm>
          <a:prstGeom prst="rect">
            <a:avLst/>
          </a:prstGeom>
          <a:noFill/>
          <a:ln w="9525" cmpd="sng">
            <a:noFill/>
          </a:ln>
        </xdr:spPr>
        <xdr:txBody>
          <a:bodyPr vertOverflow="clip" wrap="square"/>
          <a:p>
            <a:pPr algn="l">
              <a:defRPr/>
            </a:pPr>
            <a:r>
              <a:rPr lang="en-US" cap="none" sz="900" b="0" i="0" u="none" baseline="0"/>
              <a:t>1000</a:t>
            </a:r>
          </a:p>
        </xdr:txBody>
      </xdr:sp>
      <xdr:sp>
        <xdr:nvSpPr>
          <xdr:cNvPr id="266" name="Rectangle 267"/>
          <xdr:cNvSpPr>
            <a:spLocks/>
          </xdr:cNvSpPr>
        </xdr:nvSpPr>
        <xdr:spPr>
          <a:xfrm>
            <a:off x="395" y="25583"/>
            <a:ext cx="57" cy="16"/>
          </a:xfrm>
          <a:prstGeom prst="rect">
            <a:avLst/>
          </a:prstGeom>
          <a:noFill/>
          <a:ln w="9525" cmpd="sng">
            <a:noFill/>
          </a:ln>
        </xdr:spPr>
        <xdr:txBody>
          <a:bodyPr vertOverflow="clip" wrap="square"/>
          <a:p>
            <a:pPr algn="l">
              <a:defRPr/>
            </a:pPr>
            <a:r>
              <a:rPr lang="en-US" cap="none" sz="900" b="0" i="0" u="none" baseline="0"/>
              <a:t>εp-εpe</a:t>
            </a:r>
          </a:p>
        </xdr:txBody>
      </xdr:sp>
      <xdr:sp>
        <xdr:nvSpPr>
          <xdr:cNvPr id="267" name="Rectangle 268"/>
          <xdr:cNvSpPr>
            <a:spLocks/>
          </xdr:cNvSpPr>
        </xdr:nvSpPr>
        <xdr:spPr>
          <a:xfrm>
            <a:off x="403" y="25573"/>
            <a:ext cx="26" cy="15"/>
          </a:xfrm>
          <a:prstGeom prst="rect">
            <a:avLst/>
          </a:prstGeom>
          <a:noFill/>
          <a:ln w="9525" cmpd="sng">
            <a:noFill/>
          </a:ln>
        </xdr:spPr>
        <xdr:txBody>
          <a:bodyPr vertOverflow="clip" wrap="square"/>
          <a:p>
            <a:pPr algn="l">
              <a:defRPr/>
            </a:pPr>
            <a:r>
              <a:rPr lang="en-US" cap="none" sz="900" b="0" i="0" u="none" baseline="0"/>
              <a:t>εs</a:t>
            </a:r>
          </a:p>
        </xdr:txBody>
      </xdr:sp>
      <xdr:sp>
        <xdr:nvSpPr>
          <xdr:cNvPr id="268" name="Line 269"/>
          <xdr:cNvSpPr>
            <a:spLocks/>
          </xdr:cNvSpPr>
        </xdr:nvSpPr>
        <xdr:spPr>
          <a:xfrm>
            <a:off x="512" y="25642"/>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69" name="Line 270"/>
          <xdr:cNvSpPr>
            <a:spLocks/>
          </xdr:cNvSpPr>
        </xdr:nvSpPr>
        <xdr:spPr>
          <a:xfrm>
            <a:off x="512" y="25635"/>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0" name="Line 271"/>
          <xdr:cNvSpPr>
            <a:spLocks/>
          </xdr:cNvSpPr>
        </xdr:nvSpPr>
        <xdr:spPr>
          <a:xfrm>
            <a:off x="512" y="2564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1" name="Line 272"/>
          <xdr:cNvSpPr>
            <a:spLocks/>
          </xdr:cNvSpPr>
        </xdr:nvSpPr>
        <xdr:spPr>
          <a:xfrm>
            <a:off x="96" y="25654"/>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2" name="Line 273"/>
          <xdr:cNvSpPr>
            <a:spLocks/>
          </xdr:cNvSpPr>
        </xdr:nvSpPr>
        <xdr:spPr>
          <a:xfrm>
            <a:off x="240" y="25654"/>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3" name="Line 274"/>
          <xdr:cNvSpPr>
            <a:spLocks/>
          </xdr:cNvSpPr>
        </xdr:nvSpPr>
        <xdr:spPr>
          <a:xfrm>
            <a:off x="96" y="25678"/>
            <a:ext cx="144"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74" name="Line 275"/>
          <xdr:cNvSpPr>
            <a:spLocks/>
          </xdr:cNvSpPr>
        </xdr:nvSpPr>
        <xdr:spPr>
          <a:xfrm>
            <a:off x="88" y="25613"/>
            <a:ext cx="51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5" name="Line 276"/>
          <xdr:cNvSpPr>
            <a:spLocks/>
          </xdr:cNvSpPr>
        </xdr:nvSpPr>
        <xdr:spPr>
          <a:xfrm>
            <a:off x="122" y="25590"/>
            <a:ext cx="138"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6" name="Line 277"/>
          <xdr:cNvSpPr>
            <a:spLocks/>
          </xdr:cNvSpPr>
        </xdr:nvSpPr>
        <xdr:spPr>
          <a:xfrm>
            <a:off x="244" y="25651"/>
            <a:ext cx="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7" name="Line 278"/>
          <xdr:cNvSpPr>
            <a:spLocks/>
          </xdr:cNvSpPr>
        </xdr:nvSpPr>
        <xdr:spPr>
          <a:xfrm>
            <a:off x="368" y="25574"/>
            <a:ext cx="0" cy="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8" name="Line 279"/>
          <xdr:cNvSpPr>
            <a:spLocks/>
          </xdr:cNvSpPr>
        </xdr:nvSpPr>
        <xdr:spPr>
          <a:xfrm>
            <a:off x="320" y="25622"/>
            <a:ext cx="28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9" name="Line 280"/>
          <xdr:cNvSpPr>
            <a:spLocks/>
          </xdr:cNvSpPr>
        </xdr:nvSpPr>
        <xdr:spPr>
          <a:xfrm>
            <a:off x="244" y="25573"/>
            <a:ext cx="4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0" name="Line 281"/>
          <xdr:cNvSpPr>
            <a:spLocks/>
          </xdr:cNvSpPr>
        </xdr:nvSpPr>
        <xdr:spPr>
          <a:xfrm>
            <a:off x="244" y="25582"/>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1" name="Line 282"/>
          <xdr:cNvSpPr>
            <a:spLocks/>
          </xdr:cNvSpPr>
        </xdr:nvSpPr>
        <xdr:spPr>
          <a:xfrm>
            <a:off x="273" y="25582"/>
            <a:ext cx="0" cy="6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82" name="Line 283"/>
          <xdr:cNvSpPr>
            <a:spLocks/>
          </xdr:cNvSpPr>
        </xdr:nvSpPr>
        <xdr:spPr>
          <a:xfrm>
            <a:off x="288" y="25573"/>
            <a:ext cx="0" cy="7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83" name="Line 284"/>
          <xdr:cNvSpPr>
            <a:spLocks/>
          </xdr:cNvSpPr>
        </xdr:nvSpPr>
        <xdr:spPr>
          <a:xfrm>
            <a:off x="256" y="25590"/>
            <a:ext cx="0" cy="6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84" name="Line 285"/>
          <xdr:cNvSpPr>
            <a:spLocks/>
          </xdr:cNvSpPr>
        </xdr:nvSpPr>
        <xdr:spPr>
          <a:xfrm flipH="1">
            <a:off x="349" y="25574"/>
            <a:ext cx="48" cy="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5" name="Line 286"/>
          <xdr:cNvSpPr>
            <a:spLocks/>
          </xdr:cNvSpPr>
        </xdr:nvSpPr>
        <xdr:spPr>
          <a:xfrm>
            <a:off x="368" y="25582"/>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6" name="Line 287"/>
          <xdr:cNvSpPr>
            <a:spLocks/>
          </xdr:cNvSpPr>
        </xdr:nvSpPr>
        <xdr:spPr>
          <a:xfrm>
            <a:off x="368" y="25590"/>
            <a:ext cx="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7" name="Line 288"/>
          <xdr:cNvSpPr>
            <a:spLocks/>
          </xdr:cNvSpPr>
        </xdr:nvSpPr>
        <xdr:spPr>
          <a:xfrm>
            <a:off x="368" y="25573"/>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8" name="Line 289"/>
          <xdr:cNvSpPr>
            <a:spLocks/>
          </xdr:cNvSpPr>
        </xdr:nvSpPr>
        <xdr:spPr>
          <a:xfrm>
            <a:off x="348" y="2565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9" name="Line 290"/>
          <xdr:cNvSpPr>
            <a:spLocks/>
          </xdr:cNvSpPr>
        </xdr:nvSpPr>
        <xdr:spPr>
          <a:xfrm flipV="1">
            <a:off x="512" y="25574"/>
            <a:ext cx="0" cy="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0" name="Line 291"/>
          <xdr:cNvSpPr>
            <a:spLocks/>
          </xdr:cNvSpPr>
        </xdr:nvSpPr>
        <xdr:spPr>
          <a:xfrm>
            <a:off x="548" y="25630"/>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1" name="Line 292"/>
          <xdr:cNvSpPr>
            <a:spLocks/>
          </xdr:cNvSpPr>
        </xdr:nvSpPr>
        <xdr:spPr>
          <a:xfrm>
            <a:off x="548" y="25652"/>
            <a:ext cx="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2" name="Line 293"/>
          <xdr:cNvSpPr>
            <a:spLocks/>
          </xdr:cNvSpPr>
        </xdr:nvSpPr>
        <xdr:spPr>
          <a:xfrm>
            <a:off x="512" y="25656"/>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3" name="Line 294"/>
          <xdr:cNvSpPr>
            <a:spLocks/>
          </xdr:cNvSpPr>
        </xdr:nvSpPr>
        <xdr:spPr>
          <a:xfrm>
            <a:off x="544" y="25656"/>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4" name="Line 295"/>
          <xdr:cNvSpPr>
            <a:spLocks/>
          </xdr:cNvSpPr>
        </xdr:nvSpPr>
        <xdr:spPr>
          <a:xfrm>
            <a:off x="512" y="25678"/>
            <a:ext cx="3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95" name="Line 296"/>
          <xdr:cNvSpPr>
            <a:spLocks/>
          </xdr:cNvSpPr>
        </xdr:nvSpPr>
        <xdr:spPr>
          <a:xfrm flipV="1">
            <a:off x="576" y="25630"/>
            <a:ext cx="0" cy="2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96" name="Line 297"/>
          <xdr:cNvSpPr>
            <a:spLocks/>
          </xdr:cNvSpPr>
        </xdr:nvSpPr>
        <xdr:spPr>
          <a:xfrm flipV="1">
            <a:off x="592" y="25621"/>
            <a:ext cx="0" cy="3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97" name="Line 298"/>
          <xdr:cNvSpPr>
            <a:spLocks/>
          </xdr:cNvSpPr>
        </xdr:nvSpPr>
        <xdr:spPr>
          <a:xfrm>
            <a:off x="489" y="25582"/>
            <a:ext cx="2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298" name="Line 299"/>
          <xdr:cNvSpPr>
            <a:spLocks/>
          </xdr:cNvSpPr>
        </xdr:nvSpPr>
        <xdr:spPr>
          <a:xfrm>
            <a:off x="488" y="25590"/>
            <a:ext cx="2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5</xdr:col>
      <xdr:colOff>76200</xdr:colOff>
      <xdr:row>995</xdr:row>
      <xdr:rowOff>38100</xdr:rowOff>
    </xdr:from>
    <xdr:to>
      <xdr:col>38</xdr:col>
      <xdr:colOff>38100</xdr:colOff>
      <xdr:row>1001</xdr:row>
      <xdr:rowOff>47625</xdr:rowOff>
    </xdr:to>
    <xdr:grpSp>
      <xdr:nvGrpSpPr>
        <xdr:cNvPr id="299" name="Group 300"/>
        <xdr:cNvGrpSpPr>
          <a:grpSpLocks/>
        </xdr:cNvGrpSpPr>
      </xdr:nvGrpSpPr>
      <xdr:grpSpPr>
        <a:xfrm>
          <a:off x="838200" y="237534450"/>
          <a:ext cx="4991100" cy="1495425"/>
          <a:chOff x="88" y="24044"/>
          <a:chExt cx="524" cy="157"/>
        </a:xfrm>
        <a:solidFill>
          <a:srgbClr val="FFFFFF"/>
        </a:solidFill>
      </xdr:grpSpPr>
      <xdr:sp>
        <xdr:nvSpPr>
          <xdr:cNvPr id="300" name="Rectangle 301"/>
          <xdr:cNvSpPr>
            <a:spLocks/>
          </xdr:cNvSpPr>
        </xdr:nvSpPr>
        <xdr:spPr>
          <a:xfrm>
            <a:off x="96" y="24091"/>
            <a:ext cx="144" cy="7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1" name="Line 302"/>
          <xdr:cNvSpPr>
            <a:spLocks/>
          </xdr:cNvSpPr>
        </xdr:nvSpPr>
        <xdr:spPr>
          <a:xfrm>
            <a:off x="239" y="24173"/>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2" name="Line 303"/>
          <xdr:cNvSpPr>
            <a:spLocks/>
          </xdr:cNvSpPr>
        </xdr:nvSpPr>
        <xdr:spPr>
          <a:xfrm>
            <a:off x="256" y="24149"/>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3" name="AutoShape 304"/>
          <xdr:cNvSpPr>
            <a:spLocks/>
          </xdr:cNvSpPr>
        </xdr:nvSpPr>
        <xdr:spPr>
          <a:xfrm>
            <a:off x="100"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4" name="AutoShape 305"/>
          <xdr:cNvSpPr>
            <a:spLocks/>
          </xdr:cNvSpPr>
        </xdr:nvSpPr>
        <xdr:spPr>
          <a:xfrm>
            <a:off x="116"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5" name="AutoShape 306"/>
          <xdr:cNvSpPr>
            <a:spLocks/>
          </xdr:cNvSpPr>
        </xdr:nvSpPr>
        <xdr:spPr>
          <a:xfrm>
            <a:off x="132"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6" name="AutoShape 307"/>
          <xdr:cNvSpPr>
            <a:spLocks/>
          </xdr:cNvSpPr>
        </xdr:nvSpPr>
        <xdr:spPr>
          <a:xfrm>
            <a:off x="148"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7" name="AutoShape 308"/>
          <xdr:cNvSpPr>
            <a:spLocks/>
          </xdr:cNvSpPr>
        </xdr:nvSpPr>
        <xdr:spPr>
          <a:xfrm>
            <a:off x="164"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8" name="AutoShape 309"/>
          <xdr:cNvSpPr>
            <a:spLocks/>
          </xdr:cNvSpPr>
        </xdr:nvSpPr>
        <xdr:spPr>
          <a:xfrm>
            <a:off x="180"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9" name="AutoShape 310"/>
          <xdr:cNvSpPr>
            <a:spLocks/>
          </xdr:cNvSpPr>
        </xdr:nvSpPr>
        <xdr:spPr>
          <a:xfrm>
            <a:off x="196"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0" name="AutoShape 311"/>
          <xdr:cNvSpPr>
            <a:spLocks/>
          </xdr:cNvSpPr>
        </xdr:nvSpPr>
        <xdr:spPr>
          <a:xfrm>
            <a:off x="212"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1" name="AutoShape 312"/>
          <xdr:cNvSpPr>
            <a:spLocks/>
          </xdr:cNvSpPr>
        </xdr:nvSpPr>
        <xdr:spPr>
          <a:xfrm>
            <a:off x="228"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2" name="AutoShape 313"/>
          <xdr:cNvSpPr>
            <a:spLocks/>
          </xdr:cNvSpPr>
        </xdr:nvSpPr>
        <xdr:spPr>
          <a:xfrm>
            <a:off x="138" y="24149"/>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3" name="AutoShape 314"/>
          <xdr:cNvSpPr>
            <a:spLocks/>
          </xdr:cNvSpPr>
        </xdr:nvSpPr>
        <xdr:spPr>
          <a:xfrm>
            <a:off x="202" y="24149"/>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4" name="Line 315"/>
          <xdr:cNvSpPr>
            <a:spLocks/>
          </xdr:cNvSpPr>
        </xdr:nvSpPr>
        <xdr:spPr>
          <a:xfrm>
            <a:off x="112" y="24151"/>
            <a:ext cx="125" cy="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5" name="AutoShape 316"/>
          <xdr:cNvSpPr>
            <a:spLocks/>
          </xdr:cNvSpPr>
        </xdr:nvSpPr>
        <xdr:spPr>
          <a:xfrm>
            <a:off x="138" y="24149"/>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6" name="AutoShape 317"/>
          <xdr:cNvSpPr>
            <a:spLocks/>
          </xdr:cNvSpPr>
        </xdr:nvSpPr>
        <xdr:spPr>
          <a:xfrm>
            <a:off x="202" y="24149"/>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7" name="Line 318"/>
          <xdr:cNvSpPr>
            <a:spLocks/>
          </xdr:cNvSpPr>
        </xdr:nvSpPr>
        <xdr:spPr>
          <a:xfrm>
            <a:off x="112" y="24151"/>
            <a:ext cx="125" cy="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8" name="Rectangle 319"/>
          <xdr:cNvSpPr>
            <a:spLocks/>
          </xdr:cNvSpPr>
        </xdr:nvSpPr>
        <xdr:spPr>
          <a:xfrm>
            <a:off x="334" y="24071"/>
            <a:ext cx="37" cy="16"/>
          </a:xfrm>
          <a:prstGeom prst="rect">
            <a:avLst/>
          </a:prstGeom>
          <a:noFill/>
          <a:ln w="9525" cmpd="sng">
            <a:noFill/>
          </a:ln>
        </xdr:spPr>
        <xdr:txBody>
          <a:bodyPr vertOverflow="clip" wrap="square"/>
          <a:p>
            <a:pPr algn="l">
              <a:defRPr/>
            </a:pPr>
            <a:r>
              <a:rPr lang="en-US" cap="none" sz="900" b="0" i="0" u="none" baseline="0"/>
              <a:t>εcu</a:t>
            </a:r>
          </a:p>
        </xdr:txBody>
      </xdr:sp>
      <xdr:sp>
        <xdr:nvSpPr>
          <xdr:cNvPr id="319" name="Rectangle 320"/>
          <xdr:cNvSpPr>
            <a:spLocks/>
          </xdr:cNvSpPr>
        </xdr:nvSpPr>
        <xdr:spPr>
          <a:xfrm>
            <a:off x="512" y="24091"/>
            <a:ext cx="32" cy="2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0" name="Line 321"/>
          <xdr:cNvSpPr>
            <a:spLocks/>
          </xdr:cNvSpPr>
        </xdr:nvSpPr>
        <xdr:spPr>
          <a:xfrm>
            <a:off x="345" y="24091"/>
            <a:ext cx="59"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1" name="Line 322"/>
          <xdr:cNvSpPr>
            <a:spLocks/>
          </xdr:cNvSpPr>
        </xdr:nvSpPr>
        <xdr:spPr>
          <a:xfrm>
            <a:off x="345" y="24091"/>
            <a:ext cx="22"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22" name="Line 323"/>
          <xdr:cNvSpPr>
            <a:spLocks/>
          </xdr:cNvSpPr>
        </xdr:nvSpPr>
        <xdr:spPr>
          <a:xfrm>
            <a:off x="346" y="24091"/>
            <a:ext cx="21"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23" name="Line 324"/>
          <xdr:cNvSpPr>
            <a:spLocks/>
          </xdr:cNvSpPr>
        </xdr:nvSpPr>
        <xdr:spPr>
          <a:xfrm>
            <a:off x="367" y="24169"/>
            <a:ext cx="37"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24" name="Rectangle 325"/>
          <xdr:cNvSpPr>
            <a:spLocks/>
          </xdr:cNvSpPr>
        </xdr:nvSpPr>
        <xdr:spPr>
          <a:xfrm>
            <a:off x="460" y="24141"/>
            <a:ext cx="21" cy="16"/>
          </a:xfrm>
          <a:prstGeom prst="rect">
            <a:avLst/>
          </a:prstGeom>
          <a:noFill/>
          <a:ln w="9525" cmpd="sng">
            <a:noFill/>
          </a:ln>
        </xdr:spPr>
        <xdr:txBody>
          <a:bodyPr vertOverflow="clip" wrap="square"/>
          <a:p>
            <a:pPr algn="l">
              <a:defRPr/>
            </a:pPr>
            <a:r>
              <a:rPr lang="en-US" cap="none" sz="900" b="0" i="0" u="none" baseline="0"/>
              <a:t>Tp</a:t>
            </a:r>
          </a:p>
        </xdr:txBody>
      </xdr:sp>
      <xdr:sp>
        <xdr:nvSpPr>
          <xdr:cNvPr id="325" name="Rectangle 326"/>
          <xdr:cNvSpPr>
            <a:spLocks/>
          </xdr:cNvSpPr>
        </xdr:nvSpPr>
        <xdr:spPr>
          <a:xfrm>
            <a:off x="461" y="24155"/>
            <a:ext cx="21" cy="16"/>
          </a:xfrm>
          <a:prstGeom prst="rect">
            <a:avLst/>
          </a:prstGeom>
          <a:noFill/>
          <a:ln w="9525" cmpd="sng">
            <a:noFill/>
          </a:ln>
        </xdr:spPr>
        <xdr:txBody>
          <a:bodyPr vertOverflow="clip" wrap="square"/>
          <a:p>
            <a:pPr algn="l">
              <a:defRPr/>
            </a:pPr>
            <a:r>
              <a:rPr lang="en-US" cap="none" sz="900" b="0" i="0" u="none" baseline="0"/>
              <a:t>Ts</a:t>
            </a:r>
          </a:p>
        </xdr:txBody>
      </xdr:sp>
      <xdr:sp>
        <xdr:nvSpPr>
          <xdr:cNvPr id="326" name="Rectangle 327"/>
          <xdr:cNvSpPr>
            <a:spLocks/>
          </xdr:cNvSpPr>
        </xdr:nvSpPr>
        <xdr:spPr>
          <a:xfrm>
            <a:off x="502" y="24044"/>
            <a:ext cx="54" cy="16"/>
          </a:xfrm>
          <a:prstGeom prst="rect">
            <a:avLst/>
          </a:prstGeom>
          <a:noFill/>
          <a:ln w="9525" cmpd="sng">
            <a:noFill/>
          </a:ln>
        </xdr:spPr>
        <xdr:txBody>
          <a:bodyPr vertOverflow="clip" wrap="square"/>
          <a:p>
            <a:pPr algn="l">
              <a:defRPr/>
            </a:pPr>
            <a:r>
              <a:rPr lang="en-US" cap="none" sz="900" b="0" i="0" u="none" baseline="0"/>
              <a:t>0.85</a:t>
            </a:r>
            <a:r>
              <a:rPr lang="en-US" cap="none" sz="900" b="0" i="0" u="none" baseline="0">
                <a:latin typeface="돋움"/>
                <a:ea typeface="돋움"/>
                <a:cs typeface="돋움"/>
              </a:rPr>
              <a:t>σ</a:t>
            </a:r>
            <a:r>
              <a:rPr lang="en-US" cap="none" sz="900" b="0" i="0" u="none" baseline="0"/>
              <a:t>ck</a:t>
            </a:r>
          </a:p>
        </xdr:txBody>
      </xdr:sp>
      <xdr:sp>
        <xdr:nvSpPr>
          <xdr:cNvPr id="327" name="Rectangle 328"/>
          <xdr:cNvSpPr>
            <a:spLocks/>
          </xdr:cNvSpPr>
        </xdr:nvSpPr>
        <xdr:spPr>
          <a:xfrm>
            <a:off x="158" y="24180"/>
            <a:ext cx="30" cy="16"/>
          </a:xfrm>
          <a:prstGeom prst="rect">
            <a:avLst/>
          </a:prstGeom>
          <a:noFill/>
          <a:ln w="9525" cmpd="sng">
            <a:noFill/>
          </a:ln>
        </xdr:spPr>
        <xdr:txBody>
          <a:bodyPr vertOverflow="clip" wrap="square"/>
          <a:p>
            <a:pPr algn="l">
              <a:defRPr/>
            </a:pPr>
            <a:r>
              <a:rPr lang="en-US" cap="none" sz="900" b="0" i="0" u="none" baseline="0"/>
              <a:t>1000</a:t>
            </a:r>
          </a:p>
        </xdr:txBody>
      </xdr:sp>
      <xdr:sp>
        <xdr:nvSpPr>
          <xdr:cNvPr id="328" name="Rectangle 329"/>
          <xdr:cNvSpPr>
            <a:spLocks/>
          </xdr:cNvSpPr>
        </xdr:nvSpPr>
        <xdr:spPr>
          <a:xfrm>
            <a:off x="393" y="24141"/>
            <a:ext cx="57" cy="16"/>
          </a:xfrm>
          <a:prstGeom prst="rect">
            <a:avLst/>
          </a:prstGeom>
          <a:noFill/>
          <a:ln w="9525" cmpd="sng">
            <a:noFill/>
          </a:ln>
        </xdr:spPr>
        <xdr:txBody>
          <a:bodyPr vertOverflow="clip" wrap="square"/>
          <a:p>
            <a:pPr algn="l">
              <a:defRPr/>
            </a:pPr>
            <a:r>
              <a:rPr lang="en-US" cap="none" sz="900" b="0" i="0" u="none" baseline="0"/>
              <a:t>εp-εpe</a:t>
            </a:r>
          </a:p>
        </xdr:txBody>
      </xdr:sp>
      <xdr:sp>
        <xdr:nvSpPr>
          <xdr:cNvPr id="329" name="Rectangle 330"/>
          <xdr:cNvSpPr>
            <a:spLocks/>
          </xdr:cNvSpPr>
        </xdr:nvSpPr>
        <xdr:spPr>
          <a:xfrm>
            <a:off x="407" y="24153"/>
            <a:ext cx="26" cy="14"/>
          </a:xfrm>
          <a:prstGeom prst="rect">
            <a:avLst/>
          </a:prstGeom>
          <a:noFill/>
          <a:ln w="9525" cmpd="sng">
            <a:noFill/>
          </a:ln>
        </xdr:spPr>
        <xdr:txBody>
          <a:bodyPr vertOverflow="clip" wrap="square"/>
          <a:p>
            <a:pPr algn="l">
              <a:defRPr/>
            </a:pPr>
            <a:r>
              <a:rPr lang="en-US" cap="none" sz="900" b="0" i="0" u="none" baseline="0"/>
              <a:t>εs</a:t>
            </a:r>
          </a:p>
        </xdr:txBody>
      </xdr:sp>
      <xdr:sp>
        <xdr:nvSpPr>
          <xdr:cNvPr id="330" name="Line 331"/>
          <xdr:cNvSpPr>
            <a:spLocks/>
          </xdr:cNvSpPr>
        </xdr:nvSpPr>
        <xdr:spPr>
          <a:xfrm>
            <a:off x="96" y="24173"/>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1" name="Line 332"/>
          <xdr:cNvSpPr>
            <a:spLocks/>
          </xdr:cNvSpPr>
        </xdr:nvSpPr>
        <xdr:spPr>
          <a:xfrm>
            <a:off x="240" y="24173"/>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2" name="Line 333"/>
          <xdr:cNvSpPr>
            <a:spLocks/>
          </xdr:cNvSpPr>
        </xdr:nvSpPr>
        <xdr:spPr>
          <a:xfrm>
            <a:off x="96" y="24196"/>
            <a:ext cx="144"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33" name="Line 334"/>
          <xdr:cNvSpPr>
            <a:spLocks/>
          </xdr:cNvSpPr>
        </xdr:nvSpPr>
        <xdr:spPr>
          <a:xfrm>
            <a:off x="244" y="24169"/>
            <a:ext cx="4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4" name="Line 335"/>
          <xdr:cNvSpPr>
            <a:spLocks/>
          </xdr:cNvSpPr>
        </xdr:nvSpPr>
        <xdr:spPr>
          <a:xfrm>
            <a:off x="244" y="24091"/>
            <a:ext cx="4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5" name="Line 336"/>
          <xdr:cNvSpPr>
            <a:spLocks/>
          </xdr:cNvSpPr>
        </xdr:nvSpPr>
        <xdr:spPr>
          <a:xfrm>
            <a:off x="244" y="24161"/>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6" name="Line 337"/>
          <xdr:cNvSpPr>
            <a:spLocks/>
          </xdr:cNvSpPr>
        </xdr:nvSpPr>
        <xdr:spPr>
          <a:xfrm>
            <a:off x="244" y="2415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7" name="Line 338"/>
          <xdr:cNvSpPr>
            <a:spLocks/>
          </xdr:cNvSpPr>
        </xdr:nvSpPr>
        <xdr:spPr>
          <a:xfrm>
            <a:off x="88" y="24131"/>
            <a:ext cx="524"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8" name="Line 339"/>
          <xdr:cNvSpPr>
            <a:spLocks/>
          </xdr:cNvSpPr>
        </xdr:nvSpPr>
        <xdr:spPr>
          <a:xfrm>
            <a:off x="337" y="24121"/>
            <a:ext cx="259"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9" name="Line 340"/>
          <xdr:cNvSpPr>
            <a:spLocks/>
          </xdr:cNvSpPr>
        </xdr:nvSpPr>
        <xdr:spPr>
          <a:xfrm>
            <a:off x="368" y="24092"/>
            <a:ext cx="0"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0" name="Line 341"/>
          <xdr:cNvSpPr>
            <a:spLocks/>
          </xdr:cNvSpPr>
        </xdr:nvSpPr>
        <xdr:spPr>
          <a:xfrm>
            <a:off x="265" y="24152"/>
            <a:ext cx="74" cy="0"/>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41" name="Line 342"/>
          <xdr:cNvSpPr>
            <a:spLocks/>
          </xdr:cNvSpPr>
        </xdr:nvSpPr>
        <xdr:spPr>
          <a:xfrm>
            <a:off x="512" y="24091"/>
            <a:ext cx="0"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2" name="Line 343"/>
          <xdr:cNvSpPr>
            <a:spLocks/>
          </xdr:cNvSpPr>
        </xdr:nvSpPr>
        <xdr:spPr>
          <a:xfrm>
            <a:off x="345" y="24091"/>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3" name="Line 344"/>
          <xdr:cNvSpPr>
            <a:spLocks/>
          </xdr:cNvSpPr>
        </xdr:nvSpPr>
        <xdr:spPr>
          <a:xfrm>
            <a:off x="368" y="24171"/>
            <a:ext cx="3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4" name="Line 345"/>
          <xdr:cNvSpPr>
            <a:spLocks/>
          </xdr:cNvSpPr>
        </xdr:nvSpPr>
        <xdr:spPr>
          <a:xfrm>
            <a:off x="368" y="24152"/>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5" name="Line 346"/>
          <xdr:cNvSpPr>
            <a:spLocks/>
          </xdr:cNvSpPr>
        </xdr:nvSpPr>
        <xdr:spPr>
          <a:xfrm>
            <a:off x="368" y="24161"/>
            <a:ext cx="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6" name="Line 347"/>
          <xdr:cNvSpPr>
            <a:spLocks/>
          </xdr:cNvSpPr>
        </xdr:nvSpPr>
        <xdr:spPr>
          <a:xfrm>
            <a:off x="288" y="24091"/>
            <a:ext cx="0" cy="7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47" name="Line 348"/>
          <xdr:cNvSpPr>
            <a:spLocks/>
          </xdr:cNvSpPr>
        </xdr:nvSpPr>
        <xdr:spPr>
          <a:xfrm>
            <a:off x="272" y="24091"/>
            <a:ext cx="0" cy="7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48" name="Line 349"/>
          <xdr:cNvSpPr>
            <a:spLocks/>
          </xdr:cNvSpPr>
        </xdr:nvSpPr>
        <xdr:spPr>
          <a:xfrm>
            <a:off x="256" y="24091"/>
            <a:ext cx="0" cy="6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49" name="Line 350"/>
          <xdr:cNvSpPr>
            <a:spLocks/>
          </xdr:cNvSpPr>
        </xdr:nvSpPr>
        <xdr:spPr>
          <a:xfrm>
            <a:off x="512" y="24102"/>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0" name="Line 351"/>
          <xdr:cNvSpPr>
            <a:spLocks/>
          </xdr:cNvSpPr>
        </xdr:nvSpPr>
        <xdr:spPr>
          <a:xfrm>
            <a:off x="512" y="24097"/>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1" name="Line 352"/>
          <xdr:cNvSpPr>
            <a:spLocks/>
          </xdr:cNvSpPr>
        </xdr:nvSpPr>
        <xdr:spPr>
          <a:xfrm>
            <a:off x="512" y="2410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2" name="Line 353"/>
          <xdr:cNvSpPr>
            <a:spLocks/>
          </xdr:cNvSpPr>
        </xdr:nvSpPr>
        <xdr:spPr>
          <a:xfrm>
            <a:off x="487" y="24152"/>
            <a:ext cx="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53" name="Line 354"/>
          <xdr:cNvSpPr>
            <a:spLocks/>
          </xdr:cNvSpPr>
        </xdr:nvSpPr>
        <xdr:spPr>
          <a:xfrm>
            <a:off x="487" y="24161"/>
            <a:ext cx="2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54" name="Line 355"/>
          <xdr:cNvSpPr>
            <a:spLocks/>
          </xdr:cNvSpPr>
        </xdr:nvSpPr>
        <xdr:spPr>
          <a:xfrm>
            <a:off x="548" y="24091"/>
            <a:ext cx="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5" name="Line 356"/>
          <xdr:cNvSpPr>
            <a:spLocks/>
          </xdr:cNvSpPr>
        </xdr:nvSpPr>
        <xdr:spPr>
          <a:xfrm>
            <a:off x="548" y="2411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6" name="Line 357"/>
          <xdr:cNvSpPr>
            <a:spLocks/>
          </xdr:cNvSpPr>
        </xdr:nvSpPr>
        <xdr:spPr>
          <a:xfrm>
            <a:off x="592" y="24091"/>
            <a:ext cx="0" cy="3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57" name="Line 358"/>
          <xdr:cNvSpPr>
            <a:spLocks/>
          </xdr:cNvSpPr>
        </xdr:nvSpPr>
        <xdr:spPr>
          <a:xfrm>
            <a:off x="576" y="24091"/>
            <a:ext cx="0" cy="2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58" name="Line 359"/>
          <xdr:cNvSpPr>
            <a:spLocks/>
          </xdr:cNvSpPr>
        </xdr:nvSpPr>
        <xdr:spPr>
          <a:xfrm flipV="1">
            <a:off x="512" y="24061"/>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9" name="Line 360"/>
          <xdr:cNvSpPr>
            <a:spLocks/>
          </xdr:cNvSpPr>
        </xdr:nvSpPr>
        <xdr:spPr>
          <a:xfrm flipV="1">
            <a:off x="544" y="24062"/>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0" name="Line 361"/>
          <xdr:cNvSpPr>
            <a:spLocks/>
          </xdr:cNvSpPr>
        </xdr:nvSpPr>
        <xdr:spPr>
          <a:xfrm>
            <a:off x="512" y="24066"/>
            <a:ext cx="3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32</xdr:col>
      <xdr:colOff>133350</xdr:colOff>
      <xdr:row>844</xdr:row>
      <xdr:rowOff>47625</xdr:rowOff>
    </xdr:from>
    <xdr:to>
      <xdr:col>37</xdr:col>
      <xdr:colOff>0</xdr:colOff>
      <xdr:row>845</xdr:row>
      <xdr:rowOff>142875</xdr:rowOff>
    </xdr:to>
    <xdr:sp>
      <xdr:nvSpPr>
        <xdr:cNvPr id="361" name="AutoShape 362"/>
        <xdr:cNvSpPr>
          <a:spLocks/>
        </xdr:cNvSpPr>
      </xdr:nvSpPr>
      <xdr:spPr>
        <a:xfrm>
          <a:off x="5010150" y="20014882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圧縮</a:t>
          </a:r>
          <a:r>
            <a:rPr lang="en-US" cap="none" sz="900" b="0" i="0" u="none" baseline="0">
              <a:latin typeface="돋움"/>
              <a:ea typeface="돋움"/>
              <a:cs typeface="돋움"/>
            </a:rPr>
            <a:t>  (-) 
 引張  (+)</a:t>
          </a:r>
        </a:p>
      </xdr:txBody>
    </xdr:sp>
    <xdr:clientData/>
  </xdr:twoCellAnchor>
  <xdr:twoCellAnchor>
    <xdr:from>
      <xdr:col>32</xdr:col>
      <xdr:colOff>133350</xdr:colOff>
      <xdr:row>854</xdr:row>
      <xdr:rowOff>47625</xdr:rowOff>
    </xdr:from>
    <xdr:to>
      <xdr:col>37</xdr:col>
      <xdr:colOff>0</xdr:colOff>
      <xdr:row>855</xdr:row>
      <xdr:rowOff>142875</xdr:rowOff>
    </xdr:to>
    <xdr:sp>
      <xdr:nvSpPr>
        <xdr:cNvPr id="362" name="AutoShape 363"/>
        <xdr:cNvSpPr>
          <a:spLocks/>
        </xdr:cNvSpPr>
      </xdr:nvSpPr>
      <xdr:spPr>
        <a:xfrm>
          <a:off x="5010150" y="20262532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圧縮</a:t>
          </a:r>
          <a:r>
            <a:rPr lang="en-US" cap="none" sz="900" b="0" i="0" u="none" baseline="0">
              <a:latin typeface="돋움"/>
              <a:ea typeface="돋움"/>
              <a:cs typeface="돋움"/>
            </a:rPr>
            <a:t>  (-) 
 引張  (+)</a:t>
          </a:r>
        </a:p>
      </xdr:txBody>
    </xdr:sp>
    <xdr:clientData/>
  </xdr:twoCellAnchor>
  <xdr:twoCellAnchor>
    <xdr:from>
      <xdr:col>13</xdr:col>
      <xdr:colOff>95250</xdr:colOff>
      <xdr:row>828</xdr:row>
      <xdr:rowOff>28575</xdr:rowOff>
    </xdr:from>
    <xdr:to>
      <xdr:col>37</xdr:col>
      <xdr:colOff>47625</xdr:colOff>
      <xdr:row>832</xdr:row>
      <xdr:rowOff>200025</xdr:rowOff>
    </xdr:to>
    <xdr:grpSp>
      <xdr:nvGrpSpPr>
        <xdr:cNvPr id="363" name="Group 364"/>
        <xdr:cNvGrpSpPr>
          <a:grpSpLocks/>
        </xdr:cNvGrpSpPr>
      </xdr:nvGrpSpPr>
      <xdr:grpSpPr>
        <a:xfrm>
          <a:off x="2076450" y="196167375"/>
          <a:ext cx="3609975" cy="1162050"/>
          <a:chOff x="218" y="21466"/>
          <a:chExt cx="379" cy="123"/>
        </a:xfrm>
        <a:solidFill>
          <a:srgbClr val="FFFFFF"/>
        </a:solidFill>
      </xdr:grpSpPr>
      <xdr:sp>
        <xdr:nvSpPr>
          <xdr:cNvPr id="364" name="Rectangle 365"/>
          <xdr:cNvSpPr>
            <a:spLocks/>
          </xdr:cNvSpPr>
        </xdr:nvSpPr>
        <xdr:spPr>
          <a:xfrm>
            <a:off x="482" y="21573"/>
            <a:ext cx="37" cy="16"/>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σ</a:t>
            </a:r>
            <a:r>
              <a:rPr lang="en-US" cap="none" sz="900" b="0" i="0" u="none" baseline="0"/>
              <a:t>ct'</a:t>
            </a:r>
          </a:p>
        </xdr:txBody>
      </xdr:sp>
      <xdr:sp>
        <xdr:nvSpPr>
          <xdr:cNvPr id="365" name="Line 366"/>
          <xdr:cNvSpPr>
            <a:spLocks/>
          </xdr:cNvSpPr>
        </xdr:nvSpPr>
        <xdr:spPr>
          <a:xfrm>
            <a:off x="409" y="21579"/>
            <a:ext cx="74" cy="0"/>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66" name="Rectangle 367"/>
          <xdr:cNvSpPr>
            <a:spLocks/>
          </xdr:cNvSpPr>
        </xdr:nvSpPr>
        <xdr:spPr>
          <a:xfrm>
            <a:off x="510" y="21473"/>
            <a:ext cx="33" cy="15"/>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σ</a:t>
            </a:r>
            <a:r>
              <a:rPr lang="en-US" cap="none" sz="900" b="0" i="0" u="none" baseline="0"/>
              <a:t>ct</a:t>
            </a:r>
          </a:p>
        </xdr:txBody>
      </xdr:sp>
      <xdr:sp>
        <xdr:nvSpPr>
          <xdr:cNvPr id="367" name="Rectangle 368"/>
          <xdr:cNvSpPr>
            <a:spLocks/>
          </xdr:cNvSpPr>
        </xdr:nvSpPr>
        <xdr:spPr>
          <a:xfrm>
            <a:off x="240" y="21491"/>
            <a:ext cx="144" cy="7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8" name="Line 369"/>
          <xdr:cNvSpPr>
            <a:spLocks/>
          </xdr:cNvSpPr>
        </xdr:nvSpPr>
        <xdr:spPr>
          <a:xfrm>
            <a:off x="383" y="21513"/>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9" name="Line 370"/>
          <xdr:cNvSpPr>
            <a:spLocks/>
          </xdr:cNvSpPr>
        </xdr:nvSpPr>
        <xdr:spPr>
          <a:xfrm>
            <a:off x="400" y="21549"/>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0" name="AutoShape 371"/>
          <xdr:cNvSpPr>
            <a:spLocks/>
          </xdr:cNvSpPr>
        </xdr:nvSpPr>
        <xdr:spPr>
          <a:xfrm>
            <a:off x="244"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1" name="AutoShape 372"/>
          <xdr:cNvSpPr>
            <a:spLocks/>
          </xdr:cNvSpPr>
        </xdr:nvSpPr>
        <xdr:spPr>
          <a:xfrm>
            <a:off x="260"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2" name="AutoShape 373"/>
          <xdr:cNvSpPr>
            <a:spLocks/>
          </xdr:cNvSpPr>
        </xdr:nvSpPr>
        <xdr:spPr>
          <a:xfrm>
            <a:off x="276"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3" name="AutoShape 374"/>
          <xdr:cNvSpPr>
            <a:spLocks/>
          </xdr:cNvSpPr>
        </xdr:nvSpPr>
        <xdr:spPr>
          <a:xfrm>
            <a:off x="292"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4" name="AutoShape 375"/>
          <xdr:cNvSpPr>
            <a:spLocks/>
          </xdr:cNvSpPr>
        </xdr:nvSpPr>
        <xdr:spPr>
          <a:xfrm>
            <a:off x="308"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5" name="AutoShape 376"/>
          <xdr:cNvSpPr>
            <a:spLocks/>
          </xdr:cNvSpPr>
        </xdr:nvSpPr>
        <xdr:spPr>
          <a:xfrm>
            <a:off x="324"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6" name="AutoShape 377"/>
          <xdr:cNvSpPr>
            <a:spLocks/>
          </xdr:cNvSpPr>
        </xdr:nvSpPr>
        <xdr:spPr>
          <a:xfrm>
            <a:off x="340"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7" name="AutoShape 378"/>
          <xdr:cNvSpPr>
            <a:spLocks/>
          </xdr:cNvSpPr>
        </xdr:nvSpPr>
        <xdr:spPr>
          <a:xfrm>
            <a:off x="356"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8" name="AutoShape 379"/>
          <xdr:cNvSpPr>
            <a:spLocks/>
          </xdr:cNvSpPr>
        </xdr:nvSpPr>
        <xdr:spPr>
          <a:xfrm>
            <a:off x="372"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9" name="AutoShape 380"/>
          <xdr:cNvSpPr>
            <a:spLocks/>
          </xdr:cNvSpPr>
        </xdr:nvSpPr>
        <xdr:spPr>
          <a:xfrm>
            <a:off x="282" y="21505"/>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0" name="AutoShape 381"/>
          <xdr:cNvSpPr>
            <a:spLocks/>
          </xdr:cNvSpPr>
        </xdr:nvSpPr>
        <xdr:spPr>
          <a:xfrm>
            <a:off x="346" y="21505"/>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1" name="AutoShape 382"/>
          <xdr:cNvSpPr>
            <a:spLocks/>
          </xdr:cNvSpPr>
        </xdr:nvSpPr>
        <xdr:spPr>
          <a:xfrm>
            <a:off x="282" y="21505"/>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2" name="AutoShape 383"/>
          <xdr:cNvSpPr>
            <a:spLocks/>
          </xdr:cNvSpPr>
        </xdr:nvSpPr>
        <xdr:spPr>
          <a:xfrm>
            <a:off x="346" y="21505"/>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3" name="Line 384"/>
          <xdr:cNvSpPr>
            <a:spLocks/>
          </xdr:cNvSpPr>
        </xdr:nvSpPr>
        <xdr:spPr>
          <a:xfrm>
            <a:off x="489" y="21491"/>
            <a:ext cx="22"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84" name="Line 385"/>
          <xdr:cNvSpPr>
            <a:spLocks/>
          </xdr:cNvSpPr>
        </xdr:nvSpPr>
        <xdr:spPr>
          <a:xfrm>
            <a:off x="490" y="21491"/>
            <a:ext cx="21"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85" name="Line 386"/>
          <xdr:cNvSpPr>
            <a:spLocks/>
          </xdr:cNvSpPr>
        </xdr:nvSpPr>
        <xdr:spPr>
          <a:xfrm>
            <a:off x="511" y="21569"/>
            <a:ext cx="37"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86" name="Line 387"/>
          <xdr:cNvSpPr>
            <a:spLocks/>
          </xdr:cNvSpPr>
        </xdr:nvSpPr>
        <xdr:spPr>
          <a:xfrm>
            <a:off x="388" y="21569"/>
            <a:ext cx="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7" name="Line 388"/>
          <xdr:cNvSpPr>
            <a:spLocks/>
          </xdr:cNvSpPr>
        </xdr:nvSpPr>
        <xdr:spPr>
          <a:xfrm>
            <a:off x="512" y="21492"/>
            <a:ext cx="0" cy="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8" name="Line 389"/>
          <xdr:cNvSpPr>
            <a:spLocks/>
          </xdr:cNvSpPr>
        </xdr:nvSpPr>
        <xdr:spPr>
          <a:xfrm>
            <a:off x="388" y="21491"/>
            <a:ext cx="4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9" name="Line 390"/>
          <xdr:cNvSpPr>
            <a:spLocks/>
          </xdr:cNvSpPr>
        </xdr:nvSpPr>
        <xdr:spPr>
          <a:xfrm>
            <a:off x="388" y="21500"/>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0" name="Line 391"/>
          <xdr:cNvSpPr>
            <a:spLocks/>
          </xdr:cNvSpPr>
        </xdr:nvSpPr>
        <xdr:spPr>
          <a:xfrm>
            <a:off x="417" y="21500"/>
            <a:ext cx="0" cy="6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91" name="Line 392"/>
          <xdr:cNvSpPr>
            <a:spLocks/>
          </xdr:cNvSpPr>
        </xdr:nvSpPr>
        <xdr:spPr>
          <a:xfrm>
            <a:off x="432" y="21491"/>
            <a:ext cx="0" cy="7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92" name="Line 393"/>
          <xdr:cNvSpPr>
            <a:spLocks/>
          </xdr:cNvSpPr>
        </xdr:nvSpPr>
        <xdr:spPr>
          <a:xfrm flipH="1">
            <a:off x="493" y="21492"/>
            <a:ext cx="48" cy="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3" name="Line 394"/>
          <xdr:cNvSpPr>
            <a:spLocks/>
          </xdr:cNvSpPr>
        </xdr:nvSpPr>
        <xdr:spPr>
          <a:xfrm>
            <a:off x="512" y="21500"/>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4" name="Line 395"/>
          <xdr:cNvSpPr>
            <a:spLocks/>
          </xdr:cNvSpPr>
        </xdr:nvSpPr>
        <xdr:spPr>
          <a:xfrm>
            <a:off x="512" y="21491"/>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5" name="Line 396"/>
          <xdr:cNvSpPr>
            <a:spLocks/>
          </xdr:cNvSpPr>
        </xdr:nvSpPr>
        <xdr:spPr>
          <a:xfrm>
            <a:off x="492" y="21570"/>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6" name="Line 397"/>
          <xdr:cNvSpPr>
            <a:spLocks/>
          </xdr:cNvSpPr>
        </xdr:nvSpPr>
        <xdr:spPr>
          <a:xfrm>
            <a:off x="218" y="21530"/>
            <a:ext cx="26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7" name="Line 398"/>
          <xdr:cNvSpPr>
            <a:spLocks/>
          </xdr:cNvSpPr>
        </xdr:nvSpPr>
        <xdr:spPr>
          <a:xfrm>
            <a:off x="592" y="21492"/>
            <a:ext cx="0" cy="7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98" name="Line 399"/>
          <xdr:cNvSpPr>
            <a:spLocks/>
          </xdr:cNvSpPr>
        </xdr:nvSpPr>
        <xdr:spPr>
          <a:xfrm>
            <a:off x="576" y="21493"/>
            <a:ext cx="0" cy="4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99" name="Line 400"/>
          <xdr:cNvSpPr>
            <a:spLocks/>
          </xdr:cNvSpPr>
        </xdr:nvSpPr>
        <xdr:spPr>
          <a:xfrm>
            <a:off x="479" y="21538"/>
            <a:ext cx="106"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0" name="Line 401"/>
          <xdr:cNvSpPr>
            <a:spLocks/>
          </xdr:cNvSpPr>
        </xdr:nvSpPr>
        <xdr:spPr>
          <a:xfrm>
            <a:off x="547" y="21491"/>
            <a:ext cx="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1" name="Line 402"/>
          <xdr:cNvSpPr>
            <a:spLocks/>
          </xdr:cNvSpPr>
        </xdr:nvSpPr>
        <xdr:spPr>
          <a:xfrm>
            <a:off x="516" y="21570"/>
            <a:ext cx="8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2" name="Line 403"/>
          <xdr:cNvSpPr>
            <a:spLocks/>
          </xdr:cNvSpPr>
        </xdr:nvSpPr>
        <xdr:spPr>
          <a:xfrm>
            <a:off x="541" y="21500"/>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3" name="Line 404"/>
          <xdr:cNvSpPr>
            <a:spLocks/>
          </xdr:cNvSpPr>
        </xdr:nvSpPr>
        <xdr:spPr>
          <a:xfrm flipV="1">
            <a:off x="560" y="21467"/>
            <a:ext cx="0" cy="33"/>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404" name="Line 405"/>
          <xdr:cNvSpPr>
            <a:spLocks/>
          </xdr:cNvSpPr>
        </xdr:nvSpPr>
        <xdr:spPr>
          <a:xfrm flipV="1">
            <a:off x="560" y="21466"/>
            <a:ext cx="0" cy="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405" name="Line 406"/>
          <xdr:cNvSpPr>
            <a:spLocks/>
          </xdr:cNvSpPr>
        </xdr:nvSpPr>
        <xdr:spPr>
          <a:xfrm>
            <a:off x="560" y="2149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6" name="AutoShape 407"/>
          <xdr:cNvSpPr>
            <a:spLocks/>
          </xdr:cNvSpPr>
        </xdr:nvSpPr>
        <xdr:spPr>
          <a:xfrm>
            <a:off x="244"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7" name="AutoShape 408"/>
          <xdr:cNvSpPr>
            <a:spLocks/>
          </xdr:cNvSpPr>
        </xdr:nvSpPr>
        <xdr:spPr>
          <a:xfrm>
            <a:off x="260"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8" name="AutoShape 409"/>
          <xdr:cNvSpPr>
            <a:spLocks/>
          </xdr:cNvSpPr>
        </xdr:nvSpPr>
        <xdr:spPr>
          <a:xfrm>
            <a:off x="276"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9" name="AutoShape 410"/>
          <xdr:cNvSpPr>
            <a:spLocks/>
          </xdr:cNvSpPr>
        </xdr:nvSpPr>
        <xdr:spPr>
          <a:xfrm>
            <a:off x="292"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0" name="AutoShape 411"/>
          <xdr:cNvSpPr>
            <a:spLocks/>
          </xdr:cNvSpPr>
        </xdr:nvSpPr>
        <xdr:spPr>
          <a:xfrm>
            <a:off x="308"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1" name="AutoShape 412"/>
          <xdr:cNvSpPr>
            <a:spLocks/>
          </xdr:cNvSpPr>
        </xdr:nvSpPr>
        <xdr:spPr>
          <a:xfrm>
            <a:off x="324"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2" name="AutoShape 413"/>
          <xdr:cNvSpPr>
            <a:spLocks/>
          </xdr:cNvSpPr>
        </xdr:nvSpPr>
        <xdr:spPr>
          <a:xfrm>
            <a:off x="340"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3" name="AutoShape 414"/>
          <xdr:cNvSpPr>
            <a:spLocks/>
          </xdr:cNvSpPr>
        </xdr:nvSpPr>
        <xdr:spPr>
          <a:xfrm>
            <a:off x="356"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4" name="AutoShape 415"/>
          <xdr:cNvSpPr>
            <a:spLocks/>
          </xdr:cNvSpPr>
        </xdr:nvSpPr>
        <xdr:spPr>
          <a:xfrm>
            <a:off x="372"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5" name="Line 416"/>
          <xdr:cNvSpPr>
            <a:spLocks/>
          </xdr:cNvSpPr>
        </xdr:nvSpPr>
        <xdr:spPr>
          <a:xfrm flipV="1">
            <a:off x="417" y="21467"/>
            <a:ext cx="0" cy="33"/>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416" name="Line 417"/>
          <xdr:cNvSpPr>
            <a:spLocks/>
          </xdr:cNvSpPr>
        </xdr:nvSpPr>
        <xdr:spPr>
          <a:xfrm flipV="1">
            <a:off x="417" y="21466"/>
            <a:ext cx="0" cy="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417" name="Line 418"/>
          <xdr:cNvSpPr>
            <a:spLocks/>
          </xdr:cNvSpPr>
        </xdr:nvSpPr>
        <xdr:spPr>
          <a:xfrm>
            <a:off x="417" y="2149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8" name="Rectangle 419"/>
          <xdr:cNvSpPr>
            <a:spLocks/>
          </xdr:cNvSpPr>
        </xdr:nvSpPr>
        <xdr:spPr>
          <a:xfrm>
            <a:off x="470" y="21492"/>
            <a:ext cx="46" cy="15"/>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σ</a:t>
            </a:r>
            <a:r>
              <a:rPr lang="en-US" cap="none" sz="900" b="0" i="0" u="none" baseline="0"/>
              <a:t>se/N</a:t>
            </a:r>
          </a:p>
        </xdr:txBody>
      </xdr:sp>
      <xdr:sp>
        <xdr:nvSpPr>
          <xdr:cNvPr id="419" name="Line 420"/>
          <xdr:cNvSpPr>
            <a:spLocks/>
          </xdr:cNvSpPr>
        </xdr:nvSpPr>
        <xdr:spPr>
          <a:xfrm>
            <a:off x="560" y="21500"/>
            <a:ext cx="0" cy="1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editAs="oneCell">
    <xdr:from>
      <xdr:col>5</xdr:col>
      <xdr:colOff>0</xdr:colOff>
      <xdr:row>2</xdr:row>
      <xdr:rowOff>0</xdr:rowOff>
    </xdr:from>
    <xdr:to>
      <xdr:col>40</xdr:col>
      <xdr:colOff>0</xdr:colOff>
      <xdr:row>14</xdr:row>
      <xdr:rowOff>57150</xdr:rowOff>
    </xdr:to>
    <xdr:pic>
      <xdr:nvPicPr>
        <xdr:cNvPr id="420" name="Picture 421"/>
        <xdr:cNvPicPr preferRelativeResize="1">
          <a:picLocks noChangeAspect="1"/>
        </xdr:cNvPicPr>
      </xdr:nvPicPr>
      <xdr:blipFill>
        <a:blip r:link="rId1"/>
        <a:stretch>
          <a:fillRect/>
        </a:stretch>
      </xdr:blipFill>
      <xdr:spPr>
        <a:xfrm>
          <a:off x="762000" y="495300"/>
          <a:ext cx="5334000" cy="3028950"/>
        </a:xfrm>
        <a:prstGeom prst="rect">
          <a:avLst/>
        </a:prstGeom>
        <a:noFill/>
        <a:ln w="9525" cmpd="sng">
          <a:noFill/>
        </a:ln>
      </xdr:spPr>
    </xdr:pic>
    <xdr:clientData/>
  </xdr:twoCellAnchor>
  <xdr:twoCellAnchor editAs="oneCell">
    <xdr:from>
      <xdr:col>3</xdr:col>
      <xdr:colOff>0</xdr:colOff>
      <xdr:row>25</xdr:row>
      <xdr:rowOff>0</xdr:rowOff>
    </xdr:from>
    <xdr:to>
      <xdr:col>40</xdr:col>
      <xdr:colOff>142875</xdr:colOff>
      <xdr:row>30</xdr:row>
      <xdr:rowOff>152400</xdr:rowOff>
    </xdr:to>
    <xdr:pic>
      <xdr:nvPicPr>
        <xdr:cNvPr id="421" name="Picture 422"/>
        <xdr:cNvPicPr preferRelativeResize="1">
          <a:picLocks noChangeAspect="1"/>
        </xdr:cNvPicPr>
      </xdr:nvPicPr>
      <xdr:blipFill>
        <a:blip r:link="rId2"/>
        <a:stretch>
          <a:fillRect/>
        </a:stretch>
      </xdr:blipFill>
      <xdr:spPr>
        <a:xfrm>
          <a:off x="457200" y="6191250"/>
          <a:ext cx="5781675" cy="1390650"/>
        </a:xfrm>
        <a:prstGeom prst="rect">
          <a:avLst/>
        </a:prstGeom>
        <a:noFill/>
        <a:ln w="9525" cmpd="sng">
          <a:noFill/>
        </a:ln>
      </xdr:spPr>
    </xdr:pic>
    <xdr:clientData/>
  </xdr:twoCellAnchor>
  <xdr:twoCellAnchor editAs="oneCell">
    <xdr:from>
      <xdr:col>3</xdr:col>
      <xdr:colOff>0</xdr:colOff>
      <xdr:row>67</xdr:row>
      <xdr:rowOff>0</xdr:rowOff>
    </xdr:from>
    <xdr:to>
      <xdr:col>40</xdr:col>
      <xdr:colOff>142875</xdr:colOff>
      <xdr:row>73</xdr:row>
      <xdr:rowOff>95250</xdr:rowOff>
    </xdr:to>
    <xdr:pic>
      <xdr:nvPicPr>
        <xdr:cNvPr id="422" name="Picture 423"/>
        <xdr:cNvPicPr preferRelativeResize="1">
          <a:picLocks noChangeAspect="1"/>
        </xdr:cNvPicPr>
      </xdr:nvPicPr>
      <xdr:blipFill>
        <a:blip r:link="rId3"/>
        <a:stretch>
          <a:fillRect/>
        </a:stretch>
      </xdr:blipFill>
      <xdr:spPr>
        <a:xfrm>
          <a:off x="457200" y="16592550"/>
          <a:ext cx="5781675" cy="1581150"/>
        </a:xfrm>
        <a:prstGeom prst="rect">
          <a:avLst/>
        </a:prstGeom>
        <a:noFill/>
        <a:ln w="9525" cmpd="sng">
          <a:noFill/>
        </a:ln>
      </xdr:spPr>
    </xdr:pic>
    <xdr:clientData/>
  </xdr:twoCellAnchor>
  <xdr:twoCellAnchor editAs="oneCell">
    <xdr:from>
      <xdr:col>3</xdr:col>
      <xdr:colOff>0</xdr:colOff>
      <xdr:row>100</xdr:row>
      <xdr:rowOff>0</xdr:rowOff>
    </xdr:from>
    <xdr:to>
      <xdr:col>40</xdr:col>
      <xdr:colOff>142875</xdr:colOff>
      <xdr:row>109</xdr:row>
      <xdr:rowOff>142875</xdr:rowOff>
    </xdr:to>
    <xdr:pic>
      <xdr:nvPicPr>
        <xdr:cNvPr id="423" name="Picture 424"/>
        <xdr:cNvPicPr preferRelativeResize="1">
          <a:picLocks noChangeAspect="1"/>
        </xdr:cNvPicPr>
      </xdr:nvPicPr>
      <xdr:blipFill>
        <a:blip r:link="rId4"/>
        <a:stretch>
          <a:fillRect/>
        </a:stretch>
      </xdr:blipFill>
      <xdr:spPr>
        <a:xfrm>
          <a:off x="457200" y="24765000"/>
          <a:ext cx="5781675" cy="2371725"/>
        </a:xfrm>
        <a:prstGeom prst="rect">
          <a:avLst/>
        </a:prstGeom>
        <a:noFill/>
        <a:ln w="9525" cmpd="sng">
          <a:noFill/>
        </a:ln>
      </xdr:spPr>
    </xdr:pic>
    <xdr:clientData/>
  </xdr:twoCellAnchor>
  <xdr:twoCellAnchor editAs="oneCell">
    <xdr:from>
      <xdr:col>15</xdr:col>
      <xdr:colOff>0</xdr:colOff>
      <xdr:row>118</xdr:row>
      <xdr:rowOff>0</xdr:rowOff>
    </xdr:from>
    <xdr:to>
      <xdr:col>19</xdr:col>
      <xdr:colOff>66675</xdr:colOff>
      <xdr:row>122</xdr:row>
      <xdr:rowOff>19050</xdr:rowOff>
    </xdr:to>
    <xdr:pic>
      <xdr:nvPicPr>
        <xdr:cNvPr id="424" name="Picture 425"/>
        <xdr:cNvPicPr preferRelativeResize="1">
          <a:picLocks noChangeAspect="1"/>
        </xdr:cNvPicPr>
      </xdr:nvPicPr>
      <xdr:blipFill>
        <a:blip r:link="rId5"/>
        <a:stretch>
          <a:fillRect/>
        </a:stretch>
      </xdr:blipFill>
      <xdr:spPr>
        <a:xfrm>
          <a:off x="2286000" y="29222700"/>
          <a:ext cx="676275" cy="1009650"/>
        </a:xfrm>
        <a:prstGeom prst="rect">
          <a:avLst/>
        </a:prstGeom>
        <a:noFill/>
        <a:ln w="9525" cmpd="sng">
          <a:noFill/>
        </a:ln>
      </xdr:spPr>
    </xdr:pic>
    <xdr:clientData/>
  </xdr:twoCellAnchor>
  <xdr:twoCellAnchor editAs="oneCell">
    <xdr:from>
      <xdr:col>15</xdr:col>
      <xdr:colOff>0</xdr:colOff>
      <xdr:row>132</xdr:row>
      <xdr:rowOff>0</xdr:rowOff>
    </xdr:from>
    <xdr:to>
      <xdr:col>19</xdr:col>
      <xdr:colOff>66675</xdr:colOff>
      <xdr:row>136</xdr:row>
      <xdr:rowOff>19050</xdr:rowOff>
    </xdr:to>
    <xdr:pic>
      <xdr:nvPicPr>
        <xdr:cNvPr id="425" name="Picture 426"/>
        <xdr:cNvPicPr preferRelativeResize="1">
          <a:picLocks noChangeAspect="1"/>
        </xdr:cNvPicPr>
      </xdr:nvPicPr>
      <xdr:blipFill>
        <a:blip r:link="rId6"/>
        <a:stretch>
          <a:fillRect/>
        </a:stretch>
      </xdr:blipFill>
      <xdr:spPr>
        <a:xfrm>
          <a:off x="2286000" y="32689800"/>
          <a:ext cx="676275" cy="1009650"/>
        </a:xfrm>
        <a:prstGeom prst="rect">
          <a:avLst/>
        </a:prstGeom>
        <a:noFill/>
        <a:ln w="9525" cmpd="sng">
          <a:noFill/>
        </a:ln>
      </xdr:spPr>
    </xdr:pic>
    <xdr:clientData/>
  </xdr:twoCellAnchor>
  <xdr:twoCellAnchor editAs="oneCell">
    <xdr:from>
      <xdr:col>2</xdr:col>
      <xdr:colOff>0</xdr:colOff>
      <xdr:row>300</xdr:row>
      <xdr:rowOff>0</xdr:rowOff>
    </xdr:from>
    <xdr:to>
      <xdr:col>39</xdr:col>
      <xdr:colOff>142875</xdr:colOff>
      <xdr:row>311</xdr:row>
      <xdr:rowOff>133350</xdr:rowOff>
    </xdr:to>
    <xdr:pic>
      <xdr:nvPicPr>
        <xdr:cNvPr id="426" name="Picture 427"/>
        <xdr:cNvPicPr preferRelativeResize="1">
          <a:picLocks noChangeAspect="1"/>
        </xdr:cNvPicPr>
      </xdr:nvPicPr>
      <xdr:blipFill>
        <a:blip r:link="rId7"/>
        <a:stretch>
          <a:fillRect/>
        </a:stretch>
      </xdr:blipFill>
      <xdr:spPr>
        <a:xfrm>
          <a:off x="304800" y="74295000"/>
          <a:ext cx="5781675" cy="2857500"/>
        </a:xfrm>
        <a:prstGeom prst="rect">
          <a:avLst/>
        </a:prstGeom>
        <a:noFill/>
        <a:ln w="9525" cmpd="sng">
          <a:noFill/>
        </a:ln>
      </xdr:spPr>
    </xdr:pic>
    <xdr:clientData/>
  </xdr:twoCellAnchor>
  <xdr:twoCellAnchor editAs="oneCell">
    <xdr:from>
      <xdr:col>2</xdr:col>
      <xdr:colOff>0</xdr:colOff>
      <xdr:row>362</xdr:row>
      <xdr:rowOff>0</xdr:rowOff>
    </xdr:from>
    <xdr:to>
      <xdr:col>31</xdr:col>
      <xdr:colOff>123825</xdr:colOff>
      <xdr:row>373</xdr:row>
      <xdr:rowOff>76200</xdr:rowOff>
    </xdr:to>
    <xdr:pic>
      <xdr:nvPicPr>
        <xdr:cNvPr id="427" name="Picture 428"/>
        <xdr:cNvPicPr preferRelativeResize="1">
          <a:picLocks noChangeAspect="1"/>
        </xdr:cNvPicPr>
      </xdr:nvPicPr>
      <xdr:blipFill>
        <a:blip r:link="rId8"/>
        <a:stretch>
          <a:fillRect/>
        </a:stretch>
      </xdr:blipFill>
      <xdr:spPr>
        <a:xfrm>
          <a:off x="304800" y="89649300"/>
          <a:ext cx="4543425" cy="2800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0</xdr:row>
      <xdr:rowOff>0</xdr:rowOff>
    </xdr:from>
    <xdr:to>
      <xdr:col>27</xdr:col>
      <xdr:colOff>9525</xdr:colOff>
      <xdr:row>0</xdr:row>
      <xdr:rowOff>0</xdr:rowOff>
    </xdr:to>
    <xdr:sp>
      <xdr:nvSpPr>
        <xdr:cNvPr id="1" name="Drawing 21"/>
        <xdr:cNvSpPr>
          <a:spLocks/>
        </xdr:cNvSpPr>
      </xdr:nvSpPr>
      <xdr:spPr>
        <a:xfrm>
          <a:off x="2400300" y="0"/>
          <a:ext cx="1724025" cy="0"/>
        </a:xfrm>
        <a:custGeom>
          <a:pathLst>
            <a:path h="16384" w="16384">
              <a:moveTo>
                <a:pt x="0" y="13435"/>
              </a:moveTo>
              <a:lnTo>
                <a:pt x="634" y="16384"/>
              </a:lnTo>
              <a:lnTo>
                <a:pt x="1810" y="0"/>
              </a:lnTo>
              <a:lnTo>
                <a:pt x="1638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2" name="Oval 3"/>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3" name="Oval 4"/>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4" name="Oval 5"/>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5" name="Oval 6"/>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9</xdr:col>
      <xdr:colOff>0</xdr:colOff>
      <xdr:row>0</xdr:row>
      <xdr:rowOff>0</xdr:rowOff>
    </xdr:from>
    <xdr:to>
      <xdr:col>24</xdr:col>
      <xdr:colOff>0</xdr:colOff>
      <xdr:row>0</xdr:row>
      <xdr:rowOff>0</xdr:rowOff>
    </xdr:to>
    <xdr:sp>
      <xdr:nvSpPr>
        <xdr:cNvPr id="6" name="Line 7"/>
        <xdr:cNvSpPr>
          <a:spLocks/>
        </xdr:cNvSpPr>
      </xdr:nvSpPr>
      <xdr:spPr>
        <a:xfrm>
          <a:off x="1371600" y="0"/>
          <a:ext cx="2286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47625</xdr:colOff>
      <xdr:row>0</xdr:row>
      <xdr:rowOff>0</xdr:rowOff>
    </xdr:from>
    <xdr:to>
      <xdr:col>2</xdr:col>
      <xdr:colOff>85725</xdr:colOff>
      <xdr:row>0</xdr:row>
      <xdr:rowOff>0</xdr:rowOff>
    </xdr:to>
    <xdr:sp>
      <xdr:nvSpPr>
        <xdr:cNvPr id="7" name="Oval 8"/>
        <xdr:cNvSpPr>
          <a:spLocks/>
        </xdr:cNvSpPr>
      </xdr:nvSpPr>
      <xdr:spPr>
        <a:xfrm>
          <a:off x="352425" y="0"/>
          <a:ext cx="3810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3</xdr:col>
      <xdr:colOff>0</xdr:colOff>
      <xdr:row>0</xdr:row>
      <xdr:rowOff>0</xdr:rowOff>
    </xdr:from>
    <xdr:to>
      <xdr:col>18</xdr:col>
      <xdr:colOff>9525</xdr:colOff>
      <xdr:row>0</xdr:row>
      <xdr:rowOff>0</xdr:rowOff>
    </xdr:to>
    <xdr:grpSp>
      <xdr:nvGrpSpPr>
        <xdr:cNvPr id="8" name="Group 9"/>
        <xdr:cNvGrpSpPr>
          <a:grpSpLocks/>
        </xdr:cNvGrpSpPr>
      </xdr:nvGrpSpPr>
      <xdr:grpSpPr>
        <a:xfrm>
          <a:off x="457200" y="0"/>
          <a:ext cx="2295525" cy="0"/>
          <a:chOff x="48" y="2688"/>
          <a:chExt cx="241" cy="29"/>
        </a:xfrm>
        <a:solidFill>
          <a:srgbClr val="FFFFFF"/>
        </a:solidFill>
      </xdr:grpSpPr>
      <xdr:sp>
        <xdr:nvSpPr>
          <xdr:cNvPr id="9" name="Line 10"/>
          <xdr:cNvSpPr>
            <a:spLocks/>
          </xdr:cNvSpPr>
        </xdr:nvSpPr>
        <xdr:spPr>
          <a:xfrm>
            <a:off x="48" y="2702"/>
            <a:ext cx="2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 name="Line 11"/>
          <xdr:cNvSpPr>
            <a:spLocks/>
          </xdr:cNvSpPr>
        </xdr:nvSpPr>
        <xdr:spPr>
          <a:xfrm flipH="1">
            <a:off x="86" y="2691"/>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 name="Line 12"/>
          <xdr:cNvSpPr>
            <a:spLocks/>
          </xdr:cNvSpPr>
        </xdr:nvSpPr>
        <xdr:spPr>
          <a:xfrm flipH="1">
            <a:off x="240" y="2713"/>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 name="Line 13"/>
          <xdr:cNvSpPr>
            <a:spLocks/>
          </xdr:cNvSpPr>
        </xdr:nvSpPr>
        <xdr:spPr>
          <a:xfrm flipH="1">
            <a:off x="86" y="2696"/>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 name="Line 14"/>
          <xdr:cNvSpPr>
            <a:spLocks/>
          </xdr:cNvSpPr>
        </xdr:nvSpPr>
        <xdr:spPr>
          <a:xfrm flipH="1">
            <a:off x="86" y="270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 name="Line 15"/>
          <xdr:cNvSpPr>
            <a:spLocks/>
          </xdr:cNvSpPr>
        </xdr:nvSpPr>
        <xdr:spPr>
          <a:xfrm flipH="1">
            <a:off x="240" y="2691"/>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 name="Line 16"/>
          <xdr:cNvSpPr>
            <a:spLocks/>
          </xdr:cNvSpPr>
        </xdr:nvSpPr>
        <xdr:spPr>
          <a:xfrm flipH="1">
            <a:off x="240" y="2696"/>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 name="Line 17"/>
          <xdr:cNvSpPr>
            <a:spLocks/>
          </xdr:cNvSpPr>
        </xdr:nvSpPr>
        <xdr:spPr>
          <a:xfrm flipH="1">
            <a:off x="240" y="270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 name="Line 18"/>
          <xdr:cNvSpPr>
            <a:spLocks/>
          </xdr:cNvSpPr>
        </xdr:nvSpPr>
        <xdr:spPr>
          <a:xfrm flipH="1">
            <a:off x="86" y="2713"/>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 name="Line 19"/>
          <xdr:cNvSpPr>
            <a:spLocks/>
          </xdr:cNvSpPr>
        </xdr:nvSpPr>
        <xdr:spPr>
          <a:xfrm>
            <a:off x="96" y="2689"/>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 name="Line 20"/>
          <xdr:cNvSpPr>
            <a:spLocks/>
          </xdr:cNvSpPr>
        </xdr:nvSpPr>
        <xdr:spPr>
          <a:xfrm>
            <a:off x="240" y="2688"/>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0</xdr:colOff>
      <xdr:row>0</xdr:row>
      <xdr:rowOff>0</xdr:rowOff>
    </xdr:from>
    <xdr:to>
      <xdr:col>38</xdr:col>
      <xdr:colOff>9525</xdr:colOff>
      <xdr:row>0</xdr:row>
      <xdr:rowOff>0</xdr:rowOff>
    </xdr:to>
    <xdr:grpSp>
      <xdr:nvGrpSpPr>
        <xdr:cNvPr id="20" name="Group 21"/>
        <xdr:cNvGrpSpPr>
          <a:grpSpLocks/>
        </xdr:cNvGrpSpPr>
      </xdr:nvGrpSpPr>
      <xdr:grpSpPr>
        <a:xfrm>
          <a:off x="3505200" y="0"/>
          <a:ext cx="2295525" cy="0"/>
          <a:chOff x="368" y="2702"/>
          <a:chExt cx="241" cy="12"/>
        </a:xfrm>
        <a:solidFill>
          <a:srgbClr val="FFFFFF"/>
        </a:solidFill>
      </xdr:grpSpPr>
      <xdr:sp>
        <xdr:nvSpPr>
          <xdr:cNvPr id="21" name="Line 22"/>
          <xdr:cNvSpPr>
            <a:spLocks/>
          </xdr:cNvSpPr>
        </xdr:nvSpPr>
        <xdr:spPr>
          <a:xfrm>
            <a:off x="368" y="2702"/>
            <a:ext cx="24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 name="AutoShape 23"/>
          <xdr:cNvSpPr>
            <a:spLocks/>
          </xdr:cNvSpPr>
        </xdr:nvSpPr>
        <xdr:spPr>
          <a:xfrm>
            <a:off x="555" y="2702"/>
            <a:ext cx="11" cy="12"/>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 name="AutoShape 24"/>
          <xdr:cNvSpPr>
            <a:spLocks/>
          </xdr:cNvSpPr>
        </xdr:nvSpPr>
        <xdr:spPr>
          <a:xfrm>
            <a:off x="411" y="2702"/>
            <a:ext cx="11" cy="12"/>
          </a:xfrm>
          <a:prstGeom prst="flowChartExtra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25</xdr:col>
      <xdr:colOff>133350</xdr:colOff>
      <xdr:row>444</xdr:row>
      <xdr:rowOff>47625</xdr:rowOff>
    </xdr:from>
    <xdr:to>
      <xdr:col>30</xdr:col>
      <xdr:colOff>0</xdr:colOff>
      <xdr:row>445</xdr:row>
      <xdr:rowOff>142875</xdr:rowOff>
    </xdr:to>
    <xdr:sp>
      <xdr:nvSpPr>
        <xdr:cNvPr id="24" name="AutoShape 25"/>
        <xdr:cNvSpPr>
          <a:spLocks/>
        </xdr:cNvSpPr>
      </xdr:nvSpPr>
      <xdr:spPr>
        <a:xfrm>
          <a:off x="3943350" y="11000422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26</xdr:col>
      <xdr:colOff>133350</xdr:colOff>
      <xdr:row>468</xdr:row>
      <xdr:rowOff>47625</xdr:rowOff>
    </xdr:from>
    <xdr:to>
      <xdr:col>31</xdr:col>
      <xdr:colOff>0</xdr:colOff>
      <xdr:row>469</xdr:row>
      <xdr:rowOff>142875</xdr:rowOff>
    </xdr:to>
    <xdr:sp>
      <xdr:nvSpPr>
        <xdr:cNvPr id="25" name="AutoShape 26"/>
        <xdr:cNvSpPr>
          <a:spLocks/>
        </xdr:cNvSpPr>
      </xdr:nvSpPr>
      <xdr:spPr>
        <a:xfrm>
          <a:off x="4095750" y="11594782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18</xdr:col>
      <xdr:colOff>66675</xdr:colOff>
      <xdr:row>256</xdr:row>
      <xdr:rowOff>95250</xdr:rowOff>
    </xdr:from>
    <xdr:to>
      <xdr:col>20</xdr:col>
      <xdr:colOff>47625</xdr:colOff>
      <xdr:row>258</xdr:row>
      <xdr:rowOff>114300</xdr:rowOff>
    </xdr:to>
    <xdr:sp>
      <xdr:nvSpPr>
        <xdr:cNvPr id="26" name="Line 27"/>
        <xdr:cNvSpPr>
          <a:spLocks/>
        </xdr:cNvSpPr>
      </xdr:nvSpPr>
      <xdr:spPr>
        <a:xfrm>
          <a:off x="2809875" y="63493650"/>
          <a:ext cx="285750" cy="5143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20</xdr:col>
      <xdr:colOff>47625</xdr:colOff>
      <xdr:row>258</xdr:row>
      <xdr:rowOff>114300</xdr:rowOff>
    </xdr:from>
    <xdr:to>
      <xdr:col>21</xdr:col>
      <xdr:colOff>104775</xdr:colOff>
      <xdr:row>258</xdr:row>
      <xdr:rowOff>114300</xdr:rowOff>
    </xdr:to>
    <xdr:sp>
      <xdr:nvSpPr>
        <xdr:cNvPr id="27" name="Line 28"/>
        <xdr:cNvSpPr>
          <a:spLocks/>
        </xdr:cNvSpPr>
      </xdr:nvSpPr>
      <xdr:spPr>
        <a:xfrm>
          <a:off x="3095625" y="640080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13</xdr:col>
      <xdr:colOff>66675</xdr:colOff>
      <xdr:row>238</xdr:row>
      <xdr:rowOff>123825</xdr:rowOff>
    </xdr:from>
    <xdr:to>
      <xdr:col>29</xdr:col>
      <xdr:colOff>142875</xdr:colOff>
      <xdr:row>243</xdr:row>
      <xdr:rowOff>114300</xdr:rowOff>
    </xdr:to>
    <xdr:grpSp>
      <xdr:nvGrpSpPr>
        <xdr:cNvPr id="28" name="Group 29"/>
        <xdr:cNvGrpSpPr>
          <a:grpSpLocks/>
        </xdr:cNvGrpSpPr>
      </xdr:nvGrpSpPr>
      <xdr:grpSpPr>
        <a:xfrm>
          <a:off x="2047875" y="59064525"/>
          <a:ext cx="2514600" cy="1228725"/>
          <a:chOff x="215" y="9549"/>
          <a:chExt cx="264" cy="129"/>
        </a:xfrm>
        <a:solidFill>
          <a:srgbClr val="FFFFFF"/>
        </a:solidFill>
      </xdr:grpSpPr>
      <xdr:sp>
        <xdr:nvSpPr>
          <xdr:cNvPr id="29" name="Rectangle 30"/>
          <xdr:cNvSpPr>
            <a:spLocks/>
          </xdr:cNvSpPr>
        </xdr:nvSpPr>
        <xdr:spPr>
          <a:xfrm>
            <a:off x="272" y="9577"/>
            <a:ext cx="144" cy="5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 name="Line 31"/>
          <xdr:cNvSpPr>
            <a:spLocks/>
          </xdr:cNvSpPr>
        </xdr:nvSpPr>
        <xdr:spPr>
          <a:xfrm>
            <a:off x="272" y="9632"/>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 name="Line 32"/>
          <xdr:cNvSpPr>
            <a:spLocks/>
          </xdr:cNvSpPr>
        </xdr:nvSpPr>
        <xdr:spPr>
          <a:xfrm>
            <a:off x="415" y="9632"/>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 name="Line 33"/>
          <xdr:cNvSpPr>
            <a:spLocks/>
          </xdr:cNvSpPr>
        </xdr:nvSpPr>
        <xdr:spPr>
          <a:xfrm>
            <a:off x="416" y="9633"/>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 name="Line 34"/>
          <xdr:cNvSpPr>
            <a:spLocks/>
          </xdr:cNvSpPr>
        </xdr:nvSpPr>
        <xdr:spPr>
          <a:xfrm>
            <a:off x="272" y="9655"/>
            <a:ext cx="144"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4" name="Line 35"/>
          <xdr:cNvSpPr>
            <a:spLocks/>
          </xdr:cNvSpPr>
        </xdr:nvSpPr>
        <xdr:spPr>
          <a:xfrm>
            <a:off x="420" y="957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 name="Line 36"/>
          <xdr:cNvSpPr>
            <a:spLocks/>
          </xdr:cNvSpPr>
        </xdr:nvSpPr>
        <xdr:spPr>
          <a:xfrm>
            <a:off x="420" y="9629"/>
            <a:ext cx="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 name="Line 37"/>
          <xdr:cNvSpPr>
            <a:spLocks/>
          </xdr:cNvSpPr>
        </xdr:nvSpPr>
        <xdr:spPr>
          <a:xfrm>
            <a:off x="256" y="9603"/>
            <a:ext cx="179"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 name="Line 38"/>
          <xdr:cNvSpPr>
            <a:spLocks/>
          </xdr:cNvSpPr>
        </xdr:nvSpPr>
        <xdr:spPr>
          <a:xfrm>
            <a:off x="432" y="9590"/>
            <a:ext cx="0" cy="1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돋움"/>
                <a:ea typeface="돋움"/>
                <a:cs typeface="돋움"/>
              </a:rPr>
              <a:t/>
            </a:r>
          </a:p>
        </xdr:txBody>
      </xdr:sp>
      <xdr:sp>
        <xdr:nvSpPr>
          <xdr:cNvPr id="38" name="Line 39"/>
          <xdr:cNvSpPr>
            <a:spLocks/>
          </xdr:cNvSpPr>
        </xdr:nvSpPr>
        <xdr:spPr>
          <a:xfrm>
            <a:off x="432" y="9603"/>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 name="Line 40"/>
          <xdr:cNvSpPr>
            <a:spLocks/>
          </xdr:cNvSpPr>
        </xdr:nvSpPr>
        <xdr:spPr>
          <a:xfrm>
            <a:off x="432" y="9612"/>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 name="Line 41"/>
          <xdr:cNvSpPr>
            <a:spLocks/>
          </xdr:cNvSpPr>
        </xdr:nvSpPr>
        <xdr:spPr>
          <a:xfrm>
            <a:off x="432" y="9613"/>
            <a:ext cx="0" cy="1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41" name="Line 42"/>
          <xdr:cNvSpPr>
            <a:spLocks/>
          </xdr:cNvSpPr>
        </xdr:nvSpPr>
        <xdr:spPr>
          <a:xfrm>
            <a:off x="464" y="9577"/>
            <a:ext cx="0" cy="5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42" name="Line 43"/>
          <xdr:cNvSpPr>
            <a:spLocks/>
          </xdr:cNvSpPr>
        </xdr:nvSpPr>
        <xdr:spPr>
          <a:xfrm flipH="1">
            <a:off x="382" y="9552"/>
            <a:ext cx="19" cy="62"/>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돋움"/>
                <a:ea typeface="돋움"/>
                <a:cs typeface="돋움"/>
              </a:rPr>
              <a:t/>
            </a:r>
          </a:p>
        </xdr:txBody>
      </xdr:sp>
      <xdr:sp>
        <xdr:nvSpPr>
          <xdr:cNvPr id="43" name="Line 44"/>
          <xdr:cNvSpPr>
            <a:spLocks/>
          </xdr:cNvSpPr>
        </xdr:nvSpPr>
        <xdr:spPr>
          <a:xfrm>
            <a:off x="418" y="9614"/>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4" name="Line 45"/>
          <xdr:cNvSpPr>
            <a:spLocks/>
          </xdr:cNvSpPr>
        </xdr:nvSpPr>
        <xdr:spPr>
          <a:xfrm>
            <a:off x="295" y="9624"/>
            <a:ext cx="30" cy="54"/>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돋움"/>
                <a:ea typeface="돋움"/>
                <a:cs typeface="돋움"/>
              </a:rPr>
              <a:t/>
            </a:r>
          </a:p>
        </xdr:txBody>
      </xdr:sp>
      <xdr:sp>
        <xdr:nvSpPr>
          <xdr:cNvPr id="45" name="Line 46"/>
          <xdr:cNvSpPr>
            <a:spLocks/>
          </xdr:cNvSpPr>
        </xdr:nvSpPr>
        <xdr:spPr>
          <a:xfrm>
            <a:off x="325" y="9678"/>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 name="AutoShape 47"/>
          <xdr:cNvSpPr>
            <a:spLocks/>
          </xdr:cNvSpPr>
        </xdr:nvSpPr>
        <xdr:spPr>
          <a:xfrm>
            <a:off x="276"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7" name="AutoShape 48"/>
          <xdr:cNvSpPr>
            <a:spLocks/>
          </xdr:cNvSpPr>
        </xdr:nvSpPr>
        <xdr:spPr>
          <a:xfrm>
            <a:off x="292"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8" name="AutoShape 49"/>
          <xdr:cNvSpPr>
            <a:spLocks/>
          </xdr:cNvSpPr>
        </xdr:nvSpPr>
        <xdr:spPr>
          <a:xfrm>
            <a:off x="308"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9" name="AutoShape 50"/>
          <xdr:cNvSpPr>
            <a:spLocks/>
          </xdr:cNvSpPr>
        </xdr:nvSpPr>
        <xdr:spPr>
          <a:xfrm>
            <a:off x="324"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0" name="AutoShape 51"/>
          <xdr:cNvSpPr>
            <a:spLocks/>
          </xdr:cNvSpPr>
        </xdr:nvSpPr>
        <xdr:spPr>
          <a:xfrm>
            <a:off x="340"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1" name="AutoShape 52"/>
          <xdr:cNvSpPr>
            <a:spLocks/>
          </xdr:cNvSpPr>
        </xdr:nvSpPr>
        <xdr:spPr>
          <a:xfrm>
            <a:off x="356"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2" name="AutoShape 53"/>
          <xdr:cNvSpPr>
            <a:spLocks/>
          </xdr:cNvSpPr>
        </xdr:nvSpPr>
        <xdr:spPr>
          <a:xfrm>
            <a:off x="372"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3" name="AutoShape 54"/>
          <xdr:cNvSpPr>
            <a:spLocks/>
          </xdr:cNvSpPr>
        </xdr:nvSpPr>
        <xdr:spPr>
          <a:xfrm>
            <a:off x="388"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4" name="AutoShape 55"/>
          <xdr:cNvSpPr>
            <a:spLocks/>
          </xdr:cNvSpPr>
        </xdr:nvSpPr>
        <xdr:spPr>
          <a:xfrm>
            <a:off x="404" y="958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5" name="AutoShape 56"/>
          <xdr:cNvSpPr>
            <a:spLocks/>
          </xdr:cNvSpPr>
        </xdr:nvSpPr>
        <xdr:spPr>
          <a:xfrm>
            <a:off x="276"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6" name="AutoShape 57"/>
          <xdr:cNvSpPr>
            <a:spLocks/>
          </xdr:cNvSpPr>
        </xdr:nvSpPr>
        <xdr:spPr>
          <a:xfrm>
            <a:off x="292"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7" name="AutoShape 58"/>
          <xdr:cNvSpPr>
            <a:spLocks/>
          </xdr:cNvSpPr>
        </xdr:nvSpPr>
        <xdr:spPr>
          <a:xfrm>
            <a:off x="308"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8" name="AutoShape 59"/>
          <xdr:cNvSpPr>
            <a:spLocks/>
          </xdr:cNvSpPr>
        </xdr:nvSpPr>
        <xdr:spPr>
          <a:xfrm>
            <a:off x="324"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9" name="AutoShape 60"/>
          <xdr:cNvSpPr>
            <a:spLocks/>
          </xdr:cNvSpPr>
        </xdr:nvSpPr>
        <xdr:spPr>
          <a:xfrm>
            <a:off x="340"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0" name="AutoShape 61"/>
          <xdr:cNvSpPr>
            <a:spLocks/>
          </xdr:cNvSpPr>
        </xdr:nvSpPr>
        <xdr:spPr>
          <a:xfrm>
            <a:off x="356"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1" name="AutoShape 62"/>
          <xdr:cNvSpPr>
            <a:spLocks/>
          </xdr:cNvSpPr>
        </xdr:nvSpPr>
        <xdr:spPr>
          <a:xfrm>
            <a:off x="372"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2" name="AutoShape 63"/>
          <xdr:cNvSpPr>
            <a:spLocks/>
          </xdr:cNvSpPr>
        </xdr:nvSpPr>
        <xdr:spPr>
          <a:xfrm>
            <a:off x="388"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3" name="AutoShape 64"/>
          <xdr:cNvSpPr>
            <a:spLocks/>
          </xdr:cNvSpPr>
        </xdr:nvSpPr>
        <xdr:spPr>
          <a:xfrm>
            <a:off x="404" y="961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4" name="Line 65"/>
          <xdr:cNvSpPr>
            <a:spLocks/>
          </xdr:cNvSpPr>
        </xdr:nvSpPr>
        <xdr:spPr>
          <a:xfrm>
            <a:off x="401" y="9551"/>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5" name="Line 66"/>
          <xdr:cNvSpPr>
            <a:spLocks/>
          </xdr:cNvSpPr>
        </xdr:nvSpPr>
        <xdr:spPr>
          <a:xfrm flipH="1">
            <a:off x="237" y="9577"/>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6" name="Line 67"/>
          <xdr:cNvSpPr>
            <a:spLocks/>
          </xdr:cNvSpPr>
        </xdr:nvSpPr>
        <xdr:spPr>
          <a:xfrm flipH="1">
            <a:off x="235" y="9629"/>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7" name="Line 68"/>
          <xdr:cNvSpPr>
            <a:spLocks/>
          </xdr:cNvSpPr>
        </xdr:nvSpPr>
        <xdr:spPr>
          <a:xfrm flipH="1">
            <a:off x="237" y="9588"/>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8" name="Line 69"/>
          <xdr:cNvSpPr>
            <a:spLocks/>
          </xdr:cNvSpPr>
        </xdr:nvSpPr>
        <xdr:spPr>
          <a:xfrm flipH="1">
            <a:off x="236" y="9620"/>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9" name="Line 70"/>
          <xdr:cNvSpPr>
            <a:spLocks/>
          </xdr:cNvSpPr>
        </xdr:nvSpPr>
        <xdr:spPr>
          <a:xfrm>
            <a:off x="240" y="9577"/>
            <a:ext cx="0" cy="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70" name="Line 71"/>
          <xdr:cNvSpPr>
            <a:spLocks/>
          </xdr:cNvSpPr>
        </xdr:nvSpPr>
        <xdr:spPr>
          <a:xfrm>
            <a:off x="240" y="9588"/>
            <a:ext cx="0" cy="3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71" name="Line 72"/>
          <xdr:cNvSpPr>
            <a:spLocks/>
          </xdr:cNvSpPr>
        </xdr:nvSpPr>
        <xdr:spPr>
          <a:xfrm>
            <a:off x="240" y="9619"/>
            <a:ext cx="0" cy="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72" name="Line 73"/>
          <xdr:cNvSpPr>
            <a:spLocks/>
          </xdr:cNvSpPr>
        </xdr:nvSpPr>
        <xdr:spPr>
          <a:xfrm flipH="1" flipV="1">
            <a:off x="262" y="9549"/>
            <a:ext cx="30" cy="38"/>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돋움"/>
                <a:ea typeface="돋움"/>
                <a:cs typeface="돋움"/>
              </a:rPr>
              <a:t/>
            </a:r>
          </a:p>
        </xdr:txBody>
      </xdr:sp>
      <xdr:sp>
        <xdr:nvSpPr>
          <xdr:cNvPr id="73" name="Line 74"/>
          <xdr:cNvSpPr>
            <a:spLocks/>
          </xdr:cNvSpPr>
        </xdr:nvSpPr>
        <xdr:spPr>
          <a:xfrm flipH="1">
            <a:off x="215" y="9549"/>
            <a:ext cx="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4" name="AutoShape 75"/>
          <xdr:cNvSpPr>
            <a:spLocks/>
          </xdr:cNvSpPr>
        </xdr:nvSpPr>
        <xdr:spPr>
          <a:xfrm>
            <a:off x="314" y="9612"/>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5" name="AutoShape 76"/>
          <xdr:cNvSpPr>
            <a:spLocks/>
          </xdr:cNvSpPr>
        </xdr:nvSpPr>
        <xdr:spPr>
          <a:xfrm>
            <a:off x="378" y="9612"/>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6" name="Line 77"/>
          <xdr:cNvSpPr>
            <a:spLocks/>
          </xdr:cNvSpPr>
        </xdr:nvSpPr>
        <xdr:spPr>
          <a:xfrm>
            <a:off x="288" y="9614"/>
            <a:ext cx="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7" name="AutoShape 78"/>
          <xdr:cNvSpPr>
            <a:spLocks/>
          </xdr:cNvSpPr>
        </xdr:nvSpPr>
        <xdr:spPr>
          <a:xfrm>
            <a:off x="314" y="9612"/>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8" name="AutoShape 79"/>
          <xdr:cNvSpPr>
            <a:spLocks/>
          </xdr:cNvSpPr>
        </xdr:nvSpPr>
        <xdr:spPr>
          <a:xfrm>
            <a:off x="378" y="9612"/>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9" name="Line 80"/>
          <xdr:cNvSpPr>
            <a:spLocks/>
          </xdr:cNvSpPr>
        </xdr:nvSpPr>
        <xdr:spPr>
          <a:xfrm>
            <a:off x="288" y="9614"/>
            <a:ext cx="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66675</xdr:colOff>
      <xdr:row>253</xdr:row>
      <xdr:rowOff>123825</xdr:rowOff>
    </xdr:from>
    <xdr:to>
      <xdr:col>29</xdr:col>
      <xdr:colOff>57150</xdr:colOff>
      <xdr:row>257</xdr:row>
      <xdr:rowOff>180975</xdr:rowOff>
    </xdr:to>
    <xdr:grpSp>
      <xdr:nvGrpSpPr>
        <xdr:cNvPr id="80" name="Group 81"/>
        <xdr:cNvGrpSpPr>
          <a:grpSpLocks/>
        </xdr:cNvGrpSpPr>
      </xdr:nvGrpSpPr>
      <xdr:grpSpPr>
        <a:xfrm>
          <a:off x="2047875" y="62779275"/>
          <a:ext cx="2428875" cy="1047750"/>
          <a:chOff x="215" y="9757"/>
          <a:chExt cx="255" cy="110"/>
        </a:xfrm>
        <a:solidFill>
          <a:srgbClr val="FFFFFF"/>
        </a:solidFill>
      </xdr:grpSpPr>
      <xdr:sp>
        <xdr:nvSpPr>
          <xdr:cNvPr id="81" name="Rectangle 82"/>
          <xdr:cNvSpPr>
            <a:spLocks/>
          </xdr:cNvSpPr>
        </xdr:nvSpPr>
        <xdr:spPr>
          <a:xfrm>
            <a:off x="272" y="9785"/>
            <a:ext cx="144" cy="5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2" name="Line 83"/>
          <xdr:cNvSpPr>
            <a:spLocks/>
          </xdr:cNvSpPr>
        </xdr:nvSpPr>
        <xdr:spPr>
          <a:xfrm>
            <a:off x="272" y="9840"/>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3" name="Line 84"/>
          <xdr:cNvSpPr>
            <a:spLocks/>
          </xdr:cNvSpPr>
        </xdr:nvSpPr>
        <xdr:spPr>
          <a:xfrm>
            <a:off x="415" y="984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4" name="Line 85"/>
          <xdr:cNvSpPr>
            <a:spLocks/>
          </xdr:cNvSpPr>
        </xdr:nvSpPr>
        <xdr:spPr>
          <a:xfrm>
            <a:off x="416" y="9841"/>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5" name="Line 86"/>
          <xdr:cNvSpPr>
            <a:spLocks/>
          </xdr:cNvSpPr>
        </xdr:nvSpPr>
        <xdr:spPr>
          <a:xfrm>
            <a:off x="272" y="9863"/>
            <a:ext cx="144"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86" name="Line 87"/>
          <xdr:cNvSpPr>
            <a:spLocks/>
          </xdr:cNvSpPr>
        </xdr:nvSpPr>
        <xdr:spPr>
          <a:xfrm>
            <a:off x="420" y="9785"/>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7" name="Line 88"/>
          <xdr:cNvSpPr>
            <a:spLocks/>
          </xdr:cNvSpPr>
        </xdr:nvSpPr>
        <xdr:spPr>
          <a:xfrm>
            <a:off x="420" y="9837"/>
            <a:ext cx="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8" name="Line 89"/>
          <xdr:cNvSpPr>
            <a:spLocks/>
          </xdr:cNvSpPr>
        </xdr:nvSpPr>
        <xdr:spPr>
          <a:xfrm>
            <a:off x="256" y="9811"/>
            <a:ext cx="179"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9" name="Line 90"/>
          <xdr:cNvSpPr>
            <a:spLocks/>
          </xdr:cNvSpPr>
        </xdr:nvSpPr>
        <xdr:spPr>
          <a:xfrm>
            <a:off x="432" y="9812"/>
            <a:ext cx="0" cy="13"/>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90" name="Line 91"/>
          <xdr:cNvSpPr>
            <a:spLocks/>
          </xdr:cNvSpPr>
        </xdr:nvSpPr>
        <xdr:spPr>
          <a:xfrm>
            <a:off x="432" y="980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1" name="Line 92"/>
          <xdr:cNvSpPr>
            <a:spLocks/>
          </xdr:cNvSpPr>
        </xdr:nvSpPr>
        <xdr:spPr>
          <a:xfrm>
            <a:off x="432" y="982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2" name="Line 93"/>
          <xdr:cNvSpPr>
            <a:spLocks/>
          </xdr:cNvSpPr>
        </xdr:nvSpPr>
        <xdr:spPr>
          <a:xfrm>
            <a:off x="432" y="9785"/>
            <a:ext cx="0" cy="1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93" name="Line 94"/>
          <xdr:cNvSpPr>
            <a:spLocks/>
          </xdr:cNvSpPr>
        </xdr:nvSpPr>
        <xdr:spPr>
          <a:xfrm>
            <a:off x="464" y="9785"/>
            <a:ext cx="0" cy="5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94" name="Line 95"/>
          <xdr:cNvSpPr>
            <a:spLocks/>
          </xdr:cNvSpPr>
        </xdr:nvSpPr>
        <xdr:spPr>
          <a:xfrm flipH="1">
            <a:off x="381" y="9759"/>
            <a:ext cx="11" cy="4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돋움"/>
                <a:ea typeface="돋움"/>
                <a:cs typeface="돋움"/>
              </a:rPr>
              <a:t/>
            </a:r>
          </a:p>
        </xdr:txBody>
      </xdr:sp>
      <xdr:sp>
        <xdr:nvSpPr>
          <xdr:cNvPr id="95" name="Line 96"/>
          <xdr:cNvSpPr>
            <a:spLocks/>
          </xdr:cNvSpPr>
        </xdr:nvSpPr>
        <xdr:spPr>
          <a:xfrm>
            <a:off x="418" y="9801"/>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6" name="AutoShape 97"/>
          <xdr:cNvSpPr>
            <a:spLocks/>
          </xdr:cNvSpPr>
        </xdr:nvSpPr>
        <xdr:spPr>
          <a:xfrm>
            <a:off x="276"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7" name="AutoShape 98"/>
          <xdr:cNvSpPr>
            <a:spLocks/>
          </xdr:cNvSpPr>
        </xdr:nvSpPr>
        <xdr:spPr>
          <a:xfrm>
            <a:off x="292"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8" name="AutoShape 99"/>
          <xdr:cNvSpPr>
            <a:spLocks/>
          </xdr:cNvSpPr>
        </xdr:nvSpPr>
        <xdr:spPr>
          <a:xfrm>
            <a:off x="308"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9" name="AutoShape 100"/>
          <xdr:cNvSpPr>
            <a:spLocks/>
          </xdr:cNvSpPr>
        </xdr:nvSpPr>
        <xdr:spPr>
          <a:xfrm>
            <a:off x="324"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0" name="AutoShape 101"/>
          <xdr:cNvSpPr>
            <a:spLocks/>
          </xdr:cNvSpPr>
        </xdr:nvSpPr>
        <xdr:spPr>
          <a:xfrm>
            <a:off x="340"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1" name="AutoShape 102"/>
          <xdr:cNvSpPr>
            <a:spLocks/>
          </xdr:cNvSpPr>
        </xdr:nvSpPr>
        <xdr:spPr>
          <a:xfrm>
            <a:off x="356"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2" name="AutoShape 103"/>
          <xdr:cNvSpPr>
            <a:spLocks/>
          </xdr:cNvSpPr>
        </xdr:nvSpPr>
        <xdr:spPr>
          <a:xfrm>
            <a:off x="372"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3" name="AutoShape 104"/>
          <xdr:cNvSpPr>
            <a:spLocks/>
          </xdr:cNvSpPr>
        </xdr:nvSpPr>
        <xdr:spPr>
          <a:xfrm>
            <a:off x="388"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4" name="AutoShape 105"/>
          <xdr:cNvSpPr>
            <a:spLocks/>
          </xdr:cNvSpPr>
        </xdr:nvSpPr>
        <xdr:spPr>
          <a:xfrm>
            <a:off x="404" y="9795"/>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5" name="AutoShape 106"/>
          <xdr:cNvSpPr>
            <a:spLocks/>
          </xdr:cNvSpPr>
        </xdr:nvSpPr>
        <xdr:spPr>
          <a:xfrm>
            <a:off x="276"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6" name="AutoShape 107"/>
          <xdr:cNvSpPr>
            <a:spLocks/>
          </xdr:cNvSpPr>
        </xdr:nvSpPr>
        <xdr:spPr>
          <a:xfrm>
            <a:off x="292"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7" name="AutoShape 108"/>
          <xdr:cNvSpPr>
            <a:spLocks/>
          </xdr:cNvSpPr>
        </xdr:nvSpPr>
        <xdr:spPr>
          <a:xfrm>
            <a:off x="308"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8" name="AutoShape 109"/>
          <xdr:cNvSpPr>
            <a:spLocks/>
          </xdr:cNvSpPr>
        </xdr:nvSpPr>
        <xdr:spPr>
          <a:xfrm>
            <a:off x="324"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9" name="AutoShape 110"/>
          <xdr:cNvSpPr>
            <a:spLocks/>
          </xdr:cNvSpPr>
        </xdr:nvSpPr>
        <xdr:spPr>
          <a:xfrm>
            <a:off x="340"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0" name="AutoShape 111"/>
          <xdr:cNvSpPr>
            <a:spLocks/>
          </xdr:cNvSpPr>
        </xdr:nvSpPr>
        <xdr:spPr>
          <a:xfrm>
            <a:off x="356"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1" name="AutoShape 112"/>
          <xdr:cNvSpPr>
            <a:spLocks/>
          </xdr:cNvSpPr>
        </xdr:nvSpPr>
        <xdr:spPr>
          <a:xfrm>
            <a:off x="372"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2" name="AutoShape 113"/>
          <xdr:cNvSpPr>
            <a:spLocks/>
          </xdr:cNvSpPr>
        </xdr:nvSpPr>
        <xdr:spPr>
          <a:xfrm>
            <a:off x="388"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3" name="AutoShape 114"/>
          <xdr:cNvSpPr>
            <a:spLocks/>
          </xdr:cNvSpPr>
        </xdr:nvSpPr>
        <xdr:spPr>
          <a:xfrm>
            <a:off x="404" y="982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4" name="Line 115"/>
          <xdr:cNvSpPr>
            <a:spLocks/>
          </xdr:cNvSpPr>
        </xdr:nvSpPr>
        <xdr:spPr>
          <a:xfrm>
            <a:off x="392" y="9759"/>
            <a:ext cx="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5" name="Line 116"/>
          <xdr:cNvSpPr>
            <a:spLocks/>
          </xdr:cNvSpPr>
        </xdr:nvSpPr>
        <xdr:spPr>
          <a:xfrm flipH="1">
            <a:off x="237" y="9785"/>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6" name="Line 117"/>
          <xdr:cNvSpPr>
            <a:spLocks/>
          </xdr:cNvSpPr>
        </xdr:nvSpPr>
        <xdr:spPr>
          <a:xfrm flipH="1">
            <a:off x="235" y="9837"/>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7" name="Line 118"/>
          <xdr:cNvSpPr>
            <a:spLocks/>
          </xdr:cNvSpPr>
        </xdr:nvSpPr>
        <xdr:spPr>
          <a:xfrm flipH="1">
            <a:off x="237" y="9796"/>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8" name="Line 119"/>
          <xdr:cNvSpPr>
            <a:spLocks/>
          </xdr:cNvSpPr>
        </xdr:nvSpPr>
        <xdr:spPr>
          <a:xfrm flipH="1">
            <a:off x="236" y="9828"/>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9" name="Line 120"/>
          <xdr:cNvSpPr>
            <a:spLocks/>
          </xdr:cNvSpPr>
        </xdr:nvSpPr>
        <xdr:spPr>
          <a:xfrm>
            <a:off x="240" y="9785"/>
            <a:ext cx="0" cy="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20" name="Line 121"/>
          <xdr:cNvSpPr>
            <a:spLocks/>
          </xdr:cNvSpPr>
        </xdr:nvSpPr>
        <xdr:spPr>
          <a:xfrm>
            <a:off x="240" y="9796"/>
            <a:ext cx="0" cy="3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21" name="Line 122"/>
          <xdr:cNvSpPr>
            <a:spLocks/>
          </xdr:cNvSpPr>
        </xdr:nvSpPr>
        <xdr:spPr>
          <a:xfrm>
            <a:off x="240" y="9827"/>
            <a:ext cx="0" cy="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22" name="Line 123"/>
          <xdr:cNvSpPr>
            <a:spLocks/>
          </xdr:cNvSpPr>
        </xdr:nvSpPr>
        <xdr:spPr>
          <a:xfrm flipH="1" flipV="1">
            <a:off x="262" y="9757"/>
            <a:ext cx="30" cy="38"/>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돋움"/>
                <a:ea typeface="돋움"/>
                <a:cs typeface="돋움"/>
              </a:rPr>
              <a:t/>
            </a:r>
          </a:p>
        </xdr:txBody>
      </xdr:sp>
      <xdr:sp>
        <xdr:nvSpPr>
          <xdr:cNvPr id="123" name="Line 124"/>
          <xdr:cNvSpPr>
            <a:spLocks/>
          </xdr:cNvSpPr>
        </xdr:nvSpPr>
        <xdr:spPr>
          <a:xfrm flipH="1">
            <a:off x="215" y="9757"/>
            <a:ext cx="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4" name="AutoShape 125"/>
          <xdr:cNvSpPr>
            <a:spLocks/>
          </xdr:cNvSpPr>
        </xdr:nvSpPr>
        <xdr:spPr>
          <a:xfrm>
            <a:off x="314" y="9799"/>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5" name="AutoShape 126"/>
          <xdr:cNvSpPr>
            <a:spLocks/>
          </xdr:cNvSpPr>
        </xdr:nvSpPr>
        <xdr:spPr>
          <a:xfrm>
            <a:off x="378" y="9799"/>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6" name="Line 127"/>
          <xdr:cNvSpPr>
            <a:spLocks/>
          </xdr:cNvSpPr>
        </xdr:nvSpPr>
        <xdr:spPr>
          <a:xfrm>
            <a:off x="288" y="9801"/>
            <a:ext cx="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29</xdr:col>
      <xdr:colOff>133350</xdr:colOff>
      <xdr:row>557</xdr:row>
      <xdr:rowOff>47625</xdr:rowOff>
    </xdr:from>
    <xdr:to>
      <xdr:col>34</xdr:col>
      <xdr:colOff>0</xdr:colOff>
      <xdr:row>558</xdr:row>
      <xdr:rowOff>142875</xdr:rowOff>
    </xdr:to>
    <xdr:sp>
      <xdr:nvSpPr>
        <xdr:cNvPr id="127" name="AutoShape 128"/>
        <xdr:cNvSpPr>
          <a:spLocks/>
        </xdr:cNvSpPr>
      </xdr:nvSpPr>
      <xdr:spPr>
        <a:xfrm>
          <a:off x="4552950" y="13798867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26</xdr:col>
      <xdr:colOff>133350</xdr:colOff>
      <xdr:row>631</xdr:row>
      <xdr:rowOff>47625</xdr:rowOff>
    </xdr:from>
    <xdr:to>
      <xdr:col>31</xdr:col>
      <xdr:colOff>0</xdr:colOff>
      <xdr:row>632</xdr:row>
      <xdr:rowOff>142875</xdr:rowOff>
    </xdr:to>
    <xdr:sp>
      <xdr:nvSpPr>
        <xdr:cNvPr id="128" name="AutoShape 129"/>
        <xdr:cNvSpPr>
          <a:spLocks/>
        </xdr:cNvSpPr>
      </xdr:nvSpPr>
      <xdr:spPr>
        <a:xfrm>
          <a:off x="4095750" y="15631477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10</xdr:col>
      <xdr:colOff>28575</xdr:colOff>
      <xdr:row>1026</xdr:row>
      <xdr:rowOff>85725</xdr:rowOff>
    </xdr:from>
    <xdr:to>
      <xdr:col>35</xdr:col>
      <xdr:colOff>114300</xdr:colOff>
      <xdr:row>1034</xdr:row>
      <xdr:rowOff>85725</xdr:rowOff>
    </xdr:to>
    <xdr:grpSp>
      <xdr:nvGrpSpPr>
        <xdr:cNvPr id="129" name="Group 130"/>
        <xdr:cNvGrpSpPr>
          <a:grpSpLocks/>
        </xdr:cNvGrpSpPr>
      </xdr:nvGrpSpPr>
      <xdr:grpSpPr>
        <a:xfrm>
          <a:off x="1552575" y="245259225"/>
          <a:ext cx="3895725" cy="1981200"/>
          <a:chOff x="163" y="24452"/>
          <a:chExt cx="409" cy="208"/>
        </a:xfrm>
        <a:solidFill>
          <a:srgbClr val="FFFFFF"/>
        </a:solidFill>
      </xdr:grpSpPr>
      <xdr:sp>
        <xdr:nvSpPr>
          <xdr:cNvPr id="130" name="Line 131"/>
          <xdr:cNvSpPr>
            <a:spLocks/>
          </xdr:cNvSpPr>
        </xdr:nvSpPr>
        <xdr:spPr>
          <a:xfrm>
            <a:off x="192" y="24454"/>
            <a:ext cx="0" cy="182"/>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131" name="Line 132"/>
          <xdr:cNvSpPr>
            <a:spLocks/>
          </xdr:cNvSpPr>
        </xdr:nvSpPr>
        <xdr:spPr>
          <a:xfrm>
            <a:off x="191" y="24636"/>
            <a:ext cx="33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돋움"/>
                <a:ea typeface="돋움"/>
                <a:cs typeface="돋움"/>
              </a:rPr>
              <a:t/>
            </a:r>
          </a:p>
        </xdr:txBody>
      </xdr:sp>
      <xdr:sp>
        <xdr:nvSpPr>
          <xdr:cNvPr id="132" name="Line 133"/>
          <xdr:cNvSpPr>
            <a:spLocks/>
          </xdr:cNvSpPr>
        </xdr:nvSpPr>
        <xdr:spPr>
          <a:xfrm>
            <a:off x="192" y="24480"/>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3" name="Line 134"/>
          <xdr:cNvSpPr>
            <a:spLocks/>
          </xdr:cNvSpPr>
        </xdr:nvSpPr>
        <xdr:spPr>
          <a:xfrm>
            <a:off x="417" y="24480"/>
            <a:ext cx="0" cy="15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4" name="Line 135"/>
          <xdr:cNvSpPr>
            <a:spLocks/>
          </xdr:cNvSpPr>
        </xdr:nvSpPr>
        <xdr:spPr>
          <a:xfrm>
            <a:off x="304" y="24507"/>
            <a:ext cx="0" cy="12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5" name="Line 136"/>
          <xdr:cNvSpPr>
            <a:spLocks/>
          </xdr:cNvSpPr>
        </xdr:nvSpPr>
        <xdr:spPr>
          <a:xfrm>
            <a:off x="192" y="24506"/>
            <a:ext cx="111"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6" name="Line 137"/>
          <xdr:cNvSpPr>
            <a:spLocks/>
          </xdr:cNvSpPr>
        </xdr:nvSpPr>
        <xdr:spPr>
          <a:xfrm flipV="1">
            <a:off x="193" y="24507"/>
            <a:ext cx="110" cy="12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7" name="Line 138"/>
          <xdr:cNvSpPr>
            <a:spLocks/>
          </xdr:cNvSpPr>
        </xdr:nvSpPr>
        <xdr:spPr>
          <a:xfrm flipV="1">
            <a:off x="304" y="24481"/>
            <a:ext cx="113" cy="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8" name="Line 139"/>
          <xdr:cNvSpPr>
            <a:spLocks/>
          </xdr:cNvSpPr>
        </xdr:nvSpPr>
        <xdr:spPr>
          <a:xfrm>
            <a:off x="415" y="24480"/>
            <a:ext cx="0" cy="0"/>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139" name="Line 140"/>
          <xdr:cNvSpPr>
            <a:spLocks/>
          </xdr:cNvSpPr>
        </xdr:nvSpPr>
        <xdr:spPr>
          <a:xfrm>
            <a:off x="416" y="24481"/>
            <a:ext cx="113"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0" name="Line 141"/>
          <xdr:cNvSpPr>
            <a:spLocks/>
          </xdr:cNvSpPr>
        </xdr:nvSpPr>
        <xdr:spPr>
          <a:xfrm>
            <a:off x="192" y="24584"/>
            <a:ext cx="11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41" name="Line 142"/>
          <xdr:cNvSpPr>
            <a:spLocks/>
          </xdr:cNvSpPr>
        </xdr:nvSpPr>
        <xdr:spPr>
          <a:xfrm>
            <a:off x="304" y="24584"/>
            <a:ext cx="11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42" name="Line 143"/>
          <xdr:cNvSpPr>
            <a:spLocks/>
          </xdr:cNvSpPr>
        </xdr:nvSpPr>
        <xdr:spPr>
          <a:xfrm>
            <a:off x="417" y="24584"/>
            <a:ext cx="112"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143" name="Rectangle 144"/>
          <xdr:cNvSpPr>
            <a:spLocks/>
          </xdr:cNvSpPr>
        </xdr:nvSpPr>
        <xdr:spPr>
          <a:xfrm>
            <a:off x="283" y="24643"/>
            <a:ext cx="48" cy="17"/>
          </a:xfrm>
          <a:prstGeom prst="rect">
            <a:avLst/>
          </a:prstGeom>
          <a:noFill/>
          <a:ln w="9525" cmpd="sng">
            <a:noFill/>
          </a:ln>
        </xdr:spPr>
        <xdr:txBody>
          <a:bodyPr vertOverflow="clip" wrap="square"/>
          <a:p>
            <a:pPr algn="l">
              <a:defRPr/>
            </a:pPr>
            <a:r>
              <a:rPr lang="en-US" cap="none" sz="900" b="0" i="0" u="none" baseline="0"/>
              <a:t>0.00756</a:t>
            </a:r>
          </a:p>
        </xdr:txBody>
      </xdr:sp>
      <xdr:sp>
        <xdr:nvSpPr>
          <xdr:cNvPr id="144" name="Rectangle 145"/>
          <xdr:cNvSpPr>
            <a:spLocks/>
          </xdr:cNvSpPr>
        </xdr:nvSpPr>
        <xdr:spPr>
          <a:xfrm>
            <a:off x="226" y="24559"/>
            <a:ext cx="47" cy="18"/>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範</a:t>
            </a:r>
            <a:r>
              <a:rPr lang="en-US" cap="none" sz="900" b="0" i="0" u="none" baseline="0"/>
              <a:t>囲</a:t>
            </a:r>
            <a:r>
              <a:rPr lang="en-US" cap="none" sz="900" b="0" i="0" u="none" baseline="0">
                <a:latin typeface="돋움"/>
                <a:ea typeface="돋움"/>
                <a:cs typeface="돋움"/>
              </a:rPr>
              <a:t>Ⅰ</a:t>
            </a:r>
          </a:p>
        </xdr:txBody>
      </xdr:sp>
      <xdr:sp>
        <xdr:nvSpPr>
          <xdr:cNvPr id="145" name="Rectangle 146"/>
          <xdr:cNvSpPr>
            <a:spLocks/>
          </xdr:cNvSpPr>
        </xdr:nvSpPr>
        <xdr:spPr>
          <a:xfrm>
            <a:off x="399" y="24641"/>
            <a:ext cx="42" cy="16"/>
          </a:xfrm>
          <a:prstGeom prst="rect">
            <a:avLst/>
          </a:prstGeom>
          <a:noFill/>
          <a:ln w="9525" cmpd="sng">
            <a:noFill/>
          </a:ln>
        </xdr:spPr>
        <xdr:txBody>
          <a:bodyPr vertOverflow="clip" wrap="square"/>
          <a:p>
            <a:pPr algn="l">
              <a:defRPr/>
            </a:pPr>
            <a:r>
              <a:rPr lang="en-US" cap="none" sz="900" b="0" i="0" u="none" baseline="0"/>
              <a:t>0.015</a:t>
            </a:r>
          </a:p>
        </xdr:txBody>
      </xdr:sp>
      <xdr:sp>
        <xdr:nvSpPr>
          <xdr:cNvPr id="146" name="Rectangle 147"/>
          <xdr:cNvSpPr>
            <a:spLocks/>
          </xdr:cNvSpPr>
        </xdr:nvSpPr>
        <xdr:spPr>
          <a:xfrm>
            <a:off x="337" y="24558"/>
            <a:ext cx="47" cy="18"/>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範</a:t>
            </a:r>
            <a:r>
              <a:rPr lang="en-US" cap="none" sz="900" b="0" i="0" u="none" baseline="0"/>
              <a:t>囲</a:t>
            </a:r>
            <a:r>
              <a:rPr lang="en-US" cap="none" sz="900" b="0" i="0" u="none" baseline="0">
                <a:latin typeface="돋움"/>
                <a:ea typeface="돋움"/>
                <a:cs typeface="돋움"/>
              </a:rPr>
              <a:t>Ⅱ</a:t>
            </a:r>
          </a:p>
        </xdr:txBody>
      </xdr:sp>
      <xdr:sp>
        <xdr:nvSpPr>
          <xdr:cNvPr id="147" name="Rectangle 148"/>
          <xdr:cNvSpPr>
            <a:spLocks/>
          </xdr:cNvSpPr>
        </xdr:nvSpPr>
        <xdr:spPr>
          <a:xfrm>
            <a:off x="458" y="24559"/>
            <a:ext cx="47" cy="18"/>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範</a:t>
            </a:r>
            <a:r>
              <a:rPr lang="en-US" cap="none" sz="900" b="0" i="0" u="none" baseline="0"/>
              <a:t>囲</a:t>
            </a:r>
            <a:r>
              <a:rPr lang="en-US" cap="none" sz="900" b="0" i="0" u="none" baseline="0">
                <a:latin typeface="돋움"/>
                <a:ea typeface="돋움"/>
                <a:cs typeface="돋움"/>
              </a:rPr>
              <a:t>Ⅲ</a:t>
            </a:r>
          </a:p>
        </xdr:txBody>
      </xdr:sp>
      <xdr:sp>
        <xdr:nvSpPr>
          <xdr:cNvPr id="148" name="Rectangle 149"/>
          <xdr:cNvSpPr>
            <a:spLocks/>
          </xdr:cNvSpPr>
        </xdr:nvSpPr>
        <xdr:spPr>
          <a:xfrm>
            <a:off x="501" y="24641"/>
            <a:ext cx="25" cy="17"/>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 εp</a:t>
            </a:r>
          </a:p>
        </xdr:txBody>
      </xdr:sp>
      <xdr:sp>
        <xdr:nvSpPr>
          <xdr:cNvPr id="149" name="Rectangle 150"/>
          <xdr:cNvSpPr>
            <a:spLocks/>
          </xdr:cNvSpPr>
        </xdr:nvSpPr>
        <xdr:spPr>
          <a:xfrm>
            <a:off x="163" y="24452"/>
            <a:ext cx="25" cy="17"/>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σp</a:t>
            </a:r>
          </a:p>
        </xdr:txBody>
      </xdr:sp>
      <xdr:sp>
        <xdr:nvSpPr>
          <xdr:cNvPr id="150" name="Line 151"/>
          <xdr:cNvSpPr>
            <a:spLocks/>
          </xdr:cNvSpPr>
        </xdr:nvSpPr>
        <xdr:spPr>
          <a:xfrm>
            <a:off x="303" y="24505"/>
            <a:ext cx="17" cy="4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151" name="Line 152"/>
          <xdr:cNvSpPr>
            <a:spLocks/>
          </xdr:cNvSpPr>
        </xdr:nvSpPr>
        <xdr:spPr>
          <a:xfrm>
            <a:off x="320" y="24546"/>
            <a:ext cx="1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2" name="Line 153"/>
          <xdr:cNvSpPr>
            <a:spLocks/>
          </xdr:cNvSpPr>
        </xdr:nvSpPr>
        <xdr:spPr>
          <a:xfrm>
            <a:off x="417" y="24481"/>
            <a:ext cx="32" cy="4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153" name="Line 154"/>
          <xdr:cNvSpPr>
            <a:spLocks/>
          </xdr:cNvSpPr>
        </xdr:nvSpPr>
        <xdr:spPr>
          <a:xfrm>
            <a:off x="450" y="24521"/>
            <a:ext cx="1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4" name="Line 155"/>
          <xdr:cNvSpPr>
            <a:spLocks/>
          </xdr:cNvSpPr>
        </xdr:nvSpPr>
        <xdr:spPr>
          <a:xfrm flipH="1" flipV="1">
            <a:off x="321" y="24465"/>
            <a:ext cx="28" cy="27"/>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11</xdr:col>
      <xdr:colOff>142875</xdr:colOff>
      <xdr:row>1190</xdr:row>
      <xdr:rowOff>142875</xdr:rowOff>
    </xdr:from>
    <xdr:to>
      <xdr:col>28</xdr:col>
      <xdr:colOff>9525</xdr:colOff>
      <xdr:row>1197</xdr:row>
      <xdr:rowOff>0</xdr:rowOff>
    </xdr:to>
    <xdr:grpSp>
      <xdr:nvGrpSpPr>
        <xdr:cNvPr id="155" name="Group 156"/>
        <xdr:cNvGrpSpPr>
          <a:grpSpLocks/>
        </xdr:cNvGrpSpPr>
      </xdr:nvGrpSpPr>
      <xdr:grpSpPr>
        <a:xfrm>
          <a:off x="1819275" y="285930975"/>
          <a:ext cx="2457450" cy="1590675"/>
          <a:chOff x="191" y="26278"/>
          <a:chExt cx="258" cy="167"/>
        </a:xfrm>
        <a:solidFill>
          <a:srgbClr val="FFFFFF"/>
        </a:solidFill>
      </xdr:grpSpPr>
      <xdr:grpSp>
        <xdr:nvGrpSpPr>
          <xdr:cNvPr id="156" name="Group 157"/>
          <xdr:cNvGrpSpPr>
            <a:grpSpLocks/>
          </xdr:cNvGrpSpPr>
        </xdr:nvGrpSpPr>
        <xdr:grpSpPr>
          <a:xfrm>
            <a:off x="203" y="26289"/>
            <a:ext cx="246" cy="156"/>
            <a:chOff x="235" y="26263"/>
            <a:chExt cx="246" cy="156"/>
          </a:xfrm>
          <a:solidFill>
            <a:srgbClr val="FFFFFF"/>
          </a:solidFill>
        </xdr:grpSpPr>
        <xdr:sp>
          <xdr:nvSpPr>
            <xdr:cNvPr id="157" name="Rectangle 158"/>
            <xdr:cNvSpPr>
              <a:spLocks/>
            </xdr:cNvSpPr>
          </xdr:nvSpPr>
          <xdr:spPr>
            <a:xfrm>
              <a:off x="272" y="26304"/>
              <a:ext cx="144" cy="5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8" name="Line 159"/>
            <xdr:cNvSpPr>
              <a:spLocks/>
            </xdr:cNvSpPr>
          </xdr:nvSpPr>
          <xdr:spPr>
            <a:xfrm>
              <a:off x="272" y="26359"/>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9" name="Line 160"/>
            <xdr:cNvSpPr>
              <a:spLocks/>
            </xdr:cNvSpPr>
          </xdr:nvSpPr>
          <xdr:spPr>
            <a:xfrm>
              <a:off x="415" y="26359"/>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0" name="Line 161"/>
            <xdr:cNvSpPr>
              <a:spLocks/>
            </xdr:cNvSpPr>
          </xdr:nvSpPr>
          <xdr:spPr>
            <a:xfrm>
              <a:off x="416" y="26360"/>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1" name="Line 162"/>
            <xdr:cNvSpPr>
              <a:spLocks/>
            </xdr:cNvSpPr>
          </xdr:nvSpPr>
          <xdr:spPr>
            <a:xfrm>
              <a:off x="272" y="26382"/>
              <a:ext cx="144"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62" name="Line 163"/>
            <xdr:cNvSpPr>
              <a:spLocks/>
            </xdr:cNvSpPr>
          </xdr:nvSpPr>
          <xdr:spPr>
            <a:xfrm>
              <a:off x="420" y="26304"/>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3" name="Line 164"/>
            <xdr:cNvSpPr>
              <a:spLocks/>
            </xdr:cNvSpPr>
          </xdr:nvSpPr>
          <xdr:spPr>
            <a:xfrm>
              <a:off x="420" y="26356"/>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4" name="Line 165"/>
            <xdr:cNvSpPr>
              <a:spLocks/>
            </xdr:cNvSpPr>
          </xdr:nvSpPr>
          <xdr:spPr>
            <a:xfrm>
              <a:off x="256" y="26330"/>
              <a:ext cx="179"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5" name="Line 166"/>
            <xdr:cNvSpPr>
              <a:spLocks/>
            </xdr:cNvSpPr>
          </xdr:nvSpPr>
          <xdr:spPr>
            <a:xfrm>
              <a:off x="432" y="26291"/>
              <a:ext cx="0" cy="1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돋움"/>
                  <a:ea typeface="돋움"/>
                  <a:cs typeface="돋움"/>
                </a:rPr>
                <a:t/>
              </a:r>
            </a:p>
          </xdr:txBody>
        </xdr:sp>
        <xdr:sp>
          <xdr:nvSpPr>
            <xdr:cNvPr id="166" name="Line 167"/>
            <xdr:cNvSpPr>
              <a:spLocks/>
            </xdr:cNvSpPr>
          </xdr:nvSpPr>
          <xdr:spPr>
            <a:xfrm>
              <a:off x="432" y="26304"/>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7" name="Line 168"/>
            <xdr:cNvSpPr>
              <a:spLocks/>
            </xdr:cNvSpPr>
          </xdr:nvSpPr>
          <xdr:spPr>
            <a:xfrm>
              <a:off x="432" y="26339"/>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8" name="Line 169"/>
            <xdr:cNvSpPr>
              <a:spLocks/>
            </xdr:cNvSpPr>
          </xdr:nvSpPr>
          <xdr:spPr>
            <a:xfrm>
              <a:off x="432" y="26318"/>
              <a:ext cx="0" cy="16"/>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169" name="Line 170"/>
            <xdr:cNvSpPr>
              <a:spLocks/>
            </xdr:cNvSpPr>
          </xdr:nvSpPr>
          <xdr:spPr>
            <a:xfrm>
              <a:off x="464" y="26304"/>
              <a:ext cx="0" cy="5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70" name="Line 171"/>
            <xdr:cNvSpPr>
              <a:spLocks/>
            </xdr:cNvSpPr>
          </xdr:nvSpPr>
          <xdr:spPr>
            <a:xfrm>
              <a:off x="301" y="26350"/>
              <a:ext cx="37" cy="68"/>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171" name="AutoShape 172"/>
            <xdr:cNvSpPr>
              <a:spLocks/>
            </xdr:cNvSpPr>
          </xdr:nvSpPr>
          <xdr:spPr>
            <a:xfrm>
              <a:off x="276"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2" name="AutoShape 173"/>
            <xdr:cNvSpPr>
              <a:spLocks/>
            </xdr:cNvSpPr>
          </xdr:nvSpPr>
          <xdr:spPr>
            <a:xfrm>
              <a:off x="292"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3" name="AutoShape 174"/>
            <xdr:cNvSpPr>
              <a:spLocks/>
            </xdr:cNvSpPr>
          </xdr:nvSpPr>
          <xdr:spPr>
            <a:xfrm>
              <a:off x="308"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4" name="AutoShape 175"/>
            <xdr:cNvSpPr>
              <a:spLocks/>
            </xdr:cNvSpPr>
          </xdr:nvSpPr>
          <xdr:spPr>
            <a:xfrm>
              <a:off x="324"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5" name="AutoShape 176"/>
            <xdr:cNvSpPr>
              <a:spLocks/>
            </xdr:cNvSpPr>
          </xdr:nvSpPr>
          <xdr:spPr>
            <a:xfrm>
              <a:off x="340"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6" name="AutoShape 177"/>
            <xdr:cNvSpPr>
              <a:spLocks/>
            </xdr:cNvSpPr>
          </xdr:nvSpPr>
          <xdr:spPr>
            <a:xfrm>
              <a:off x="356"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7" name="AutoShape 178"/>
            <xdr:cNvSpPr>
              <a:spLocks/>
            </xdr:cNvSpPr>
          </xdr:nvSpPr>
          <xdr:spPr>
            <a:xfrm>
              <a:off x="372"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8" name="AutoShape 179"/>
            <xdr:cNvSpPr>
              <a:spLocks/>
            </xdr:cNvSpPr>
          </xdr:nvSpPr>
          <xdr:spPr>
            <a:xfrm>
              <a:off x="388"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9" name="AutoShape 180"/>
            <xdr:cNvSpPr>
              <a:spLocks/>
            </xdr:cNvSpPr>
          </xdr:nvSpPr>
          <xdr:spPr>
            <a:xfrm>
              <a:off x="404" y="26317"/>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0" name="AutoShape 181"/>
            <xdr:cNvSpPr>
              <a:spLocks/>
            </xdr:cNvSpPr>
          </xdr:nvSpPr>
          <xdr:spPr>
            <a:xfrm>
              <a:off x="276"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1" name="AutoShape 182"/>
            <xdr:cNvSpPr>
              <a:spLocks/>
            </xdr:cNvSpPr>
          </xdr:nvSpPr>
          <xdr:spPr>
            <a:xfrm>
              <a:off x="292"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2" name="AutoShape 183"/>
            <xdr:cNvSpPr>
              <a:spLocks/>
            </xdr:cNvSpPr>
          </xdr:nvSpPr>
          <xdr:spPr>
            <a:xfrm>
              <a:off x="308"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3" name="AutoShape 184"/>
            <xdr:cNvSpPr>
              <a:spLocks/>
            </xdr:cNvSpPr>
          </xdr:nvSpPr>
          <xdr:spPr>
            <a:xfrm>
              <a:off x="324"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4" name="AutoShape 185"/>
            <xdr:cNvSpPr>
              <a:spLocks/>
            </xdr:cNvSpPr>
          </xdr:nvSpPr>
          <xdr:spPr>
            <a:xfrm>
              <a:off x="340"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5" name="AutoShape 186"/>
            <xdr:cNvSpPr>
              <a:spLocks/>
            </xdr:cNvSpPr>
          </xdr:nvSpPr>
          <xdr:spPr>
            <a:xfrm>
              <a:off x="356"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6" name="AutoShape 187"/>
            <xdr:cNvSpPr>
              <a:spLocks/>
            </xdr:cNvSpPr>
          </xdr:nvSpPr>
          <xdr:spPr>
            <a:xfrm>
              <a:off x="372"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7" name="AutoShape 188"/>
            <xdr:cNvSpPr>
              <a:spLocks/>
            </xdr:cNvSpPr>
          </xdr:nvSpPr>
          <xdr:spPr>
            <a:xfrm>
              <a:off x="388"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8" name="AutoShape 189"/>
            <xdr:cNvSpPr>
              <a:spLocks/>
            </xdr:cNvSpPr>
          </xdr:nvSpPr>
          <xdr:spPr>
            <a:xfrm>
              <a:off x="404" y="26342"/>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9" name="Line 190"/>
            <xdr:cNvSpPr>
              <a:spLocks/>
            </xdr:cNvSpPr>
          </xdr:nvSpPr>
          <xdr:spPr>
            <a:xfrm flipH="1">
              <a:off x="237" y="26304"/>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0" name="Line 191"/>
            <xdr:cNvSpPr>
              <a:spLocks/>
            </xdr:cNvSpPr>
          </xdr:nvSpPr>
          <xdr:spPr>
            <a:xfrm flipH="1">
              <a:off x="235" y="26356"/>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1" name="Line 192"/>
            <xdr:cNvSpPr>
              <a:spLocks/>
            </xdr:cNvSpPr>
          </xdr:nvSpPr>
          <xdr:spPr>
            <a:xfrm flipH="1">
              <a:off x="237" y="26314"/>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2" name="Line 193"/>
            <xdr:cNvSpPr>
              <a:spLocks/>
            </xdr:cNvSpPr>
          </xdr:nvSpPr>
          <xdr:spPr>
            <a:xfrm flipH="1">
              <a:off x="236" y="2634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3" name="Line 194"/>
            <xdr:cNvSpPr>
              <a:spLocks/>
            </xdr:cNvSpPr>
          </xdr:nvSpPr>
          <xdr:spPr>
            <a:xfrm>
              <a:off x="240" y="26304"/>
              <a:ext cx="0" cy="1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94" name="Line 195"/>
            <xdr:cNvSpPr>
              <a:spLocks/>
            </xdr:cNvSpPr>
          </xdr:nvSpPr>
          <xdr:spPr>
            <a:xfrm>
              <a:off x="240" y="26314"/>
              <a:ext cx="0" cy="33"/>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95" name="Line 196"/>
            <xdr:cNvSpPr>
              <a:spLocks/>
            </xdr:cNvSpPr>
          </xdr:nvSpPr>
          <xdr:spPr>
            <a:xfrm>
              <a:off x="240" y="26347"/>
              <a:ext cx="0" cy="1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196" name="Line 197"/>
            <xdr:cNvSpPr>
              <a:spLocks/>
            </xdr:cNvSpPr>
          </xdr:nvSpPr>
          <xdr:spPr>
            <a:xfrm>
              <a:off x="339" y="26419"/>
              <a:ext cx="1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7" name="Line 198"/>
            <xdr:cNvSpPr>
              <a:spLocks/>
            </xdr:cNvSpPr>
          </xdr:nvSpPr>
          <xdr:spPr>
            <a:xfrm>
              <a:off x="272" y="26348"/>
              <a:ext cx="144"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8" name="Line 199"/>
            <xdr:cNvSpPr>
              <a:spLocks/>
            </xdr:cNvSpPr>
          </xdr:nvSpPr>
          <xdr:spPr>
            <a:xfrm>
              <a:off x="272" y="26314"/>
              <a:ext cx="144"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9" name="Line 200"/>
            <xdr:cNvSpPr>
              <a:spLocks/>
            </xdr:cNvSpPr>
          </xdr:nvSpPr>
          <xdr:spPr>
            <a:xfrm>
              <a:off x="420" y="26318"/>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0" name="Line 201"/>
            <xdr:cNvSpPr>
              <a:spLocks/>
            </xdr:cNvSpPr>
          </xdr:nvSpPr>
          <xdr:spPr>
            <a:xfrm>
              <a:off x="420" y="2634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1" name="Line 202"/>
            <xdr:cNvSpPr>
              <a:spLocks/>
            </xdr:cNvSpPr>
          </xdr:nvSpPr>
          <xdr:spPr>
            <a:xfrm flipV="1">
              <a:off x="448" y="26304"/>
              <a:ext cx="0" cy="3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02" name="Line 203"/>
            <xdr:cNvSpPr>
              <a:spLocks/>
            </xdr:cNvSpPr>
          </xdr:nvSpPr>
          <xdr:spPr>
            <a:xfrm flipV="1">
              <a:off x="332" y="26263"/>
              <a:ext cx="9" cy="48"/>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03" name="Line 204"/>
            <xdr:cNvSpPr>
              <a:spLocks/>
            </xdr:cNvSpPr>
          </xdr:nvSpPr>
          <xdr:spPr>
            <a:xfrm>
              <a:off x="342" y="26263"/>
              <a:ext cx="1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sp>
        <xdr:nvSpPr>
          <xdr:cNvPr id="204" name="Line 205"/>
          <xdr:cNvSpPr>
            <a:spLocks/>
          </xdr:cNvSpPr>
        </xdr:nvSpPr>
        <xdr:spPr>
          <a:xfrm flipH="1" flipV="1">
            <a:off x="235" y="26278"/>
            <a:ext cx="27" cy="67"/>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05" name="Line 206"/>
          <xdr:cNvSpPr>
            <a:spLocks/>
          </xdr:cNvSpPr>
        </xdr:nvSpPr>
        <xdr:spPr>
          <a:xfrm>
            <a:off x="240" y="26289"/>
            <a:ext cx="1"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206" name="Line 207"/>
          <xdr:cNvSpPr>
            <a:spLocks/>
          </xdr:cNvSpPr>
        </xdr:nvSpPr>
        <xdr:spPr>
          <a:xfrm flipH="1">
            <a:off x="192" y="26278"/>
            <a:ext cx="4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7" name="Line 208"/>
          <xdr:cNvSpPr>
            <a:spLocks/>
          </xdr:cNvSpPr>
        </xdr:nvSpPr>
        <xdr:spPr>
          <a:xfrm flipH="1">
            <a:off x="219" y="26370"/>
            <a:ext cx="43" cy="37"/>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08" name="Line 209"/>
          <xdr:cNvSpPr>
            <a:spLocks/>
          </xdr:cNvSpPr>
        </xdr:nvSpPr>
        <xdr:spPr>
          <a:xfrm flipH="1">
            <a:off x="191" y="26407"/>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32</xdr:col>
      <xdr:colOff>133350</xdr:colOff>
      <xdr:row>699</xdr:row>
      <xdr:rowOff>47625</xdr:rowOff>
    </xdr:from>
    <xdr:to>
      <xdr:col>37</xdr:col>
      <xdr:colOff>0</xdr:colOff>
      <xdr:row>701</xdr:row>
      <xdr:rowOff>66675</xdr:rowOff>
    </xdr:to>
    <xdr:sp>
      <xdr:nvSpPr>
        <xdr:cNvPr id="209" name="AutoShape 210"/>
        <xdr:cNvSpPr>
          <a:spLocks/>
        </xdr:cNvSpPr>
      </xdr:nvSpPr>
      <xdr:spPr>
        <a:xfrm>
          <a:off x="5010150" y="172212000"/>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圧縮</a:t>
          </a:r>
          <a:r>
            <a:rPr lang="en-US" cap="none" sz="900" b="0" i="0" u="none" baseline="0">
              <a:latin typeface="돋움"/>
              <a:ea typeface="돋움"/>
              <a:cs typeface="돋움"/>
            </a:rPr>
            <a:t>  (-) 
 引張  (+)</a:t>
          </a:r>
        </a:p>
      </xdr:txBody>
    </xdr:sp>
    <xdr:clientData/>
  </xdr:twoCellAnchor>
  <xdr:twoCellAnchor>
    <xdr:from>
      <xdr:col>32</xdr:col>
      <xdr:colOff>133350</xdr:colOff>
      <xdr:row>747</xdr:row>
      <xdr:rowOff>47625</xdr:rowOff>
    </xdr:from>
    <xdr:to>
      <xdr:col>37</xdr:col>
      <xdr:colOff>0</xdr:colOff>
      <xdr:row>749</xdr:row>
      <xdr:rowOff>66675</xdr:rowOff>
    </xdr:to>
    <xdr:sp>
      <xdr:nvSpPr>
        <xdr:cNvPr id="210" name="AutoShape 211"/>
        <xdr:cNvSpPr>
          <a:spLocks/>
        </xdr:cNvSpPr>
      </xdr:nvSpPr>
      <xdr:spPr>
        <a:xfrm>
          <a:off x="5010150" y="18007012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圧縮</a:t>
          </a:r>
          <a:r>
            <a:rPr lang="en-US" cap="none" sz="900" b="0" i="0" u="none" baseline="0">
              <a:latin typeface="돋움"/>
              <a:ea typeface="돋움"/>
              <a:cs typeface="돋움"/>
            </a:rPr>
            <a:t>  (-) 
 引張  (+)</a:t>
          </a:r>
        </a:p>
      </xdr:txBody>
    </xdr:sp>
    <xdr:clientData/>
  </xdr:twoCellAnchor>
  <xdr:twoCellAnchor>
    <xdr:from>
      <xdr:col>26</xdr:col>
      <xdr:colOff>133350</xdr:colOff>
      <xdr:row>481</xdr:row>
      <xdr:rowOff>47625</xdr:rowOff>
    </xdr:from>
    <xdr:to>
      <xdr:col>31</xdr:col>
      <xdr:colOff>0</xdr:colOff>
      <xdr:row>482</xdr:row>
      <xdr:rowOff>142875</xdr:rowOff>
    </xdr:to>
    <xdr:sp>
      <xdr:nvSpPr>
        <xdr:cNvPr id="211" name="AutoShape 212"/>
        <xdr:cNvSpPr>
          <a:spLocks/>
        </xdr:cNvSpPr>
      </xdr:nvSpPr>
      <xdr:spPr>
        <a:xfrm>
          <a:off x="4095750" y="11916727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29</xdr:col>
      <xdr:colOff>133350</xdr:colOff>
      <xdr:row>571</xdr:row>
      <xdr:rowOff>47625</xdr:rowOff>
    </xdr:from>
    <xdr:to>
      <xdr:col>34</xdr:col>
      <xdr:colOff>0</xdr:colOff>
      <xdr:row>572</xdr:row>
      <xdr:rowOff>142875</xdr:rowOff>
    </xdr:to>
    <xdr:sp>
      <xdr:nvSpPr>
        <xdr:cNvPr id="212" name="AutoShape 213"/>
        <xdr:cNvSpPr>
          <a:spLocks/>
        </xdr:cNvSpPr>
      </xdr:nvSpPr>
      <xdr:spPr>
        <a:xfrm>
          <a:off x="4552950" y="14145577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26</xdr:col>
      <xdr:colOff>133350</xdr:colOff>
      <xdr:row>640</xdr:row>
      <xdr:rowOff>47625</xdr:rowOff>
    </xdr:from>
    <xdr:to>
      <xdr:col>31</xdr:col>
      <xdr:colOff>0</xdr:colOff>
      <xdr:row>641</xdr:row>
      <xdr:rowOff>142875</xdr:rowOff>
    </xdr:to>
    <xdr:sp>
      <xdr:nvSpPr>
        <xdr:cNvPr id="213" name="AutoShape 214"/>
        <xdr:cNvSpPr>
          <a:spLocks/>
        </xdr:cNvSpPr>
      </xdr:nvSpPr>
      <xdr:spPr>
        <a:xfrm>
          <a:off x="4095750" y="15854362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a:t>
          </a:r>
          <a:r>
            <a:rPr lang="en-US" cap="none" sz="900" b="0" i="0" u="none" baseline="0">
              <a:latin typeface="돋움"/>
              <a:ea typeface="돋움"/>
              <a:cs typeface="돋움"/>
            </a:rPr>
            <a:t>縮  (-) 
 引張  (+)</a:t>
          </a:r>
        </a:p>
      </xdr:txBody>
    </xdr:sp>
    <xdr:clientData/>
  </xdr:twoCellAnchor>
  <xdr:twoCellAnchor>
    <xdr:from>
      <xdr:col>10</xdr:col>
      <xdr:colOff>28575</xdr:colOff>
      <xdr:row>1083</xdr:row>
      <xdr:rowOff>85725</xdr:rowOff>
    </xdr:from>
    <xdr:to>
      <xdr:col>35</xdr:col>
      <xdr:colOff>114300</xdr:colOff>
      <xdr:row>1091</xdr:row>
      <xdr:rowOff>85725</xdr:rowOff>
    </xdr:to>
    <xdr:grpSp>
      <xdr:nvGrpSpPr>
        <xdr:cNvPr id="214" name="Group 215"/>
        <xdr:cNvGrpSpPr>
          <a:grpSpLocks/>
        </xdr:cNvGrpSpPr>
      </xdr:nvGrpSpPr>
      <xdr:grpSpPr>
        <a:xfrm>
          <a:off x="1552575" y="259375275"/>
          <a:ext cx="3895725" cy="1981200"/>
          <a:chOff x="163" y="24452"/>
          <a:chExt cx="409" cy="208"/>
        </a:xfrm>
        <a:solidFill>
          <a:srgbClr val="FFFFFF"/>
        </a:solidFill>
      </xdr:grpSpPr>
      <xdr:sp>
        <xdr:nvSpPr>
          <xdr:cNvPr id="215" name="Line 216"/>
          <xdr:cNvSpPr>
            <a:spLocks/>
          </xdr:cNvSpPr>
        </xdr:nvSpPr>
        <xdr:spPr>
          <a:xfrm>
            <a:off x="192" y="24454"/>
            <a:ext cx="0" cy="182"/>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16" name="Line 217"/>
          <xdr:cNvSpPr>
            <a:spLocks/>
          </xdr:cNvSpPr>
        </xdr:nvSpPr>
        <xdr:spPr>
          <a:xfrm>
            <a:off x="191" y="24636"/>
            <a:ext cx="33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돋움"/>
                <a:ea typeface="돋움"/>
                <a:cs typeface="돋움"/>
              </a:rPr>
              <a:t/>
            </a:r>
          </a:p>
        </xdr:txBody>
      </xdr:sp>
      <xdr:sp>
        <xdr:nvSpPr>
          <xdr:cNvPr id="217" name="Line 218"/>
          <xdr:cNvSpPr>
            <a:spLocks/>
          </xdr:cNvSpPr>
        </xdr:nvSpPr>
        <xdr:spPr>
          <a:xfrm>
            <a:off x="192" y="24480"/>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8" name="Line 219"/>
          <xdr:cNvSpPr>
            <a:spLocks/>
          </xdr:cNvSpPr>
        </xdr:nvSpPr>
        <xdr:spPr>
          <a:xfrm>
            <a:off x="417" y="24480"/>
            <a:ext cx="0" cy="15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9" name="Line 220"/>
          <xdr:cNvSpPr>
            <a:spLocks/>
          </xdr:cNvSpPr>
        </xdr:nvSpPr>
        <xdr:spPr>
          <a:xfrm>
            <a:off x="304" y="24507"/>
            <a:ext cx="0" cy="12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0" name="Line 221"/>
          <xdr:cNvSpPr>
            <a:spLocks/>
          </xdr:cNvSpPr>
        </xdr:nvSpPr>
        <xdr:spPr>
          <a:xfrm>
            <a:off x="192" y="24506"/>
            <a:ext cx="111"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1" name="Line 222"/>
          <xdr:cNvSpPr>
            <a:spLocks/>
          </xdr:cNvSpPr>
        </xdr:nvSpPr>
        <xdr:spPr>
          <a:xfrm flipV="1">
            <a:off x="193" y="24507"/>
            <a:ext cx="110" cy="12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2" name="Line 223"/>
          <xdr:cNvSpPr>
            <a:spLocks/>
          </xdr:cNvSpPr>
        </xdr:nvSpPr>
        <xdr:spPr>
          <a:xfrm flipV="1">
            <a:off x="304" y="24481"/>
            <a:ext cx="113" cy="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3" name="Line 224"/>
          <xdr:cNvSpPr>
            <a:spLocks/>
          </xdr:cNvSpPr>
        </xdr:nvSpPr>
        <xdr:spPr>
          <a:xfrm>
            <a:off x="415" y="24480"/>
            <a:ext cx="0" cy="0"/>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224" name="Line 225"/>
          <xdr:cNvSpPr>
            <a:spLocks/>
          </xdr:cNvSpPr>
        </xdr:nvSpPr>
        <xdr:spPr>
          <a:xfrm>
            <a:off x="416" y="24481"/>
            <a:ext cx="113"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5" name="Line 226"/>
          <xdr:cNvSpPr>
            <a:spLocks/>
          </xdr:cNvSpPr>
        </xdr:nvSpPr>
        <xdr:spPr>
          <a:xfrm>
            <a:off x="192" y="24584"/>
            <a:ext cx="11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26" name="Line 227"/>
          <xdr:cNvSpPr>
            <a:spLocks/>
          </xdr:cNvSpPr>
        </xdr:nvSpPr>
        <xdr:spPr>
          <a:xfrm>
            <a:off x="304" y="24584"/>
            <a:ext cx="11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27" name="Line 228"/>
          <xdr:cNvSpPr>
            <a:spLocks/>
          </xdr:cNvSpPr>
        </xdr:nvSpPr>
        <xdr:spPr>
          <a:xfrm>
            <a:off x="417" y="24584"/>
            <a:ext cx="112"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28" name="Rectangle 229"/>
          <xdr:cNvSpPr>
            <a:spLocks/>
          </xdr:cNvSpPr>
        </xdr:nvSpPr>
        <xdr:spPr>
          <a:xfrm>
            <a:off x="283" y="24643"/>
            <a:ext cx="48" cy="17"/>
          </a:xfrm>
          <a:prstGeom prst="rect">
            <a:avLst/>
          </a:prstGeom>
          <a:noFill/>
          <a:ln w="9525" cmpd="sng">
            <a:noFill/>
          </a:ln>
        </xdr:spPr>
        <xdr:txBody>
          <a:bodyPr vertOverflow="clip" wrap="square"/>
          <a:p>
            <a:pPr algn="l">
              <a:defRPr/>
            </a:pPr>
            <a:r>
              <a:rPr lang="en-US" cap="none" sz="900" b="0" i="0" u="none" baseline="0"/>
              <a:t>0.00756</a:t>
            </a:r>
          </a:p>
        </xdr:txBody>
      </xdr:sp>
      <xdr:sp>
        <xdr:nvSpPr>
          <xdr:cNvPr id="229" name="Rectangle 230"/>
          <xdr:cNvSpPr>
            <a:spLocks/>
          </xdr:cNvSpPr>
        </xdr:nvSpPr>
        <xdr:spPr>
          <a:xfrm>
            <a:off x="226" y="24559"/>
            <a:ext cx="47" cy="18"/>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範</a:t>
            </a:r>
            <a:r>
              <a:rPr lang="en-US" cap="none" sz="900" b="0" i="0" u="none" baseline="0"/>
              <a:t>囲</a:t>
            </a:r>
            <a:r>
              <a:rPr lang="en-US" cap="none" sz="900" b="0" i="0" u="none" baseline="0">
                <a:latin typeface="돋움"/>
                <a:ea typeface="돋움"/>
                <a:cs typeface="돋움"/>
              </a:rPr>
              <a:t>Ⅰ</a:t>
            </a:r>
          </a:p>
        </xdr:txBody>
      </xdr:sp>
      <xdr:sp>
        <xdr:nvSpPr>
          <xdr:cNvPr id="230" name="Rectangle 231"/>
          <xdr:cNvSpPr>
            <a:spLocks/>
          </xdr:cNvSpPr>
        </xdr:nvSpPr>
        <xdr:spPr>
          <a:xfrm>
            <a:off x="399" y="24641"/>
            <a:ext cx="42" cy="16"/>
          </a:xfrm>
          <a:prstGeom prst="rect">
            <a:avLst/>
          </a:prstGeom>
          <a:noFill/>
          <a:ln w="9525" cmpd="sng">
            <a:noFill/>
          </a:ln>
        </xdr:spPr>
        <xdr:txBody>
          <a:bodyPr vertOverflow="clip" wrap="square"/>
          <a:p>
            <a:pPr algn="l">
              <a:defRPr/>
            </a:pPr>
            <a:r>
              <a:rPr lang="en-US" cap="none" sz="900" b="0" i="0" u="none" baseline="0"/>
              <a:t>0.015</a:t>
            </a:r>
          </a:p>
        </xdr:txBody>
      </xdr:sp>
      <xdr:sp>
        <xdr:nvSpPr>
          <xdr:cNvPr id="231" name="Rectangle 232"/>
          <xdr:cNvSpPr>
            <a:spLocks/>
          </xdr:cNvSpPr>
        </xdr:nvSpPr>
        <xdr:spPr>
          <a:xfrm>
            <a:off x="337" y="24558"/>
            <a:ext cx="47" cy="18"/>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範</a:t>
            </a:r>
            <a:r>
              <a:rPr lang="en-US" cap="none" sz="900" b="0" i="0" u="none" baseline="0"/>
              <a:t>囲</a:t>
            </a:r>
            <a:r>
              <a:rPr lang="en-US" cap="none" sz="900" b="0" i="0" u="none" baseline="0">
                <a:latin typeface="돋움"/>
                <a:ea typeface="돋움"/>
                <a:cs typeface="돋움"/>
              </a:rPr>
              <a:t>Ⅱ</a:t>
            </a:r>
          </a:p>
        </xdr:txBody>
      </xdr:sp>
      <xdr:sp>
        <xdr:nvSpPr>
          <xdr:cNvPr id="232" name="Rectangle 233"/>
          <xdr:cNvSpPr>
            <a:spLocks/>
          </xdr:cNvSpPr>
        </xdr:nvSpPr>
        <xdr:spPr>
          <a:xfrm>
            <a:off x="458" y="24559"/>
            <a:ext cx="47" cy="18"/>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範</a:t>
            </a:r>
            <a:r>
              <a:rPr lang="en-US" cap="none" sz="900" b="0" i="0" u="none" baseline="0"/>
              <a:t>囲</a:t>
            </a:r>
            <a:r>
              <a:rPr lang="en-US" cap="none" sz="900" b="0" i="0" u="none" baseline="0">
                <a:latin typeface="돋움"/>
                <a:ea typeface="돋움"/>
                <a:cs typeface="돋움"/>
              </a:rPr>
              <a:t>Ⅲ</a:t>
            </a:r>
          </a:p>
        </xdr:txBody>
      </xdr:sp>
      <xdr:sp>
        <xdr:nvSpPr>
          <xdr:cNvPr id="233" name="Rectangle 234"/>
          <xdr:cNvSpPr>
            <a:spLocks/>
          </xdr:cNvSpPr>
        </xdr:nvSpPr>
        <xdr:spPr>
          <a:xfrm>
            <a:off x="501" y="24641"/>
            <a:ext cx="25" cy="17"/>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 εp</a:t>
            </a:r>
          </a:p>
        </xdr:txBody>
      </xdr:sp>
      <xdr:sp>
        <xdr:nvSpPr>
          <xdr:cNvPr id="234" name="Rectangle 235"/>
          <xdr:cNvSpPr>
            <a:spLocks/>
          </xdr:cNvSpPr>
        </xdr:nvSpPr>
        <xdr:spPr>
          <a:xfrm>
            <a:off x="163" y="24452"/>
            <a:ext cx="25" cy="17"/>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σp</a:t>
            </a:r>
          </a:p>
        </xdr:txBody>
      </xdr:sp>
      <xdr:sp>
        <xdr:nvSpPr>
          <xdr:cNvPr id="235" name="Line 236"/>
          <xdr:cNvSpPr>
            <a:spLocks/>
          </xdr:cNvSpPr>
        </xdr:nvSpPr>
        <xdr:spPr>
          <a:xfrm>
            <a:off x="303" y="24505"/>
            <a:ext cx="17" cy="4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36" name="Line 237"/>
          <xdr:cNvSpPr>
            <a:spLocks/>
          </xdr:cNvSpPr>
        </xdr:nvSpPr>
        <xdr:spPr>
          <a:xfrm>
            <a:off x="320" y="24546"/>
            <a:ext cx="1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7" name="Line 238"/>
          <xdr:cNvSpPr>
            <a:spLocks/>
          </xdr:cNvSpPr>
        </xdr:nvSpPr>
        <xdr:spPr>
          <a:xfrm>
            <a:off x="417" y="24481"/>
            <a:ext cx="32" cy="41"/>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238" name="Line 239"/>
          <xdr:cNvSpPr>
            <a:spLocks/>
          </xdr:cNvSpPr>
        </xdr:nvSpPr>
        <xdr:spPr>
          <a:xfrm>
            <a:off x="450" y="24521"/>
            <a:ext cx="1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9" name="Line 240"/>
          <xdr:cNvSpPr>
            <a:spLocks/>
          </xdr:cNvSpPr>
        </xdr:nvSpPr>
        <xdr:spPr>
          <a:xfrm flipH="1" flipV="1">
            <a:off x="321" y="24465"/>
            <a:ext cx="28" cy="27"/>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5</xdr:col>
      <xdr:colOff>76200</xdr:colOff>
      <xdr:row>1053</xdr:row>
      <xdr:rowOff>219075</xdr:rowOff>
    </xdr:from>
    <xdr:to>
      <xdr:col>37</xdr:col>
      <xdr:colOff>123825</xdr:colOff>
      <xdr:row>1058</xdr:row>
      <xdr:rowOff>38100</xdr:rowOff>
    </xdr:to>
    <xdr:grpSp>
      <xdr:nvGrpSpPr>
        <xdr:cNvPr id="240" name="Group 241"/>
        <xdr:cNvGrpSpPr>
          <a:grpSpLocks/>
        </xdr:cNvGrpSpPr>
      </xdr:nvGrpSpPr>
      <xdr:grpSpPr>
        <a:xfrm>
          <a:off x="838200" y="252079125"/>
          <a:ext cx="4924425" cy="1057275"/>
          <a:chOff x="88" y="25572"/>
          <a:chExt cx="517" cy="110"/>
        </a:xfrm>
        <a:solidFill>
          <a:srgbClr val="FFFFFF"/>
        </a:solidFill>
      </xdr:grpSpPr>
      <xdr:sp>
        <xdr:nvSpPr>
          <xdr:cNvPr id="241" name="Rectangle 242"/>
          <xdr:cNvSpPr>
            <a:spLocks/>
          </xdr:cNvSpPr>
        </xdr:nvSpPr>
        <xdr:spPr>
          <a:xfrm>
            <a:off x="96" y="25573"/>
            <a:ext cx="144" cy="7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2" name="Line 243"/>
          <xdr:cNvSpPr>
            <a:spLocks/>
          </xdr:cNvSpPr>
        </xdr:nvSpPr>
        <xdr:spPr>
          <a:xfrm>
            <a:off x="239" y="2559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3" name="Line 244"/>
          <xdr:cNvSpPr>
            <a:spLocks/>
          </xdr:cNvSpPr>
        </xdr:nvSpPr>
        <xdr:spPr>
          <a:xfrm>
            <a:off x="256" y="25631"/>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4" name="AutoShape 245"/>
          <xdr:cNvSpPr>
            <a:spLocks/>
          </xdr:cNvSpPr>
        </xdr:nvSpPr>
        <xdr:spPr>
          <a:xfrm>
            <a:off x="100"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5" name="AutoShape 246"/>
          <xdr:cNvSpPr>
            <a:spLocks/>
          </xdr:cNvSpPr>
        </xdr:nvSpPr>
        <xdr:spPr>
          <a:xfrm>
            <a:off x="116"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6" name="AutoShape 247"/>
          <xdr:cNvSpPr>
            <a:spLocks/>
          </xdr:cNvSpPr>
        </xdr:nvSpPr>
        <xdr:spPr>
          <a:xfrm>
            <a:off x="132"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7" name="AutoShape 248"/>
          <xdr:cNvSpPr>
            <a:spLocks/>
          </xdr:cNvSpPr>
        </xdr:nvSpPr>
        <xdr:spPr>
          <a:xfrm>
            <a:off x="148"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8" name="AutoShape 249"/>
          <xdr:cNvSpPr>
            <a:spLocks/>
          </xdr:cNvSpPr>
        </xdr:nvSpPr>
        <xdr:spPr>
          <a:xfrm>
            <a:off x="164"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9" name="AutoShape 250"/>
          <xdr:cNvSpPr>
            <a:spLocks/>
          </xdr:cNvSpPr>
        </xdr:nvSpPr>
        <xdr:spPr>
          <a:xfrm>
            <a:off x="180"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0" name="AutoShape 251"/>
          <xdr:cNvSpPr>
            <a:spLocks/>
          </xdr:cNvSpPr>
        </xdr:nvSpPr>
        <xdr:spPr>
          <a:xfrm>
            <a:off x="196"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1" name="AutoShape 252"/>
          <xdr:cNvSpPr>
            <a:spLocks/>
          </xdr:cNvSpPr>
        </xdr:nvSpPr>
        <xdr:spPr>
          <a:xfrm>
            <a:off x="212"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2" name="AutoShape 253"/>
          <xdr:cNvSpPr>
            <a:spLocks/>
          </xdr:cNvSpPr>
        </xdr:nvSpPr>
        <xdr:spPr>
          <a:xfrm>
            <a:off x="228" y="25581"/>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3" name="AutoShape 254"/>
          <xdr:cNvSpPr>
            <a:spLocks/>
          </xdr:cNvSpPr>
        </xdr:nvSpPr>
        <xdr:spPr>
          <a:xfrm>
            <a:off x="138" y="25587"/>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4" name="AutoShape 255"/>
          <xdr:cNvSpPr>
            <a:spLocks/>
          </xdr:cNvSpPr>
        </xdr:nvSpPr>
        <xdr:spPr>
          <a:xfrm>
            <a:off x="202" y="25587"/>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5" name="AutoShape 256"/>
          <xdr:cNvSpPr>
            <a:spLocks/>
          </xdr:cNvSpPr>
        </xdr:nvSpPr>
        <xdr:spPr>
          <a:xfrm>
            <a:off x="138" y="25587"/>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6" name="AutoShape 257"/>
          <xdr:cNvSpPr>
            <a:spLocks/>
          </xdr:cNvSpPr>
        </xdr:nvSpPr>
        <xdr:spPr>
          <a:xfrm>
            <a:off x="202" y="25587"/>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7" name="Rectangle 258"/>
          <xdr:cNvSpPr>
            <a:spLocks/>
          </xdr:cNvSpPr>
        </xdr:nvSpPr>
        <xdr:spPr>
          <a:xfrm>
            <a:off x="345" y="25649"/>
            <a:ext cx="30" cy="17"/>
          </a:xfrm>
          <a:prstGeom prst="rect">
            <a:avLst/>
          </a:prstGeom>
          <a:noFill/>
          <a:ln w="9525" cmpd="sng">
            <a:noFill/>
          </a:ln>
        </xdr:spPr>
        <xdr:txBody>
          <a:bodyPr vertOverflow="clip" wrap="square"/>
          <a:p>
            <a:pPr algn="l">
              <a:defRPr/>
            </a:pPr>
            <a:r>
              <a:rPr lang="en-US" cap="none" sz="900" b="0" i="0" u="none" baseline="0"/>
              <a:t>εcu</a:t>
            </a:r>
          </a:p>
        </xdr:txBody>
      </xdr:sp>
      <xdr:sp>
        <xdr:nvSpPr>
          <xdr:cNvPr id="258" name="Rectangle 259"/>
          <xdr:cNvSpPr>
            <a:spLocks/>
          </xdr:cNvSpPr>
        </xdr:nvSpPr>
        <xdr:spPr>
          <a:xfrm>
            <a:off x="512" y="25630"/>
            <a:ext cx="32" cy="2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9" name="Line 260"/>
          <xdr:cNvSpPr>
            <a:spLocks/>
          </xdr:cNvSpPr>
        </xdr:nvSpPr>
        <xdr:spPr>
          <a:xfrm>
            <a:off x="345" y="25573"/>
            <a:ext cx="22"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260" name="Line 261"/>
          <xdr:cNvSpPr>
            <a:spLocks/>
          </xdr:cNvSpPr>
        </xdr:nvSpPr>
        <xdr:spPr>
          <a:xfrm>
            <a:off x="346" y="25573"/>
            <a:ext cx="21"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261" name="Line 262"/>
          <xdr:cNvSpPr>
            <a:spLocks/>
          </xdr:cNvSpPr>
        </xdr:nvSpPr>
        <xdr:spPr>
          <a:xfrm>
            <a:off x="367" y="25651"/>
            <a:ext cx="37"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262" name="Rectangle 263"/>
          <xdr:cNvSpPr>
            <a:spLocks/>
          </xdr:cNvSpPr>
        </xdr:nvSpPr>
        <xdr:spPr>
          <a:xfrm>
            <a:off x="461" y="25583"/>
            <a:ext cx="21" cy="16"/>
          </a:xfrm>
          <a:prstGeom prst="rect">
            <a:avLst/>
          </a:prstGeom>
          <a:noFill/>
          <a:ln w="9525" cmpd="sng">
            <a:noFill/>
          </a:ln>
        </xdr:spPr>
        <xdr:txBody>
          <a:bodyPr vertOverflow="clip" wrap="square"/>
          <a:p>
            <a:pPr algn="l">
              <a:defRPr/>
            </a:pPr>
            <a:r>
              <a:rPr lang="en-US" cap="none" sz="900" b="0" i="0" u="none" baseline="0"/>
              <a:t>Tp</a:t>
            </a:r>
          </a:p>
        </xdr:txBody>
      </xdr:sp>
      <xdr:sp>
        <xdr:nvSpPr>
          <xdr:cNvPr id="263" name="Rectangle 264"/>
          <xdr:cNvSpPr>
            <a:spLocks/>
          </xdr:cNvSpPr>
        </xdr:nvSpPr>
        <xdr:spPr>
          <a:xfrm>
            <a:off x="461" y="25572"/>
            <a:ext cx="21" cy="16"/>
          </a:xfrm>
          <a:prstGeom prst="rect">
            <a:avLst/>
          </a:prstGeom>
          <a:noFill/>
          <a:ln w="9525" cmpd="sng">
            <a:noFill/>
          </a:ln>
        </xdr:spPr>
        <xdr:txBody>
          <a:bodyPr vertOverflow="clip" wrap="square"/>
          <a:p>
            <a:pPr algn="l">
              <a:defRPr/>
            </a:pPr>
            <a:r>
              <a:rPr lang="en-US" cap="none" sz="900" b="0" i="0" u="none" baseline="0"/>
              <a:t>Ts</a:t>
            </a:r>
          </a:p>
        </xdr:txBody>
      </xdr:sp>
      <xdr:sp>
        <xdr:nvSpPr>
          <xdr:cNvPr id="264" name="Rectangle 265"/>
          <xdr:cNvSpPr>
            <a:spLocks/>
          </xdr:cNvSpPr>
        </xdr:nvSpPr>
        <xdr:spPr>
          <a:xfrm>
            <a:off x="500" y="25662"/>
            <a:ext cx="54" cy="16"/>
          </a:xfrm>
          <a:prstGeom prst="rect">
            <a:avLst/>
          </a:prstGeom>
          <a:noFill/>
          <a:ln w="9525" cmpd="sng">
            <a:noFill/>
          </a:ln>
        </xdr:spPr>
        <xdr:txBody>
          <a:bodyPr vertOverflow="clip" wrap="square"/>
          <a:p>
            <a:pPr algn="l">
              <a:defRPr/>
            </a:pPr>
            <a:r>
              <a:rPr lang="en-US" cap="none" sz="900" b="0" i="0" u="none" baseline="0"/>
              <a:t>0.85</a:t>
            </a:r>
            <a:r>
              <a:rPr lang="en-US" cap="none" sz="900" b="0" i="0" u="none" baseline="0">
                <a:latin typeface="돋움"/>
                <a:ea typeface="돋움"/>
                <a:cs typeface="돋움"/>
              </a:rPr>
              <a:t>σ</a:t>
            </a:r>
            <a:r>
              <a:rPr lang="en-US" cap="none" sz="900" b="0" i="0" u="none" baseline="0"/>
              <a:t>ck</a:t>
            </a:r>
          </a:p>
        </xdr:txBody>
      </xdr:sp>
      <xdr:sp>
        <xdr:nvSpPr>
          <xdr:cNvPr id="265" name="Rectangle 266"/>
          <xdr:cNvSpPr>
            <a:spLocks/>
          </xdr:cNvSpPr>
        </xdr:nvSpPr>
        <xdr:spPr>
          <a:xfrm>
            <a:off x="158" y="25662"/>
            <a:ext cx="30" cy="16"/>
          </a:xfrm>
          <a:prstGeom prst="rect">
            <a:avLst/>
          </a:prstGeom>
          <a:noFill/>
          <a:ln w="9525" cmpd="sng">
            <a:noFill/>
          </a:ln>
        </xdr:spPr>
        <xdr:txBody>
          <a:bodyPr vertOverflow="clip" wrap="square"/>
          <a:p>
            <a:pPr algn="l">
              <a:defRPr/>
            </a:pPr>
            <a:r>
              <a:rPr lang="en-US" cap="none" sz="900" b="0" i="0" u="none" baseline="0"/>
              <a:t>1000</a:t>
            </a:r>
          </a:p>
        </xdr:txBody>
      </xdr:sp>
      <xdr:sp>
        <xdr:nvSpPr>
          <xdr:cNvPr id="266" name="Rectangle 267"/>
          <xdr:cNvSpPr>
            <a:spLocks/>
          </xdr:cNvSpPr>
        </xdr:nvSpPr>
        <xdr:spPr>
          <a:xfrm>
            <a:off x="395" y="25583"/>
            <a:ext cx="57" cy="16"/>
          </a:xfrm>
          <a:prstGeom prst="rect">
            <a:avLst/>
          </a:prstGeom>
          <a:noFill/>
          <a:ln w="9525" cmpd="sng">
            <a:noFill/>
          </a:ln>
        </xdr:spPr>
        <xdr:txBody>
          <a:bodyPr vertOverflow="clip" wrap="square"/>
          <a:p>
            <a:pPr algn="l">
              <a:defRPr/>
            </a:pPr>
            <a:r>
              <a:rPr lang="en-US" cap="none" sz="900" b="0" i="0" u="none" baseline="0"/>
              <a:t>εp-εpe</a:t>
            </a:r>
          </a:p>
        </xdr:txBody>
      </xdr:sp>
      <xdr:sp>
        <xdr:nvSpPr>
          <xdr:cNvPr id="267" name="Rectangle 268"/>
          <xdr:cNvSpPr>
            <a:spLocks/>
          </xdr:cNvSpPr>
        </xdr:nvSpPr>
        <xdr:spPr>
          <a:xfrm>
            <a:off x="403" y="25573"/>
            <a:ext cx="26" cy="15"/>
          </a:xfrm>
          <a:prstGeom prst="rect">
            <a:avLst/>
          </a:prstGeom>
          <a:noFill/>
          <a:ln w="9525" cmpd="sng">
            <a:noFill/>
          </a:ln>
        </xdr:spPr>
        <xdr:txBody>
          <a:bodyPr vertOverflow="clip" wrap="square"/>
          <a:p>
            <a:pPr algn="l">
              <a:defRPr/>
            </a:pPr>
            <a:r>
              <a:rPr lang="en-US" cap="none" sz="900" b="0" i="0" u="none" baseline="0"/>
              <a:t>εs</a:t>
            </a:r>
          </a:p>
        </xdr:txBody>
      </xdr:sp>
      <xdr:sp>
        <xdr:nvSpPr>
          <xdr:cNvPr id="268" name="Line 269"/>
          <xdr:cNvSpPr>
            <a:spLocks/>
          </xdr:cNvSpPr>
        </xdr:nvSpPr>
        <xdr:spPr>
          <a:xfrm>
            <a:off x="512" y="25642"/>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69" name="Line 270"/>
          <xdr:cNvSpPr>
            <a:spLocks/>
          </xdr:cNvSpPr>
        </xdr:nvSpPr>
        <xdr:spPr>
          <a:xfrm>
            <a:off x="512" y="25635"/>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0" name="Line 271"/>
          <xdr:cNvSpPr>
            <a:spLocks/>
          </xdr:cNvSpPr>
        </xdr:nvSpPr>
        <xdr:spPr>
          <a:xfrm>
            <a:off x="512" y="2564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1" name="Line 272"/>
          <xdr:cNvSpPr>
            <a:spLocks/>
          </xdr:cNvSpPr>
        </xdr:nvSpPr>
        <xdr:spPr>
          <a:xfrm>
            <a:off x="96" y="25654"/>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2" name="Line 273"/>
          <xdr:cNvSpPr>
            <a:spLocks/>
          </xdr:cNvSpPr>
        </xdr:nvSpPr>
        <xdr:spPr>
          <a:xfrm>
            <a:off x="240" y="25654"/>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3" name="Line 274"/>
          <xdr:cNvSpPr>
            <a:spLocks/>
          </xdr:cNvSpPr>
        </xdr:nvSpPr>
        <xdr:spPr>
          <a:xfrm>
            <a:off x="96" y="25678"/>
            <a:ext cx="144"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74" name="Line 275"/>
          <xdr:cNvSpPr>
            <a:spLocks/>
          </xdr:cNvSpPr>
        </xdr:nvSpPr>
        <xdr:spPr>
          <a:xfrm>
            <a:off x="88" y="25613"/>
            <a:ext cx="51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5" name="Line 276"/>
          <xdr:cNvSpPr>
            <a:spLocks/>
          </xdr:cNvSpPr>
        </xdr:nvSpPr>
        <xdr:spPr>
          <a:xfrm>
            <a:off x="122" y="25590"/>
            <a:ext cx="138"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6" name="Line 277"/>
          <xdr:cNvSpPr>
            <a:spLocks/>
          </xdr:cNvSpPr>
        </xdr:nvSpPr>
        <xdr:spPr>
          <a:xfrm>
            <a:off x="244" y="25651"/>
            <a:ext cx="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7" name="Line 278"/>
          <xdr:cNvSpPr>
            <a:spLocks/>
          </xdr:cNvSpPr>
        </xdr:nvSpPr>
        <xdr:spPr>
          <a:xfrm>
            <a:off x="368" y="25574"/>
            <a:ext cx="0" cy="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8" name="Line 279"/>
          <xdr:cNvSpPr>
            <a:spLocks/>
          </xdr:cNvSpPr>
        </xdr:nvSpPr>
        <xdr:spPr>
          <a:xfrm>
            <a:off x="320" y="25622"/>
            <a:ext cx="28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9" name="Line 280"/>
          <xdr:cNvSpPr>
            <a:spLocks/>
          </xdr:cNvSpPr>
        </xdr:nvSpPr>
        <xdr:spPr>
          <a:xfrm>
            <a:off x="244" y="25573"/>
            <a:ext cx="4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0" name="Line 281"/>
          <xdr:cNvSpPr>
            <a:spLocks/>
          </xdr:cNvSpPr>
        </xdr:nvSpPr>
        <xdr:spPr>
          <a:xfrm>
            <a:off x="244" y="25582"/>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1" name="Line 282"/>
          <xdr:cNvSpPr>
            <a:spLocks/>
          </xdr:cNvSpPr>
        </xdr:nvSpPr>
        <xdr:spPr>
          <a:xfrm>
            <a:off x="273" y="25582"/>
            <a:ext cx="0" cy="6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82" name="Line 283"/>
          <xdr:cNvSpPr>
            <a:spLocks/>
          </xdr:cNvSpPr>
        </xdr:nvSpPr>
        <xdr:spPr>
          <a:xfrm>
            <a:off x="288" y="25573"/>
            <a:ext cx="0" cy="7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83" name="Line 284"/>
          <xdr:cNvSpPr>
            <a:spLocks/>
          </xdr:cNvSpPr>
        </xdr:nvSpPr>
        <xdr:spPr>
          <a:xfrm>
            <a:off x="256" y="25590"/>
            <a:ext cx="0" cy="6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84" name="Line 285"/>
          <xdr:cNvSpPr>
            <a:spLocks/>
          </xdr:cNvSpPr>
        </xdr:nvSpPr>
        <xdr:spPr>
          <a:xfrm flipH="1">
            <a:off x="349" y="25574"/>
            <a:ext cx="48" cy="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5" name="Line 286"/>
          <xdr:cNvSpPr>
            <a:spLocks/>
          </xdr:cNvSpPr>
        </xdr:nvSpPr>
        <xdr:spPr>
          <a:xfrm>
            <a:off x="368" y="25582"/>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6" name="Line 287"/>
          <xdr:cNvSpPr>
            <a:spLocks/>
          </xdr:cNvSpPr>
        </xdr:nvSpPr>
        <xdr:spPr>
          <a:xfrm>
            <a:off x="368" y="25590"/>
            <a:ext cx="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7" name="Line 288"/>
          <xdr:cNvSpPr>
            <a:spLocks/>
          </xdr:cNvSpPr>
        </xdr:nvSpPr>
        <xdr:spPr>
          <a:xfrm>
            <a:off x="368" y="25573"/>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8" name="Line 289"/>
          <xdr:cNvSpPr>
            <a:spLocks/>
          </xdr:cNvSpPr>
        </xdr:nvSpPr>
        <xdr:spPr>
          <a:xfrm>
            <a:off x="348" y="2565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9" name="Line 290"/>
          <xdr:cNvSpPr>
            <a:spLocks/>
          </xdr:cNvSpPr>
        </xdr:nvSpPr>
        <xdr:spPr>
          <a:xfrm flipV="1">
            <a:off x="512" y="25574"/>
            <a:ext cx="0" cy="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0" name="Line 291"/>
          <xdr:cNvSpPr>
            <a:spLocks/>
          </xdr:cNvSpPr>
        </xdr:nvSpPr>
        <xdr:spPr>
          <a:xfrm>
            <a:off x="548" y="25630"/>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1" name="Line 292"/>
          <xdr:cNvSpPr>
            <a:spLocks/>
          </xdr:cNvSpPr>
        </xdr:nvSpPr>
        <xdr:spPr>
          <a:xfrm>
            <a:off x="548" y="25652"/>
            <a:ext cx="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2" name="Line 293"/>
          <xdr:cNvSpPr>
            <a:spLocks/>
          </xdr:cNvSpPr>
        </xdr:nvSpPr>
        <xdr:spPr>
          <a:xfrm>
            <a:off x="512" y="25656"/>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3" name="Line 294"/>
          <xdr:cNvSpPr>
            <a:spLocks/>
          </xdr:cNvSpPr>
        </xdr:nvSpPr>
        <xdr:spPr>
          <a:xfrm>
            <a:off x="544" y="25656"/>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4" name="Line 295"/>
          <xdr:cNvSpPr>
            <a:spLocks/>
          </xdr:cNvSpPr>
        </xdr:nvSpPr>
        <xdr:spPr>
          <a:xfrm>
            <a:off x="512" y="25678"/>
            <a:ext cx="3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95" name="Line 296"/>
          <xdr:cNvSpPr>
            <a:spLocks/>
          </xdr:cNvSpPr>
        </xdr:nvSpPr>
        <xdr:spPr>
          <a:xfrm flipV="1">
            <a:off x="576" y="25630"/>
            <a:ext cx="0" cy="2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96" name="Line 297"/>
          <xdr:cNvSpPr>
            <a:spLocks/>
          </xdr:cNvSpPr>
        </xdr:nvSpPr>
        <xdr:spPr>
          <a:xfrm flipV="1">
            <a:off x="592" y="25621"/>
            <a:ext cx="0" cy="3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297" name="Line 298"/>
          <xdr:cNvSpPr>
            <a:spLocks/>
          </xdr:cNvSpPr>
        </xdr:nvSpPr>
        <xdr:spPr>
          <a:xfrm>
            <a:off x="489" y="25582"/>
            <a:ext cx="2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298" name="Line 299"/>
          <xdr:cNvSpPr>
            <a:spLocks/>
          </xdr:cNvSpPr>
        </xdr:nvSpPr>
        <xdr:spPr>
          <a:xfrm>
            <a:off x="488" y="25590"/>
            <a:ext cx="2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5</xdr:col>
      <xdr:colOff>76200</xdr:colOff>
      <xdr:row>995</xdr:row>
      <xdr:rowOff>38100</xdr:rowOff>
    </xdr:from>
    <xdr:to>
      <xdr:col>38</xdr:col>
      <xdr:colOff>38100</xdr:colOff>
      <xdr:row>1001</xdr:row>
      <xdr:rowOff>47625</xdr:rowOff>
    </xdr:to>
    <xdr:grpSp>
      <xdr:nvGrpSpPr>
        <xdr:cNvPr id="299" name="Group 300"/>
        <xdr:cNvGrpSpPr>
          <a:grpSpLocks/>
        </xdr:cNvGrpSpPr>
      </xdr:nvGrpSpPr>
      <xdr:grpSpPr>
        <a:xfrm>
          <a:off x="838200" y="237534450"/>
          <a:ext cx="4991100" cy="1495425"/>
          <a:chOff x="88" y="24044"/>
          <a:chExt cx="524" cy="157"/>
        </a:xfrm>
        <a:solidFill>
          <a:srgbClr val="FFFFFF"/>
        </a:solidFill>
      </xdr:grpSpPr>
      <xdr:sp>
        <xdr:nvSpPr>
          <xdr:cNvPr id="300" name="Rectangle 301"/>
          <xdr:cNvSpPr>
            <a:spLocks/>
          </xdr:cNvSpPr>
        </xdr:nvSpPr>
        <xdr:spPr>
          <a:xfrm>
            <a:off x="96" y="24091"/>
            <a:ext cx="144" cy="7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1" name="Line 302"/>
          <xdr:cNvSpPr>
            <a:spLocks/>
          </xdr:cNvSpPr>
        </xdr:nvSpPr>
        <xdr:spPr>
          <a:xfrm>
            <a:off x="239" y="24173"/>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2" name="Line 303"/>
          <xdr:cNvSpPr>
            <a:spLocks/>
          </xdr:cNvSpPr>
        </xdr:nvSpPr>
        <xdr:spPr>
          <a:xfrm>
            <a:off x="256" y="24149"/>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3" name="AutoShape 304"/>
          <xdr:cNvSpPr>
            <a:spLocks/>
          </xdr:cNvSpPr>
        </xdr:nvSpPr>
        <xdr:spPr>
          <a:xfrm>
            <a:off x="100"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4" name="AutoShape 305"/>
          <xdr:cNvSpPr>
            <a:spLocks/>
          </xdr:cNvSpPr>
        </xdr:nvSpPr>
        <xdr:spPr>
          <a:xfrm>
            <a:off x="116"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5" name="AutoShape 306"/>
          <xdr:cNvSpPr>
            <a:spLocks/>
          </xdr:cNvSpPr>
        </xdr:nvSpPr>
        <xdr:spPr>
          <a:xfrm>
            <a:off x="132"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6" name="AutoShape 307"/>
          <xdr:cNvSpPr>
            <a:spLocks/>
          </xdr:cNvSpPr>
        </xdr:nvSpPr>
        <xdr:spPr>
          <a:xfrm>
            <a:off x="148"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7" name="AutoShape 308"/>
          <xdr:cNvSpPr>
            <a:spLocks/>
          </xdr:cNvSpPr>
        </xdr:nvSpPr>
        <xdr:spPr>
          <a:xfrm>
            <a:off x="164"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8" name="AutoShape 309"/>
          <xdr:cNvSpPr>
            <a:spLocks/>
          </xdr:cNvSpPr>
        </xdr:nvSpPr>
        <xdr:spPr>
          <a:xfrm>
            <a:off x="180"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9" name="AutoShape 310"/>
          <xdr:cNvSpPr>
            <a:spLocks/>
          </xdr:cNvSpPr>
        </xdr:nvSpPr>
        <xdr:spPr>
          <a:xfrm>
            <a:off x="196"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0" name="AutoShape 311"/>
          <xdr:cNvSpPr>
            <a:spLocks/>
          </xdr:cNvSpPr>
        </xdr:nvSpPr>
        <xdr:spPr>
          <a:xfrm>
            <a:off x="212"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1" name="AutoShape 312"/>
          <xdr:cNvSpPr>
            <a:spLocks/>
          </xdr:cNvSpPr>
        </xdr:nvSpPr>
        <xdr:spPr>
          <a:xfrm>
            <a:off x="228" y="241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2" name="AutoShape 313"/>
          <xdr:cNvSpPr>
            <a:spLocks/>
          </xdr:cNvSpPr>
        </xdr:nvSpPr>
        <xdr:spPr>
          <a:xfrm>
            <a:off x="138" y="24149"/>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3" name="AutoShape 314"/>
          <xdr:cNvSpPr>
            <a:spLocks/>
          </xdr:cNvSpPr>
        </xdr:nvSpPr>
        <xdr:spPr>
          <a:xfrm>
            <a:off x="202" y="24149"/>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4" name="Line 315"/>
          <xdr:cNvSpPr>
            <a:spLocks/>
          </xdr:cNvSpPr>
        </xdr:nvSpPr>
        <xdr:spPr>
          <a:xfrm>
            <a:off x="112" y="24151"/>
            <a:ext cx="125" cy="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5" name="AutoShape 316"/>
          <xdr:cNvSpPr>
            <a:spLocks/>
          </xdr:cNvSpPr>
        </xdr:nvSpPr>
        <xdr:spPr>
          <a:xfrm>
            <a:off x="138" y="24149"/>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6" name="AutoShape 317"/>
          <xdr:cNvSpPr>
            <a:spLocks/>
          </xdr:cNvSpPr>
        </xdr:nvSpPr>
        <xdr:spPr>
          <a:xfrm>
            <a:off x="202" y="24149"/>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7" name="Line 318"/>
          <xdr:cNvSpPr>
            <a:spLocks/>
          </xdr:cNvSpPr>
        </xdr:nvSpPr>
        <xdr:spPr>
          <a:xfrm>
            <a:off x="112" y="24151"/>
            <a:ext cx="125" cy="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8" name="Rectangle 319"/>
          <xdr:cNvSpPr>
            <a:spLocks/>
          </xdr:cNvSpPr>
        </xdr:nvSpPr>
        <xdr:spPr>
          <a:xfrm>
            <a:off x="334" y="24071"/>
            <a:ext cx="37" cy="16"/>
          </a:xfrm>
          <a:prstGeom prst="rect">
            <a:avLst/>
          </a:prstGeom>
          <a:noFill/>
          <a:ln w="9525" cmpd="sng">
            <a:noFill/>
          </a:ln>
        </xdr:spPr>
        <xdr:txBody>
          <a:bodyPr vertOverflow="clip" wrap="square"/>
          <a:p>
            <a:pPr algn="l">
              <a:defRPr/>
            </a:pPr>
            <a:r>
              <a:rPr lang="en-US" cap="none" sz="900" b="0" i="0" u="none" baseline="0"/>
              <a:t>εcu</a:t>
            </a:r>
          </a:p>
        </xdr:txBody>
      </xdr:sp>
      <xdr:sp>
        <xdr:nvSpPr>
          <xdr:cNvPr id="319" name="Rectangle 320"/>
          <xdr:cNvSpPr>
            <a:spLocks/>
          </xdr:cNvSpPr>
        </xdr:nvSpPr>
        <xdr:spPr>
          <a:xfrm>
            <a:off x="512" y="24091"/>
            <a:ext cx="32" cy="2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0" name="Line 321"/>
          <xdr:cNvSpPr>
            <a:spLocks/>
          </xdr:cNvSpPr>
        </xdr:nvSpPr>
        <xdr:spPr>
          <a:xfrm>
            <a:off x="345" y="24091"/>
            <a:ext cx="59"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1" name="Line 322"/>
          <xdr:cNvSpPr>
            <a:spLocks/>
          </xdr:cNvSpPr>
        </xdr:nvSpPr>
        <xdr:spPr>
          <a:xfrm>
            <a:off x="345" y="24091"/>
            <a:ext cx="22"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22" name="Line 323"/>
          <xdr:cNvSpPr>
            <a:spLocks/>
          </xdr:cNvSpPr>
        </xdr:nvSpPr>
        <xdr:spPr>
          <a:xfrm>
            <a:off x="346" y="24091"/>
            <a:ext cx="21"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23" name="Line 324"/>
          <xdr:cNvSpPr>
            <a:spLocks/>
          </xdr:cNvSpPr>
        </xdr:nvSpPr>
        <xdr:spPr>
          <a:xfrm>
            <a:off x="367" y="24169"/>
            <a:ext cx="37"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24" name="Rectangle 325"/>
          <xdr:cNvSpPr>
            <a:spLocks/>
          </xdr:cNvSpPr>
        </xdr:nvSpPr>
        <xdr:spPr>
          <a:xfrm>
            <a:off x="460" y="24141"/>
            <a:ext cx="21" cy="16"/>
          </a:xfrm>
          <a:prstGeom prst="rect">
            <a:avLst/>
          </a:prstGeom>
          <a:noFill/>
          <a:ln w="9525" cmpd="sng">
            <a:noFill/>
          </a:ln>
        </xdr:spPr>
        <xdr:txBody>
          <a:bodyPr vertOverflow="clip" wrap="square"/>
          <a:p>
            <a:pPr algn="l">
              <a:defRPr/>
            </a:pPr>
            <a:r>
              <a:rPr lang="en-US" cap="none" sz="900" b="0" i="0" u="none" baseline="0"/>
              <a:t>Tp</a:t>
            </a:r>
          </a:p>
        </xdr:txBody>
      </xdr:sp>
      <xdr:sp>
        <xdr:nvSpPr>
          <xdr:cNvPr id="325" name="Rectangle 326"/>
          <xdr:cNvSpPr>
            <a:spLocks/>
          </xdr:cNvSpPr>
        </xdr:nvSpPr>
        <xdr:spPr>
          <a:xfrm>
            <a:off x="461" y="24155"/>
            <a:ext cx="21" cy="16"/>
          </a:xfrm>
          <a:prstGeom prst="rect">
            <a:avLst/>
          </a:prstGeom>
          <a:noFill/>
          <a:ln w="9525" cmpd="sng">
            <a:noFill/>
          </a:ln>
        </xdr:spPr>
        <xdr:txBody>
          <a:bodyPr vertOverflow="clip" wrap="square"/>
          <a:p>
            <a:pPr algn="l">
              <a:defRPr/>
            </a:pPr>
            <a:r>
              <a:rPr lang="en-US" cap="none" sz="900" b="0" i="0" u="none" baseline="0"/>
              <a:t>Ts</a:t>
            </a:r>
          </a:p>
        </xdr:txBody>
      </xdr:sp>
      <xdr:sp>
        <xdr:nvSpPr>
          <xdr:cNvPr id="326" name="Rectangle 327"/>
          <xdr:cNvSpPr>
            <a:spLocks/>
          </xdr:cNvSpPr>
        </xdr:nvSpPr>
        <xdr:spPr>
          <a:xfrm>
            <a:off x="502" y="24044"/>
            <a:ext cx="54" cy="16"/>
          </a:xfrm>
          <a:prstGeom prst="rect">
            <a:avLst/>
          </a:prstGeom>
          <a:noFill/>
          <a:ln w="9525" cmpd="sng">
            <a:noFill/>
          </a:ln>
        </xdr:spPr>
        <xdr:txBody>
          <a:bodyPr vertOverflow="clip" wrap="square"/>
          <a:p>
            <a:pPr algn="l">
              <a:defRPr/>
            </a:pPr>
            <a:r>
              <a:rPr lang="en-US" cap="none" sz="900" b="0" i="0" u="none" baseline="0"/>
              <a:t>0.85</a:t>
            </a:r>
            <a:r>
              <a:rPr lang="en-US" cap="none" sz="900" b="0" i="0" u="none" baseline="0">
                <a:latin typeface="돋움"/>
                <a:ea typeface="돋움"/>
                <a:cs typeface="돋움"/>
              </a:rPr>
              <a:t>σ</a:t>
            </a:r>
            <a:r>
              <a:rPr lang="en-US" cap="none" sz="900" b="0" i="0" u="none" baseline="0"/>
              <a:t>ck</a:t>
            </a:r>
          </a:p>
        </xdr:txBody>
      </xdr:sp>
      <xdr:sp>
        <xdr:nvSpPr>
          <xdr:cNvPr id="327" name="Rectangle 328"/>
          <xdr:cNvSpPr>
            <a:spLocks/>
          </xdr:cNvSpPr>
        </xdr:nvSpPr>
        <xdr:spPr>
          <a:xfrm>
            <a:off x="158" y="24180"/>
            <a:ext cx="30" cy="16"/>
          </a:xfrm>
          <a:prstGeom prst="rect">
            <a:avLst/>
          </a:prstGeom>
          <a:noFill/>
          <a:ln w="9525" cmpd="sng">
            <a:noFill/>
          </a:ln>
        </xdr:spPr>
        <xdr:txBody>
          <a:bodyPr vertOverflow="clip" wrap="square"/>
          <a:p>
            <a:pPr algn="l">
              <a:defRPr/>
            </a:pPr>
            <a:r>
              <a:rPr lang="en-US" cap="none" sz="900" b="0" i="0" u="none" baseline="0"/>
              <a:t>1000</a:t>
            </a:r>
          </a:p>
        </xdr:txBody>
      </xdr:sp>
      <xdr:sp>
        <xdr:nvSpPr>
          <xdr:cNvPr id="328" name="Rectangle 329"/>
          <xdr:cNvSpPr>
            <a:spLocks/>
          </xdr:cNvSpPr>
        </xdr:nvSpPr>
        <xdr:spPr>
          <a:xfrm>
            <a:off x="393" y="24141"/>
            <a:ext cx="57" cy="16"/>
          </a:xfrm>
          <a:prstGeom prst="rect">
            <a:avLst/>
          </a:prstGeom>
          <a:noFill/>
          <a:ln w="9525" cmpd="sng">
            <a:noFill/>
          </a:ln>
        </xdr:spPr>
        <xdr:txBody>
          <a:bodyPr vertOverflow="clip" wrap="square"/>
          <a:p>
            <a:pPr algn="l">
              <a:defRPr/>
            </a:pPr>
            <a:r>
              <a:rPr lang="en-US" cap="none" sz="900" b="0" i="0" u="none" baseline="0"/>
              <a:t>εp-εpe</a:t>
            </a:r>
          </a:p>
        </xdr:txBody>
      </xdr:sp>
      <xdr:sp>
        <xdr:nvSpPr>
          <xdr:cNvPr id="329" name="Rectangle 330"/>
          <xdr:cNvSpPr>
            <a:spLocks/>
          </xdr:cNvSpPr>
        </xdr:nvSpPr>
        <xdr:spPr>
          <a:xfrm>
            <a:off x="407" y="24153"/>
            <a:ext cx="26" cy="14"/>
          </a:xfrm>
          <a:prstGeom prst="rect">
            <a:avLst/>
          </a:prstGeom>
          <a:noFill/>
          <a:ln w="9525" cmpd="sng">
            <a:noFill/>
          </a:ln>
        </xdr:spPr>
        <xdr:txBody>
          <a:bodyPr vertOverflow="clip" wrap="square"/>
          <a:p>
            <a:pPr algn="l">
              <a:defRPr/>
            </a:pPr>
            <a:r>
              <a:rPr lang="en-US" cap="none" sz="900" b="0" i="0" u="none" baseline="0"/>
              <a:t>εs</a:t>
            </a:r>
          </a:p>
        </xdr:txBody>
      </xdr:sp>
      <xdr:sp>
        <xdr:nvSpPr>
          <xdr:cNvPr id="330" name="Line 331"/>
          <xdr:cNvSpPr>
            <a:spLocks/>
          </xdr:cNvSpPr>
        </xdr:nvSpPr>
        <xdr:spPr>
          <a:xfrm>
            <a:off x="96" y="24173"/>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1" name="Line 332"/>
          <xdr:cNvSpPr>
            <a:spLocks/>
          </xdr:cNvSpPr>
        </xdr:nvSpPr>
        <xdr:spPr>
          <a:xfrm>
            <a:off x="240" y="24173"/>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2" name="Line 333"/>
          <xdr:cNvSpPr>
            <a:spLocks/>
          </xdr:cNvSpPr>
        </xdr:nvSpPr>
        <xdr:spPr>
          <a:xfrm>
            <a:off x="96" y="24196"/>
            <a:ext cx="144"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33" name="Line 334"/>
          <xdr:cNvSpPr>
            <a:spLocks/>
          </xdr:cNvSpPr>
        </xdr:nvSpPr>
        <xdr:spPr>
          <a:xfrm>
            <a:off x="244" y="24169"/>
            <a:ext cx="4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4" name="Line 335"/>
          <xdr:cNvSpPr>
            <a:spLocks/>
          </xdr:cNvSpPr>
        </xdr:nvSpPr>
        <xdr:spPr>
          <a:xfrm>
            <a:off x="244" y="24091"/>
            <a:ext cx="4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5" name="Line 336"/>
          <xdr:cNvSpPr>
            <a:spLocks/>
          </xdr:cNvSpPr>
        </xdr:nvSpPr>
        <xdr:spPr>
          <a:xfrm>
            <a:off x="244" y="24161"/>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6" name="Line 337"/>
          <xdr:cNvSpPr>
            <a:spLocks/>
          </xdr:cNvSpPr>
        </xdr:nvSpPr>
        <xdr:spPr>
          <a:xfrm>
            <a:off x="244" y="2415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7" name="Line 338"/>
          <xdr:cNvSpPr>
            <a:spLocks/>
          </xdr:cNvSpPr>
        </xdr:nvSpPr>
        <xdr:spPr>
          <a:xfrm>
            <a:off x="88" y="24131"/>
            <a:ext cx="524"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8" name="Line 339"/>
          <xdr:cNvSpPr>
            <a:spLocks/>
          </xdr:cNvSpPr>
        </xdr:nvSpPr>
        <xdr:spPr>
          <a:xfrm>
            <a:off x="337" y="24121"/>
            <a:ext cx="259"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9" name="Line 340"/>
          <xdr:cNvSpPr>
            <a:spLocks/>
          </xdr:cNvSpPr>
        </xdr:nvSpPr>
        <xdr:spPr>
          <a:xfrm>
            <a:off x="368" y="24092"/>
            <a:ext cx="0"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0" name="Line 341"/>
          <xdr:cNvSpPr>
            <a:spLocks/>
          </xdr:cNvSpPr>
        </xdr:nvSpPr>
        <xdr:spPr>
          <a:xfrm>
            <a:off x="265" y="24152"/>
            <a:ext cx="74" cy="0"/>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41" name="Line 342"/>
          <xdr:cNvSpPr>
            <a:spLocks/>
          </xdr:cNvSpPr>
        </xdr:nvSpPr>
        <xdr:spPr>
          <a:xfrm>
            <a:off x="512" y="24091"/>
            <a:ext cx="0" cy="7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2" name="Line 343"/>
          <xdr:cNvSpPr>
            <a:spLocks/>
          </xdr:cNvSpPr>
        </xdr:nvSpPr>
        <xdr:spPr>
          <a:xfrm>
            <a:off x="345" y="24091"/>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3" name="Line 344"/>
          <xdr:cNvSpPr>
            <a:spLocks/>
          </xdr:cNvSpPr>
        </xdr:nvSpPr>
        <xdr:spPr>
          <a:xfrm>
            <a:off x="368" y="24171"/>
            <a:ext cx="3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4" name="Line 345"/>
          <xdr:cNvSpPr>
            <a:spLocks/>
          </xdr:cNvSpPr>
        </xdr:nvSpPr>
        <xdr:spPr>
          <a:xfrm>
            <a:off x="368" y="24152"/>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5" name="Line 346"/>
          <xdr:cNvSpPr>
            <a:spLocks/>
          </xdr:cNvSpPr>
        </xdr:nvSpPr>
        <xdr:spPr>
          <a:xfrm>
            <a:off x="368" y="24161"/>
            <a:ext cx="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6" name="Line 347"/>
          <xdr:cNvSpPr>
            <a:spLocks/>
          </xdr:cNvSpPr>
        </xdr:nvSpPr>
        <xdr:spPr>
          <a:xfrm>
            <a:off x="288" y="24091"/>
            <a:ext cx="0" cy="7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47" name="Line 348"/>
          <xdr:cNvSpPr>
            <a:spLocks/>
          </xdr:cNvSpPr>
        </xdr:nvSpPr>
        <xdr:spPr>
          <a:xfrm>
            <a:off x="272" y="24091"/>
            <a:ext cx="0" cy="7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48" name="Line 349"/>
          <xdr:cNvSpPr>
            <a:spLocks/>
          </xdr:cNvSpPr>
        </xdr:nvSpPr>
        <xdr:spPr>
          <a:xfrm>
            <a:off x="256" y="24091"/>
            <a:ext cx="0" cy="6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49" name="Line 350"/>
          <xdr:cNvSpPr>
            <a:spLocks/>
          </xdr:cNvSpPr>
        </xdr:nvSpPr>
        <xdr:spPr>
          <a:xfrm>
            <a:off x="512" y="24102"/>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0" name="Line 351"/>
          <xdr:cNvSpPr>
            <a:spLocks/>
          </xdr:cNvSpPr>
        </xdr:nvSpPr>
        <xdr:spPr>
          <a:xfrm>
            <a:off x="512" y="24097"/>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1" name="Line 352"/>
          <xdr:cNvSpPr>
            <a:spLocks/>
          </xdr:cNvSpPr>
        </xdr:nvSpPr>
        <xdr:spPr>
          <a:xfrm>
            <a:off x="512" y="2410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2" name="Line 353"/>
          <xdr:cNvSpPr>
            <a:spLocks/>
          </xdr:cNvSpPr>
        </xdr:nvSpPr>
        <xdr:spPr>
          <a:xfrm>
            <a:off x="487" y="24152"/>
            <a:ext cx="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53" name="Line 354"/>
          <xdr:cNvSpPr>
            <a:spLocks/>
          </xdr:cNvSpPr>
        </xdr:nvSpPr>
        <xdr:spPr>
          <a:xfrm>
            <a:off x="487" y="24161"/>
            <a:ext cx="2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54" name="Line 355"/>
          <xdr:cNvSpPr>
            <a:spLocks/>
          </xdr:cNvSpPr>
        </xdr:nvSpPr>
        <xdr:spPr>
          <a:xfrm>
            <a:off x="548" y="24091"/>
            <a:ext cx="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5" name="Line 356"/>
          <xdr:cNvSpPr>
            <a:spLocks/>
          </xdr:cNvSpPr>
        </xdr:nvSpPr>
        <xdr:spPr>
          <a:xfrm>
            <a:off x="548" y="24113"/>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6" name="Line 357"/>
          <xdr:cNvSpPr>
            <a:spLocks/>
          </xdr:cNvSpPr>
        </xdr:nvSpPr>
        <xdr:spPr>
          <a:xfrm>
            <a:off x="592" y="24091"/>
            <a:ext cx="0" cy="3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57" name="Line 358"/>
          <xdr:cNvSpPr>
            <a:spLocks/>
          </xdr:cNvSpPr>
        </xdr:nvSpPr>
        <xdr:spPr>
          <a:xfrm>
            <a:off x="576" y="24091"/>
            <a:ext cx="0" cy="2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58" name="Line 359"/>
          <xdr:cNvSpPr>
            <a:spLocks/>
          </xdr:cNvSpPr>
        </xdr:nvSpPr>
        <xdr:spPr>
          <a:xfrm flipV="1">
            <a:off x="512" y="24061"/>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9" name="Line 360"/>
          <xdr:cNvSpPr>
            <a:spLocks/>
          </xdr:cNvSpPr>
        </xdr:nvSpPr>
        <xdr:spPr>
          <a:xfrm flipV="1">
            <a:off x="544" y="24062"/>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0" name="Line 361"/>
          <xdr:cNvSpPr>
            <a:spLocks/>
          </xdr:cNvSpPr>
        </xdr:nvSpPr>
        <xdr:spPr>
          <a:xfrm>
            <a:off x="512" y="24066"/>
            <a:ext cx="3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32</xdr:col>
      <xdr:colOff>133350</xdr:colOff>
      <xdr:row>844</xdr:row>
      <xdr:rowOff>47625</xdr:rowOff>
    </xdr:from>
    <xdr:to>
      <xdr:col>37</xdr:col>
      <xdr:colOff>0</xdr:colOff>
      <xdr:row>845</xdr:row>
      <xdr:rowOff>142875</xdr:rowOff>
    </xdr:to>
    <xdr:sp>
      <xdr:nvSpPr>
        <xdr:cNvPr id="361" name="AutoShape 362"/>
        <xdr:cNvSpPr>
          <a:spLocks/>
        </xdr:cNvSpPr>
      </xdr:nvSpPr>
      <xdr:spPr>
        <a:xfrm>
          <a:off x="5010150" y="20014882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圧縮</a:t>
          </a:r>
          <a:r>
            <a:rPr lang="en-US" cap="none" sz="900" b="0" i="0" u="none" baseline="0">
              <a:latin typeface="돋움"/>
              <a:ea typeface="돋움"/>
              <a:cs typeface="돋움"/>
            </a:rPr>
            <a:t>  (-) 
 引張  (+)</a:t>
          </a:r>
        </a:p>
      </xdr:txBody>
    </xdr:sp>
    <xdr:clientData/>
  </xdr:twoCellAnchor>
  <xdr:twoCellAnchor>
    <xdr:from>
      <xdr:col>32</xdr:col>
      <xdr:colOff>133350</xdr:colOff>
      <xdr:row>854</xdr:row>
      <xdr:rowOff>47625</xdr:rowOff>
    </xdr:from>
    <xdr:to>
      <xdr:col>37</xdr:col>
      <xdr:colOff>0</xdr:colOff>
      <xdr:row>855</xdr:row>
      <xdr:rowOff>142875</xdr:rowOff>
    </xdr:to>
    <xdr:sp>
      <xdr:nvSpPr>
        <xdr:cNvPr id="362" name="AutoShape 363"/>
        <xdr:cNvSpPr>
          <a:spLocks/>
        </xdr:cNvSpPr>
      </xdr:nvSpPr>
      <xdr:spPr>
        <a:xfrm>
          <a:off x="5010150" y="202625325"/>
          <a:ext cx="628650" cy="342900"/>
        </a:xfrm>
        <a:prstGeom prst="foldedCorner">
          <a:avLst/>
        </a:prstGeom>
        <a:noFill/>
        <a:ln w="9525" cmpd="sng">
          <a:solidFill>
            <a:srgbClr val="000000"/>
          </a:solidFill>
          <a:headEnd type="none"/>
          <a:tailEnd type="none"/>
        </a:ln>
      </xdr:spPr>
      <xdr:txBody>
        <a:bodyPr vertOverflow="clip" wrap="square"/>
        <a:p>
          <a:pPr algn="l">
            <a:defRPr/>
          </a:pPr>
          <a:r>
            <a:rPr lang="en-US" cap="none" sz="900" b="0" i="0" u="none" baseline="0">
              <a:latin typeface="돋움"/>
              <a:ea typeface="돋움"/>
              <a:cs typeface="돋움"/>
            </a:rPr>
            <a:t> </a:t>
          </a:r>
          <a:r>
            <a:rPr lang="en-US" cap="none" sz="900" b="0" i="0" u="none" baseline="0"/>
            <a:t>圧縮</a:t>
          </a:r>
          <a:r>
            <a:rPr lang="en-US" cap="none" sz="900" b="0" i="0" u="none" baseline="0">
              <a:latin typeface="돋움"/>
              <a:ea typeface="돋움"/>
              <a:cs typeface="돋움"/>
            </a:rPr>
            <a:t>  (-) 
 引張  (+)</a:t>
          </a:r>
        </a:p>
      </xdr:txBody>
    </xdr:sp>
    <xdr:clientData/>
  </xdr:twoCellAnchor>
  <xdr:twoCellAnchor>
    <xdr:from>
      <xdr:col>13</xdr:col>
      <xdr:colOff>95250</xdr:colOff>
      <xdr:row>828</xdr:row>
      <xdr:rowOff>28575</xdr:rowOff>
    </xdr:from>
    <xdr:to>
      <xdr:col>37</xdr:col>
      <xdr:colOff>47625</xdr:colOff>
      <xdr:row>832</xdr:row>
      <xdr:rowOff>200025</xdr:rowOff>
    </xdr:to>
    <xdr:grpSp>
      <xdr:nvGrpSpPr>
        <xdr:cNvPr id="363" name="Group 364"/>
        <xdr:cNvGrpSpPr>
          <a:grpSpLocks/>
        </xdr:cNvGrpSpPr>
      </xdr:nvGrpSpPr>
      <xdr:grpSpPr>
        <a:xfrm>
          <a:off x="2076450" y="196167375"/>
          <a:ext cx="3609975" cy="1162050"/>
          <a:chOff x="218" y="21466"/>
          <a:chExt cx="379" cy="123"/>
        </a:xfrm>
        <a:solidFill>
          <a:srgbClr val="FFFFFF"/>
        </a:solidFill>
      </xdr:grpSpPr>
      <xdr:sp>
        <xdr:nvSpPr>
          <xdr:cNvPr id="364" name="Rectangle 365"/>
          <xdr:cNvSpPr>
            <a:spLocks/>
          </xdr:cNvSpPr>
        </xdr:nvSpPr>
        <xdr:spPr>
          <a:xfrm>
            <a:off x="482" y="21573"/>
            <a:ext cx="37" cy="16"/>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σ</a:t>
            </a:r>
            <a:r>
              <a:rPr lang="en-US" cap="none" sz="900" b="0" i="0" u="none" baseline="0"/>
              <a:t>ct'</a:t>
            </a:r>
          </a:p>
        </xdr:txBody>
      </xdr:sp>
      <xdr:sp>
        <xdr:nvSpPr>
          <xdr:cNvPr id="365" name="Line 366"/>
          <xdr:cNvSpPr>
            <a:spLocks/>
          </xdr:cNvSpPr>
        </xdr:nvSpPr>
        <xdr:spPr>
          <a:xfrm>
            <a:off x="409" y="21579"/>
            <a:ext cx="74" cy="0"/>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66" name="Rectangle 367"/>
          <xdr:cNvSpPr>
            <a:spLocks/>
          </xdr:cNvSpPr>
        </xdr:nvSpPr>
        <xdr:spPr>
          <a:xfrm>
            <a:off x="510" y="21473"/>
            <a:ext cx="33" cy="15"/>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σ</a:t>
            </a:r>
            <a:r>
              <a:rPr lang="en-US" cap="none" sz="900" b="0" i="0" u="none" baseline="0"/>
              <a:t>ct</a:t>
            </a:r>
          </a:p>
        </xdr:txBody>
      </xdr:sp>
      <xdr:sp>
        <xdr:nvSpPr>
          <xdr:cNvPr id="367" name="Rectangle 368"/>
          <xdr:cNvSpPr>
            <a:spLocks/>
          </xdr:cNvSpPr>
        </xdr:nvSpPr>
        <xdr:spPr>
          <a:xfrm>
            <a:off x="240" y="21491"/>
            <a:ext cx="144" cy="7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8" name="Line 369"/>
          <xdr:cNvSpPr>
            <a:spLocks/>
          </xdr:cNvSpPr>
        </xdr:nvSpPr>
        <xdr:spPr>
          <a:xfrm>
            <a:off x="383" y="21513"/>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9" name="Line 370"/>
          <xdr:cNvSpPr>
            <a:spLocks/>
          </xdr:cNvSpPr>
        </xdr:nvSpPr>
        <xdr:spPr>
          <a:xfrm>
            <a:off x="400" y="21549"/>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0" name="AutoShape 371"/>
          <xdr:cNvSpPr>
            <a:spLocks/>
          </xdr:cNvSpPr>
        </xdr:nvSpPr>
        <xdr:spPr>
          <a:xfrm>
            <a:off x="244"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1" name="AutoShape 372"/>
          <xdr:cNvSpPr>
            <a:spLocks/>
          </xdr:cNvSpPr>
        </xdr:nvSpPr>
        <xdr:spPr>
          <a:xfrm>
            <a:off x="260"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2" name="AutoShape 373"/>
          <xdr:cNvSpPr>
            <a:spLocks/>
          </xdr:cNvSpPr>
        </xdr:nvSpPr>
        <xdr:spPr>
          <a:xfrm>
            <a:off x="276"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3" name="AutoShape 374"/>
          <xdr:cNvSpPr>
            <a:spLocks/>
          </xdr:cNvSpPr>
        </xdr:nvSpPr>
        <xdr:spPr>
          <a:xfrm>
            <a:off x="292"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4" name="AutoShape 375"/>
          <xdr:cNvSpPr>
            <a:spLocks/>
          </xdr:cNvSpPr>
        </xdr:nvSpPr>
        <xdr:spPr>
          <a:xfrm>
            <a:off x="308"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5" name="AutoShape 376"/>
          <xdr:cNvSpPr>
            <a:spLocks/>
          </xdr:cNvSpPr>
        </xdr:nvSpPr>
        <xdr:spPr>
          <a:xfrm>
            <a:off x="324"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6" name="AutoShape 377"/>
          <xdr:cNvSpPr>
            <a:spLocks/>
          </xdr:cNvSpPr>
        </xdr:nvSpPr>
        <xdr:spPr>
          <a:xfrm>
            <a:off x="340"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7" name="AutoShape 378"/>
          <xdr:cNvSpPr>
            <a:spLocks/>
          </xdr:cNvSpPr>
        </xdr:nvSpPr>
        <xdr:spPr>
          <a:xfrm>
            <a:off x="356"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8" name="AutoShape 379"/>
          <xdr:cNvSpPr>
            <a:spLocks/>
          </xdr:cNvSpPr>
        </xdr:nvSpPr>
        <xdr:spPr>
          <a:xfrm>
            <a:off x="372" y="2155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9" name="AutoShape 380"/>
          <xdr:cNvSpPr>
            <a:spLocks/>
          </xdr:cNvSpPr>
        </xdr:nvSpPr>
        <xdr:spPr>
          <a:xfrm>
            <a:off x="282" y="21505"/>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0" name="AutoShape 381"/>
          <xdr:cNvSpPr>
            <a:spLocks/>
          </xdr:cNvSpPr>
        </xdr:nvSpPr>
        <xdr:spPr>
          <a:xfrm>
            <a:off x="346" y="21505"/>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1" name="AutoShape 382"/>
          <xdr:cNvSpPr>
            <a:spLocks/>
          </xdr:cNvSpPr>
        </xdr:nvSpPr>
        <xdr:spPr>
          <a:xfrm>
            <a:off x="282" y="21505"/>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2" name="AutoShape 383"/>
          <xdr:cNvSpPr>
            <a:spLocks/>
          </xdr:cNvSpPr>
        </xdr:nvSpPr>
        <xdr:spPr>
          <a:xfrm>
            <a:off x="346" y="21505"/>
            <a:ext cx="6" cy="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3" name="Line 384"/>
          <xdr:cNvSpPr>
            <a:spLocks/>
          </xdr:cNvSpPr>
        </xdr:nvSpPr>
        <xdr:spPr>
          <a:xfrm>
            <a:off x="489" y="21491"/>
            <a:ext cx="22"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84" name="Line 385"/>
          <xdr:cNvSpPr>
            <a:spLocks/>
          </xdr:cNvSpPr>
        </xdr:nvSpPr>
        <xdr:spPr>
          <a:xfrm>
            <a:off x="490" y="21491"/>
            <a:ext cx="21"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85" name="Line 386"/>
          <xdr:cNvSpPr>
            <a:spLocks/>
          </xdr:cNvSpPr>
        </xdr:nvSpPr>
        <xdr:spPr>
          <a:xfrm>
            <a:off x="511" y="21569"/>
            <a:ext cx="37" cy="1"/>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386" name="Line 387"/>
          <xdr:cNvSpPr>
            <a:spLocks/>
          </xdr:cNvSpPr>
        </xdr:nvSpPr>
        <xdr:spPr>
          <a:xfrm>
            <a:off x="388" y="21569"/>
            <a:ext cx="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7" name="Line 388"/>
          <xdr:cNvSpPr>
            <a:spLocks/>
          </xdr:cNvSpPr>
        </xdr:nvSpPr>
        <xdr:spPr>
          <a:xfrm>
            <a:off x="512" y="21492"/>
            <a:ext cx="0" cy="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8" name="Line 389"/>
          <xdr:cNvSpPr>
            <a:spLocks/>
          </xdr:cNvSpPr>
        </xdr:nvSpPr>
        <xdr:spPr>
          <a:xfrm>
            <a:off x="388" y="21491"/>
            <a:ext cx="4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9" name="Line 390"/>
          <xdr:cNvSpPr>
            <a:spLocks/>
          </xdr:cNvSpPr>
        </xdr:nvSpPr>
        <xdr:spPr>
          <a:xfrm>
            <a:off x="388" y="21500"/>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0" name="Line 391"/>
          <xdr:cNvSpPr>
            <a:spLocks/>
          </xdr:cNvSpPr>
        </xdr:nvSpPr>
        <xdr:spPr>
          <a:xfrm>
            <a:off x="417" y="21500"/>
            <a:ext cx="0" cy="6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91" name="Line 392"/>
          <xdr:cNvSpPr>
            <a:spLocks/>
          </xdr:cNvSpPr>
        </xdr:nvSpPr>
        <xdr:spPr>
          <a:xfrm>
            <a:off x="432" y="21491"/>
            <a:ext cx="0" cy="7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92" name="Line 393"/>
          <xdr:cNvSpPr>
            <a:spLocks/>
          </xdr:cNvSpPr>
        </xdr:nvSpPr>
        <xdr:spPr>
          <a:xfrm flipH="1">
            <a:off x="493" y="21492"/>
            <a:ext cx="48" cy="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3" name="Line 394"/>
          <xdr:cNvSpPr>
            <a:spLocks/>
          </xdr:cNvSpPr>
        </xdr:nvSpPr>
        <xdr:spPr>
          <a:xfrm>
            <a:off x="512" y="21500"/>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4" name="Line 395"/>
          <xdr:cNvSpPr>
            <a:spLocks/>
          </xdr:cNvSpPr>
        </xdr:nvSpPr>
        <xdr:spPr>
          <a:xfrm>
            <a:off x="512" y="21491"/>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5" name="Line 396"/>
          <xdr:cNvSpPr>
            <a:spLocks/>
          </xdr:cNvSpPr>
        </xdr:nvSpPr>
        <xdr:spPr>
          <a:xfrm>
            <a:off x="492" y="21570"/>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6" name="Line 397"/>
          <xdr:cNvSpPr>
            <a:spLocks/>
          </xdr:cNvSpPr>
        </xdr:nvSpPr>
        <xdr:spPr>
          <a:xfrm>
            <a:off x="218" y="21530"/>
            <a:ext cx="26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7" name="Line 398"/>
          <xdr:cNvSpPr>
            <a:spLocks/>
          </xdr:cNvSpPr>
        </xdr:nvSpPr>
        <xdr:spPr>
          <a:xfrm>
            <a:off x="592" y="21492"/>
            <a:ext cx="0" cy="7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98" name="Line 399"/>
          <xdr:cNvSpPr>
            <a:spLocks/>
          </xdr:cNvSpPr>
        </xdr:nvSpPr>
        <xdr:spPr>
          <a:xfrm>
            <a:off x="576" y="21493"/>
            <a:ext cx="0" cy="4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돋움"/>
                <a:ea typeface="돋움"/>
                <a:cs typeface="돋움"/>
              </a:rPr>
              <a:t/>
            </a:r>
          </a:p>
        </xdr:txBody>
      </xdr:sp>
      <xdr:sp>
        <xdr:nvSpPr>
          <xdr:cNvPr id="399" name="Line 400"/>
          <xdr:cNvSpPr>
            <a:spLocks/>
          </xdr:cNvSpPr>
        </xdr:nvSpPr>
        <xdr:spPr>
          <a:xfrm>
            <a:off x="479" y="21538"/>
            <a:ext cx="106"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0" name="Line 401"/>
          <xdr:cNvSpPr>
            <a:spLocks/>
          </xdr:cNvSpPr>
        </xdr:nvSpPr>
        <xdr:spPr>
          <a:xfrm>
            <a:off x="547" y="21491"/>
            <a:ext cx="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1" name="Line 402"/>
          <xdr:cNvSpPr>
            <a:spLocks/>
          </xdr:cNvSpPr>
        </xdr:nvSpPr>
        <xdr:spPr>
          <a:xfrm>
            <a:off x="516" y="21570"/>
            <a:ext cx="8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2" name="Line 403"/>
          <xdr:cNvSpPr>
            <a:spLocks/>
          </xdr:cNvSpPr>
        </xdr:nvSpPr>
        <xdr:spPr>
          <a:xfrm>
            <a:off x="541" y="21500"/>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3" name="Line 404"/>
          <xdr:cNvSpPr>
            <a:spLocks/>
          </xdr:cNvSpPr>
        </xdr:nvSpPr>
        <xdr:spPr>
          <a:xfrm flipV="1">
            <a:off x="560" y="21467"/>
            <a:ext cx="0" cy="33"/>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404" name="Line 405"/>
          <xdr:cNvSpPr>
            <a:spLocks/>
          </xdr:cNvSpPr>
        </xdr:nvSpPr>
        <xdr:spPr>
          <a:xfrm flipV="1">
            <a:off x="560" y="21466"/>
            <a:ext cx="0" cy="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405" name="Line 406"/>
          <xdr:cNvSpPr>
            <a:spLocks/>
          </xdr:cNvSpPr>
        </xdr:nvSpPr>
        <xdr:spPr>
          <a:xfrm>
            <a:off x="560" y="2149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6" name="AutoShape 407"/>
          <xdr:cNvSpPr>
            <a:spLocks/>
          </xdr:cNvSpPr>
        </xdr:nvSpPr>
        <xdr:spPr>
          <a:xfrm>
            <a:off x="244"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7" name="AutoShape 408"/>
          <xdr:cNvSpPr>
            <a:spLocks/>
          </xdr:cNvSpPr>
        </xdr:nvSpPr>
        <xdr:spPr>
          <a:xfrm>
            <a:off x="260"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8" name="AutoShape 409"/>
          <xdr:cNvSpPr>
            <a:spLocks/>
          </xdr:cNvSpPr>
        </xdr:nvSpPr>
        <xdr:spPr>
          <a:xfrm>
            <a:off x="276"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9" name="AutoShape 410"/>
          <xdr:cNvSpPr>
            <a:spLocks/>
          </xdr:cNvSpPr>
        </xdr:nvSpPr>
        <xdr:spPr>
          <a:xfrm>
            <a:off x="292"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0" name="AutoShape 411"/>
          <xdr:cNvSpPr>
            <a:spLocks/>
          </xdr:cNvSpPr>
        </xdr:nvSpPr>
        <xdr:spPr>
          <a:xfrm>
            <a:off x="308"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1" name="AutoShape 412"/>
          <xdr:cNvSpPr>
            <a:spLocks/>
          </xdr:cNvSpPr>
        </xdr:nvSpPr>
        <xdr:spPr>
          <a:xfrm>
            <a:off x="324"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2" name="AutoShape 413"/>
          <xdr:cNvSpPr>
            <a:spLocks/>
          </xdr:cNvSpPr>
        </xdr:nvSpPr>
        <xdr:spPr>
          <a:xfrm>
            <a:off x="340"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3" name="AutoShape 414"/>
          <xdr:cNvSpPr>
            <a:spLocks/>
          </xdr:cNvSpPr>
        </xdr:nvSpPr>
        <xdr:spPr>
          <a:xfrm>
            <a:off x="356"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4" name="AutoShape 415"/>
          <xdr:cNvSpPr>
            <a:spLocks/>
          </xdr:cNvSpPr>
        </xdr:nvSpPr>
        <xdr:spPr>
          <a:xfrm>
            <a:off x="372" y="21499"/>
            <a:ext cx="4" cy="3"/>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5" name="Line 416"/>
          <xdr:cNvSpPr>
            <a:spLocks/>
          </xdr:cNvSpPr>
        </xdr:nvSpPr>
        <xdr:spPr>
          <a:xfrm flipV="1">
            <a:off x="417" y="21467"/>
            <a:ext cx="0" cy="33"/>
          </a:xfrm>
          <a:prstGeom prst="line">
            <a:avLst/>
          </a:prstGeom>
          <a:noFill/>
          <a:ln w="9525" cmpd="sng">
            <a:noFill/>
          </a:ln>
        </xdr:spPr>
        <xdr:txBody>
          <a:bodyPr vertOverflow="clip" wrap="square"/>
          <a:p>
            <a:pPr algn="l">
              <a:defRPr/>
            </a:pPr>
            <a:r>
              <a:rPr lang="en-US" cap="none" u="none" baseline="0">
                <a:latin typeface="돋움"/>
                <a:ea typeface="돋움"/>
                <a:cs typeface="돋움"/>
              </a:rPr>
              <a:t/>
            </a:r>
          </a:p>
        </xdr:txBody>
      </xdr:sp>
      <xdr:sp>
        <xdr:nvSpPr>
          <xdr:cNvPr id="416" name="Line 417"/>
          <xdr:cNvSpPr>
            <a:spLocks/>
          </xdr:cNvSpPr>
        </xdr:nvSpPr>
        <xdr:spPr>
          <a:xfrm flipV="1">
            <a:off x="417" y="21466"/>
            <a:ext cx="0" cy="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sp>
        <xdr:nvSpPr>
          <xdr:cNvPr id="417" name="Line 418"/>
          <xdr:cNvSpPr>
            <a:spLocks/>
          </xdr:cNvSpPr>
        </xdr:nvSpPr>
        <xdr:spPr>
          <a:xfrm>
            <a:off x="417" y="2149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8" name="Rectangle 419"/>
          <xdr:cNvSpPr>
            <a:spLocks/>
          </xdr:cNvSpPr>
        </xdr:nvSpPr>
        <xdr:spPr>
          <a:xfrm>
            <a:off x="470" y="21492"/>
            <a:ext cx="46" cy="15"/>
          </a:xfrm>
          <a:prstGeom prst="rect">
            <a:avLst/>
          </a:prstGeom>
          <a:noFill/>
          <a:ln w="9525" cmpd="sng">
            <a:noFill/>
          </a:ln>
        </xdr:spPr>
        <xdr:txBody>
          <a:bodyPr vertOverflow="clip" wrap="square"/>
          <a:p>
            <a:pPr algn="l">
              <a:defRPr/>
            </a:pPr>
            <a:r>
              <a:rPr lang="en-US" cap="none" sz="900" b="0" i="0" u="none" baseline="0">
                <a:latin typeface="돋움"/>
                <a:ea typeface="돋움"/>
                <a:cs typeface="돋움"/>
              </a:rPr>
              <a:t>σ</a:t>
            </a:r>
            <a:r>
              <a:rPr lang="en-US" cap="none" sz="900" b="0" i="0" u="none" baseline="0"/>
              <a:t>se/N</a:t>
            </a:r>
          </a:p>
        </xdr:txBody>
      </xdr:sp>
      <xdr:sp>
        <xdr:nvSpPr>
          <xdr:cNvPr id="419" name="Line 420"/>
          <xdr:cNvSpPr>
            <a:spLocks/>
          </xdr:cNvSpPr>
        </xdr:nvSpPr>
        <xdr:spPr>
          <a:xfrm>
            <a:off x="560" y="21500"/>
            <a:ext cx="0" cy="1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editAs="oneCell">
    <xdr:from>
      <xdr:col>5</xdr:col>
      <xdr:colOff>0</xdr:colOff>
      <xdr:row>2</xdr:row>
      <xdr:rowOff>0</xdr:rowOff>
    </xdr:from>
    <xdr:to>
      <xdr:col>40</xdr:col>
      <xdr:colOff>0</xdr:colOff>
      <xdr:row>14</xdr:row>
      <xdr:rowOff>57150</xdr:rowOff>
    </xdr:to>
    <xdr:pic>
      <xdr:nvPicPr>
        <xdr:cNvPr id="420" name="Picture 421"/>
        <xdr:cNvPicPr preferRelativeResize="1">
          <a:picLocks noChangeAspect="1"/>
        </xdr:cNvPicPr>
      </xdr:nvPicPr>
      <xdr:blipFill>
        <a:blip r:link="rId1"/>
        <a:stretch>
          <a:fillRect/>
        </a:stretch>
      </xdr:blipFill>
      <xdr:spPr>
        <a:xfrm>
          <a:off x="762000" y="495300"/>
          <a:ext cx="5334000" cy="3028950"/>
        </a:xfrm>
        <a:prstGeom prst="rect">
          <a:avLst/>
        </a:prstGeom>
        <a:noFill/>
        <a:ln w="9525" cmpd="sng">
          <a:noFill/>
        </a:ln>
      </xdr:spPr>
    </xdr:pic>
    <xdr:clientData/>
  </xdr:twoCellAnchor>
  <xdr:twoCellAnchor editAs="oneCell">
    <xdr:from>
      <xdr:col>3</xdr:col>
      <xdr:colOff>0</xdr:colOff>
      <xdr:row>25</xdr:row>
      <xdr:rowOff>0</xdr:rowOff>
    </xdr:from>
    <xdr:to>
      <xdr:col>40</xdr:col>
      <xdr:colOff>142875</xdr:colOff>
      <xdr:row>30</xdr:row>
      <xdr:rowOff>152400</xdr:rowOff>
    </xdr:to>
    <xdr:pic>
      <xdr:nvPicPr>
        <xdr:cNvPr id="421" name="Picture 422"/>
        <xdr:cNvPicPr preferRelativeResize="1">
          <a:picLocks noChangeAspect="1"/>
        </xdr:cNvPicPr>
      </xdr:nvPicPr>
      <xdr:blipFill>
        <a:blip r:link="rId2"/>
        <a:stretch>
          <a:fillRect/>
        </a:stretch>
      </xdr:blipFill>
      <xdr:spPr>
        <a:xfrm>
          <a:off x="457200" y="6191250"/>
          <a:ext cx="5781675" cy="1390650"/>
        </a:xfrm>
        <a:prstGeom prst="rect">
          <a:avLst/>
        </a:prstGeom>
        <a:noFill/>
        <a:ln w="9525" cmpd="sng">
          <a:noFill/>
        </a:ln>
      </xdr:spPr>
    </xdr:pic>
    <xdr:clientData/>
  </xdr:twoCellAnchor>
  <xdr:twoCellAnchor editAs="oneCell">
    <xdr:from>
      <xdr:col>3</xdr:col>
      <xdr:colOff>0</xdr:colOff>
      <xdr:row>67</xdr:row>
      <xdr:rowOff>0</xdr:rowOff>
    </xdr:from>
    <xdr:to>
      <xdr:col>40</xdr:col>
      <xdr:colOff>142875</xdr:colOff>
      <xdr:row>73</xdr:row>
      <xdr:rowOff>95250</xdr:rowOff>
    </xdr:to>
    <xdr:pic>
      <xdr:nvPicPr>
        <xdr:cNvPr id="422" name="Picture 423"/>
        <xdr:cNvPicPr preferRelativeResize="1">
          <a:picLocks noChangeAspect="1"/>
        </xdr:cNvPicPr>
      </xdr:nvPicPr>
      <xdr:blipFill>
        <a:blip r:link="rId3"/>
        <a:stretch>
          <a:fillRect/>
        </a:stretch>
      </xdr:blipFill>
      <xdr:spPr>
        <a:xfrm>
          <a:off x="457200" y="16592550"/>
          <a:ext cx="5781675" cy="1581150"/>
        </a:xfrm>
        <a:prstGeom prst="rect">
          <a:avLst/>
        </a:prstGeom>
        <a:noFill/>
        <a:ln w="9525" cmpd="sng">
          <a:noFill/>
        </a:ln>
      </xdr:spPr>
    </xdr:pic>
    <xdr:clientData/>
  </xdr:twoCellAnchor>
  <xdr:twoCellAnchor editAs="oneCell">
    <xdr:from>
      <xdr:col>3</xdr:col>
      <xdr:colOff>0</xdr:colOff>
      <xdr:row>100</xdr:row>
      <xdr:rowOff>0</xdr:rowOff>
    </xdr:from>
    <xdr:to>
      <xdr:col>40</xdr:col>
      <xdr:colOff>142875</xdr:colOff>
      <xdr:row>109</xdr:row>
      <xdr:rowOff>142875</xdr:rowOff>
    </xdr:to>
    <xdr:pic>
      <xdr:nvPicPr>
        <xdr:cNvPr id="423" name="Picture 424"/>
        <xdr:cNvPicPr preferRelativeResize="1">
          <a:picLocks noChangeAspect="1"/>
        </xdr:cNvPicPr>
      </xdr:nvPicPr>
      <xdr:blipFill>
        <a:blip r:link="rId4"/>
        <a:stretch>
          <a:fillRect/>
        </a:stretch>
      </xdr:blipFill>
      <xdr:spPr>
        <a:xfrm>
          <a:off x="457200" y="24765000"/>
          <a:ext cx="5781675" cy="2371725"/>
        </a:xfrm>
        <a:prstGeom prst="rect">
          <a:avLst/>
        </a:prstGeom>
        <a:noFill/>
        <a:ln w="9525" cmpd="sng">
          <a:noFill/>
        </a:ln>
      </xdr:spPr>
    </xdr:pic>
    <xdr:clientData/>
  </xdr:twoCellAnchor>
  <xdr:twoCellAnchor editAs="oneCell">
    <xdr:from>
      <xdr:col>15</xdr:col>
      <xdr:colOff>0</xdr:colOff>
      <xdr:row>118</xdr:row>
      <xdr:rowOff>0</xdr:rowOff>
    </xdr:from>
    <xdr:to>
      <xdr:col>19</xdr:col>
      <xdr:colOff>66675</xdr:colOff>
      <xdr:row>122</xdr:row>
      <xdr:rowOff>19050</xdr:rowOff>
    </xdr:to>
    <xdr:pic>
      <xdr:nvPicPr>
        <xdr:cNvPr id="424" name="Picture 425"/>
        <xdr:cNvPicPr preferRelativeResize="1">
          <a:picLocks noChangeAspect="1"/>
        </xdr:cNvPicPr>
      </xdr:nvPicPr>
      <xdr:blipFill>
        <a:blip r:link="rId5"/>
        <a:stretch>
          <a:fillRect/>
        </a:stretch>
      </xdr:blipFill>
      <xdr:spPr>
        <a:xfrm>
          <a:off x="2286000" y="29222700"/>
          <a:ext cx="676275" cy="1009650"/>
        </a:xfrm>
        <a:prstGeom prst="rect">
          <a:avLst/>
        </a:prstGeom>
        <a:noFill/>
        <a:ln w="9525" cmpd="sng">
          <a:noFill/>
        </a:ln>
      </xdr:spPr>
    </xdr:pic>
    <xdr:clientData/>
  </xdr:twoCellAnchor>
  <xdr:twoCellAnchor editAs="oneCell">
    <xdr:from>
      <xdr:col>15</xdr:col>
      <xdr:colOff>0</xdr:colOff>
      <xdr:row>132</xdr:row>
      <xdr:rowOff>0</xdr:rowOff>
    </xdr:from>
    <xdr:to>
      <xdr:col>19</xdr:col>
      <xdr:colOff>66675</xdr:colOff>
      <xdr:row>136</xdr:row>
      <xdr:rowOff>19050</xdr:rowOff>
    </xdr:to>
    <xdr:pic>
      <xdr:nvPicPr>
        <xdr:cNvPr id="425" name="Picture 426"/>
        <xdr:cNvPicPr preferRelativeResize="1">
          <a:picLocks noChangeAspect="1"/>
        </xdr:cNvPicPr>
      </xdr:nvPicPr>
      <xdr:blipFill>
        <a:blip r:link="rId6"/>
        <a:stretch>
          <a:fillRect/>
        </a:stretch>
      </xdr:blipFill>
      <xdr:spPr>
        <a:xfrm>
          <a:off x="2286000" y="32689800"/>
          <a:ext cx="676275" cy="1009650"/>
        </a:xfrm>
        <a:prstGeom prst="rect">
          <a:avLst/>
        </a:prstGeom>
        <a:noFill/>
        <a:ln w="9525" cmpd="sng">
          <a:noFill/>
        </a:ln>
      </xdr:spPr>
    </xdr:pic>
    <xdr:clientData/>
  </xdr:twoCellAnchor>
  <xdr:twoCellAnchor editAs="oneCell">
    <xdr:from>
      <xdr:col>2</xdr:col>
      <xdr:colOff>0</xdr:colOff>
      <xdr:row>300</xdr:row>
      <xdr:rowOff>0</xdr:rowOff>
    </xdr:from>
    <xdr:to>
      <xdr:col>39</xdr:col>
      <xdr:colOff>142875</xdr:colOff>
      <xdr:row>311</xdr:row>
      <xdr:rowOff>123825</xdr:rowOff>
    </xdr:to>
    <xdr:pic>
      <xdr:nvPicPr>
        <xdr:cNvPr id="426" name="Picture 427"/>
        <xdr:cNvPicPr preferRelativeResize="1">
          <a:picLocks noChangeAspect="1"/>
        </xdr:cNvPicPr>
      </xdr:nvPicPr>
      <xdr:blipFill>
        <a:blip r:link="rId7"/>
        <a:stretch>
          <a:fillRect/>
        </a:stretch>
      </xdr:blipFill>
      <xdr:spPr>
        <a:xfrm>
          <a:off x="304800" y="74295000"/>
          <a:ext cx="5781675" cy="2847975"/>
        </a:xfrm>
        <a:prstGeom prst="rect">
          <a:avLst/>
        </a:prstGeom>
        <a:noFill/>
        <a:ln w="9525" cmpd="sng">
          <a:noFill/>
        </a:ln>
      </xdr:spPr>
    </xdr:pic>
    <xdr:clientData/>
  </xdr:twoCellAnchor>
  <xdr:twoCellAnchor editAs="oneCell">
    <xdr:from>
      <xdr:col>2</xdr:col>
      <xdr:colOff>0</xdr:colOff>
      <xdr:row>362</xdr:row>
      <xdr:rowOff>0</xdr:rowOff>
    </xdr:from>
    <xdr:to>
      <xdr:col>31</xdr:col>
      <xdr:colOff>123825</xdr:colOff>
      <xdr:row>373</xdr:row>
      <xdr:rowOff>76200</xdr:rowOff>
    </xdr:to>
    <xdr:pic>
      <xdr:nvPicPr>
        <xdr:cNvPr id="427" name="Picture 428"/>
        <xdr:cNvPicPr preferRelativeResize="1">
          <a:picLocks noChangeAspect="1"/>
        </xdr:cNvPicPr>
      </xdr:nvPicPr>
      <xdr:blipFill>
        <a:blip r:link="rId8"/>
        <a:stretch>
          <a:fillRect/>
        </a:stretch>
      </xdr:blipFill>
      <xdr:spPr>
        <a:xfrm>
          <a:off x="304800" y="89649300"/>
          <a:ext cx="4543425" cy="2800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Q29"/>
  <sheetViews>
    <sheetView showGridLines="0" workbookViewId="0" topLeftCell="A1">
      <selection activeCell="A1" sqref="A1"/>
    </sheetView>
  </sheetViews>
  <sheetFormatPr defaultColWidth="8.88671875" defaultRowHeight="19.5" customHeight="1"/>
  <cols>
    <col min="1" max="16384" width="2.77734375" style="170" customWidth="1"/>
  </cols>
  <sheetData>
    <row r="1" s="168" customFormat="1" ht="19.5" customHeight="1">
      <c r="B1" s="169" t="s">
        <v>1136</v>
      </c>
    </row>
    <row r="3" spans="3:34" ht="19.5" customHeight="1">
      <c r="C3" s="168" t="s">
        <v>1137</v>
      </c>
      <c r="D3" s="168"/>
      <c r="E3" s="168"/>
      <c r="G3" s="200" t="s">
        <v>1079</v>
      </c>
      <c r="AF3" s="168"/>
      <c r="AG3" s="168"/>
      <c r="AH3" s="168"/>
    </row>
    <row r="4" spans="3:34" ht="19.5" customHeight="1">
      <c r="C4" s="168" t="s">
        <v>1138</v>
      </c>
      <c r="D4" s="168"/>
      <c r="E4" s="168"/>
      <c r="G4" s="200" t="s">
        <v>1080</v>
      </c>
      <c r="AF4" s="168"/>
      <c r="AG4" s="168"/>
      <c r="AH4" s="168"/>
    </row>
    <row r="5" spans="3:34" ht="19.5" customHeight="1">
      <c r="C5" s="168" t="s">
        <v>1139</v>
      </c>
      <c r="D5" s="168"/>
      <c r="E5" s="168"/>
      <c r="G5" s="200" t="s">
        <v>1081</v>
      </c>
      <c r="AF5" s="168"/>
      <c r="AG5" s="168"/>
      <c r="AH5" s="168"/>
    </row>
    <row r="6" spans="3:34" ht="19.5" customHeight="1">
      <c r="C6" s="168" t="s">
        <v>90</v>
      </c>
      <c r="D6" s="168"/>
      <c r="E6" s="168"/>
      <c r="G6" s="200" t="s">
        <v>1082</v>
      </c>
      <c r="AF6" s="168"/>
      <c r="AG6" s="168"/>
      <c r="AH6" s="168"/>
    </row>
    <row r="7" spans="3:34" ht="19.5" customHeight="1">
      <c r="C7" s="168" t="s">
        <v>1140</v>
      </c>
      <c r="D7" s="168"/>
      <c r="E7" s="168"/>
      <c r="G7" s="200" t="s">
        <v>1083</v>
      </c>
      <c r="H7" s="171"/>
      <c r="I7" s="171"/>
      <c r="J7" s="171"/>
      <c r="AF7" s="168"/>
      <c r="AG7" s="168"/>
      <c r="AH7" s="168"/>
    </row>
    <row r="8" spans="3:34" ht="19.5" customHeight="1">
      <c r="C8" s="168" t="s">
        <v>1141</v>
      </c>
      <c r="D8" s="168"/>
      <c r="E8" s="168"/>
      <c r="G8" s="200" t="s">
        <v>1084</v>
      </c>
      <c r="H8" s="171"/>
      <c r="I8" s="171"/>
      <c r="J8" s="171"/>
      <c r="AF8" s="168"/>
      <c r="AG8" s="168"/>
      <c r="AH8" s="168"/>
    </row>
    <row r="9" spans="3:39" ht="19.5" customHeight="1">
      <c r="C9" s="168" t="s">
        <v>1142</v>
      </c>
      <c r="D9" s="168"/>
      <c r="E9" s="168"/>
      <c r="G9" s="200" t="s">
        <v>1085</v>
      </c>
      <c r="AF9" s="168"/>
      <c r="AG9" s="168"/>
      <c r="AH9" s="168"/>
      <c r="AK9" s="172"/>
      <c r="AL9" s="171"/>
      <c r="AM9" s="171"/>
    </row>
    <row r="10" spans="3:39" ht="19.5" customHeight="1">
      <c r="C10" s="168" t="s">
        <v>1143</v>
      </c>
      <c r="D10" s="168"/>
      <c r="E10" s="168"/>
      <c r="G10" s="200" t="s">
        <v>1086</v>
      </c>
      <c r="I10" s="171"/>
      <c r="J10" s="171"/>
      <c r="K10" s="171"/>
      <c r="Q10" s="171"/>
      <c r="R10" s="171"/>
      <c r="S10" s="171"/>
      <c r="V10" s="171"/>
      <c r="W10" s="171"/>
      <c r="X10" s="171"/>
      <c r="AF10" s="168"/>
      <c r="AG10" s="168"/>
      <c r="AH10" s="168"/>
      <c r="AK10" s="171"/>
      <c r="AL10" s="171"/>
      <c r="AM10" s="171"/>
    </row>
    <row r="11" spans="3:39" ht="19.5" customHeight="1">
      <c r="C11" s="168"/>
      <c r="D11" s="168"/>
      <c r="E11" s="168"/>
      <c r="G11" s="200" t="s">
        <v>1087</v>
      </c>
      <c r="I11" s="171"/>
      <c r="J11" s="171"/>
      <c r="K11" s="171"/>
      <c r="Q11" s="171"/>
      <c r="R11" s="171"/>
      <c r="S11" s="171"/>
      <c r="V11" s="171"/>
      <c r="W11" s="171"/>
      <c r="X11" s="171"/>
      <c r="AF11" s="168"/>
      <c r="AG11" s="168"/>
      <c r="AH11" s="168"/>
      <c r="AK11" s="171"/>
      <c r="AL11" s="171"/>
      <c r="AM11" s="171"/>
    </row>
    <row r="12" spans="3:34" ht="19.5" customHeight="1">
      <c r="C12" s="168" t="s">
        <v>1144</v>
      </c>
      <c r="G12" s="200" t="s">
        <v>1088</v>
      </c>
      <c r="AF12" s="168"/>
      <c r="AG12" s="168"/>
      <c r="AH12" s="168"/>
    </row>
    <row r="13" spans="3:34" ht="19.5" customHeight="1">
      <c r="C13" s="168" t="s">
        <v>1145</v>
      </c>
      <c r="D13" s="168"/>
      <c r="E13" s="168"/>
      <c r="G13" s="200" t="s">
        <v>1089</v>
      </c>
      <c r="J13" s="171"/>
      <c r="K13" s="171"/>
      <c r="L13" s="171"/>
      <c r="AF13" s="168"/>
      <c r="AG13" s="168"/>
      <c r="AH13" s="168"/>
    </row>
    <row r="14" spans="3:40" ht="19.5" customHeight="1">
      <c r="C14" s="168" t="s">
        <v>1146</v>
      </c>
      <c r="D14" s="168"/>
      <c r="E14" s="168"/>
      <c r="G14" s="200" t="s">
        <v>1090</v>
      </c>
      <c r="L14" s="173"/>
      <c r="M14" s="171"/>
      <c r="N14" s="171"/>
      <c r="AF14" s="168"/>
      <c r="AG14" s="168"/>
      <c r="AH14" s="168"/>
      <c r="AL14" s="171"/>
      <c r="AM14" s="171"/>
      <c r="AN14" s="171"/>
    </row>
    <row r="15" spans="3:40" s="174" customFormat="1" ht="19.5" customHeight="1">
      <c r="C15" s="175"/>
      <c r="D15" s="175"/>
      <c r="E15" s="175"/>
      <c r="G15" s="174" t="s">
        <v>1091</v>
      </c>
      <c r="K15" s="203" t="s">
        <v>1092</v>
      </c>
      <c r="L15" s="203"/>
      <c r="N15" s="203" t="s">
        <v>1093</v>
      </c>
      <c r="O15" s="203"/>
      <c r="AF15" s="175"/>
      <c r="AG15" s="175"/>
      <c r="AH15" s="175"/>
      <c r="AL15" s="176"/>
      <c r="AM15" s="176"/>
      <c r="AN15" s="176"/>
    </row>
    <row r="16" spans="3:41" s="174" customFormat="1" ht="19.5" customHeight="1">
      <c r="C16" s="175"/>
      <c r="D16" s="175"/>
      <c r="E16" s="175"/>
      <c r="G16" s="174" t="s">
        <v>1094</v>
      </c>
      <c r="K16" s="177"/>
      <c r="L16" s="200" t="s">
        <v>1095</v>
      </c>
      <c r="P16" s="203" t="s">
        <v>1096</v>
      </c>
      <c r="Q16" s="203"/>
      <c r="AF16" s="175"/>
      <c r="AG16" s="175"/>
      <c r="AH16" s="175"/>
      <c r="AM16" s="176"/>
      <c r="AN16" s="176"/>
      <c r="AO16" s="176"/>
    </row>
    <row r="17" spans="3:41" ht="19.5" customHeight="1">
      <c r="C17" s="168" t="s">
        <v>1147</v>
      </c>
      <c r="D17" s="168"/>
      <c r="E17" s="168"/>
      <c r="G17" s="200" t="s">
        <v>1097</v>
      </c>
      <c r="AF17" s="168"/>
      <c r="AG17" s="168"/>
      <c r="AH17" s="168"/>
      <c r="AO17" s="173"/>
    </row>
    <row r="18" spans="3:34" ht="19.5" customHeight="1">
      <c r="C18" s="168" t="s">
        <v>1148</v>
      </c>
      <c r="D18" s="168"/>
      <c r="E18" s="168"/>
      <c r="G18" s="200" t="s">
        <v>1098</v>
      </c>
      <c r="M18" s="178"/>
      <c r="N18" s="178"/>
      <c r="AF18" s="168"/>
      <c r="AG18" s="168"/>
      <c r="AH18" s="168"/>
    </row>
    <row r="19" spans="3:40" ht="19.5" customHeight="1">
      <c r="C19" s="168" t="s">
        <v>1149</v>
      </c>
      <c r="D19" s="168"/>
      <c r="E19" s="168"/>
      <c r="G19" s="200" t="s">
        <v>1099</v>
      </c>
      <c r="AF19" s="168"/>
      <c r="AG19" s="168"/>
      <c r="AH19" s="168"/>
      <c r="AN19" s="179"/>
    </row>
    <row r="20" spans="3:40" ht="19.5" customHeight="1">
      <c r="C20" s="168" t="s">
        <v>1150</v>
      </c>
      <c r="D20" s="168"/>
      <c r="E20" s="168"/>
      <c r="G20" s="200" t="s">
        <v>1100</v>
      </c>
      <c r="L20" s="180"/>
      <c r="M20" s="180"/>
      <c r="AF20" s="168"/>
      <c r="AG20" s="168"/>
      <c r="AH20" s="168"/>
      <c r="AN20" s="179"/>
    </row>
    <row r="21" spans="3:43" ht="19.5" customHeight="1">
      <c r="C21" s="168"/>
      <c r="D21" s="168"/>
      <c r="E21" s="168"/>
      <c r="G21" s="200" t="s">
        <v>1101</v>
      </c>
      <c r="AF21" s="168"/>
      <c r="AG21" s="168"/>
      <c r="AH21" s="168"/>
      <c r="AP21" s="178"/>
      <c r="AQ21" s="178"/>
    </row>
    <row r="22" spans="3:43" ht="19.5" customHeight="1">
      <c r="C22" s="168" t="s">
        <v>1151</v>
      </c>
      <c r="D22" s="168"/>
      <c r="E22" s="168"/>
      <c r="G22" s="200" t="s">
        <v>1102</v>
      </c>
      <c r="AF22" s="168"/>
      <c r="AG22" s="168"/>
      <c r="AH22" s="168"/>
      <c r="AP22" s="178"/>
      <c r="AQ22" s="178"/>
    </row>
    <row r="23" spans="3:42" ht="19.5" customHeight="1">
      <c r="C23" s="168" t="s">
        <v>1152</v>
      </c>
      <c r="D23" s="168"/>
      <c r="E23" s="168"/>
      <c r="G23" s="200" t="s">
        <v>1103</v>
      </c>
      <c r="AF23" s="168"/>
      <c r="AG23" s="168"/>
      <c r="AH23" s="168"/>
      <c r="AO23" s="180"/>
      <c r="AP23" s="180"/>
    </row>
    <row r="24" spans="7:42" ht="19.5" customHeight="1">
      <c r="G24" s="200" t="s">
        <v>1104</v>
      </c>
      <c r="AF24" s="168"/>
      <c r="AG24" s="168"/>
      <c r="AH24" s="168"/>
      <c r="AO24" s="180"/>
      <c r="AP24" s="180"/>
    </row>
    <row r="25" spans="7:42" ht="19.5" customHeight="1">
      <c r="G25" s="170" t="s">
        <v>1153</v>
      </c>
      <c r="AF25" s="168"/>
      <c r="AG25" s="168"/>
      <c r="AH25" s="168"/>
      <c r="AO25" s="180"/>
      <c r="AP25" s="180"/>
    </row>
    <row r="26" spans="3:34" ht="19.5" customHeight="1">
      <c r="C26" s="168" t="s">
        <v>1154</v>
      </c>
      <c r="D26" s="168"/>
      <c r="E26" s="168"/>
      <c r="G26" s="170" t="s">
        <v>1155</v>
      </c>
      <c r="S26" s="170" t="s">
        <v>1156</v>
      </c>
      <c r="AF26" s="168"/>
      <c r="AG26" s="168"/>
      <c r="AH26" s="168"/>
    </row>
    <row r="27" spans="7:19" ht="19.5" customHeight="1">
      <c r="G27" s="170" t="s">
        <v>1157</v>
      </c>
      <c r="S27" s="170" t="s">
        <v>1158</v>
      </c>
    </row>
    <row r="28" spans="7:19" ht="19.5" customHeight="1">
      <c r="G28" s="170" t="s">
        <v>1159</v>
      </c>
      <c r="S28" s="170" t="s">
        <v>1160</v>
      </c>
    </row>
    <row r="29" spans="7:19" ht="19.5" customHeight="1">
      <c r="G29" s="170" t="s">
        <v>1161</v>
      </c>
      <c r="S29" s="170" t="s">
        <v>1162</v>
      </c>
    </row>
    <row r="30" ht="19.5" customHeight="1"/>
    <row r="31" ht="19.5" customHeight="1"/>
    <row r="32" ht="19.5" customHeight="1"/>
  </sheetData>
  <mergeCells count="3">
    <mergeCell ref="K15:L15"/>
    <mergeCell ref="N15:O15"/>
    <mergeCell ref="P16:Q16"/>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7"/>
  <dimension ref="A1:BF100"/>
  <sheetViews>
    <sheetView showGridLines="0" workbookViewId="0" topLeftCell="A20">
      <selection activeCell="BB25" sqref="BB25"/>
    </sheetView>
  </sheetViews>
  <sheetFormatPr defaultColWidth="8.88671875" defaultRowHeight="19.5" customHeight="1"/>
  <cols>
    <col min="1" max="25" width="1.77734375" style="20" customWidth="1"/>
    <col min="26" max="31" width="1.77734375" style="27" customWidth="1"/>
    <col min="32" max="33" width="1.77734375" style="20" customWidth="1"/>
    <col min="34" max="42" width="1.77734375" style="21" customWidth="1"/>
    <col min="43" max="43" width="1.77734375" style="27" customWidth="1"/>
    <col min="44" max="16384" width="1.77734375" style="20" customWidth="1"/>
  </cols>
  <sheetData>
    <row r="1" spans="1:12" ht="19.5" customHeight="1">
      <c r="A1" s="25" t="s">
        <v>944</v>
      </c>
      <c r="B1" s="2"/>
      <c r="C1" s="2"/>
      <c r="D1" s="2"/>
      <c r="E1" s="2"/>
      <c r="F1" s="2"/>
      <c r="G1" s="2"/>
      <c r="H1" s="2"/>
      <c r="I1" s="2"/>
      <c r="J1" s="2"/>
      <c r="K1" s="2"/>
      <c r="L1" s="2"/>
    </row>
    <row r="2" spans="1:12" ht="19.5" customHeight="1">
      <c r="A2" s="25" t="s">
        <v>945</v>
      </c>
      <c r="C2" s="2"/>
      <c r="D2" s="2"/>
      <c r="E2" s="2"/>
      <c r="F2" s="2"/>
      <c r="G2" s="2"/>
      <c r="H2" s="2"/>
      <c r="I2" s="2"/>
      <c r="J2" s="2"/>
      <c r="K2" s="2"/>
      <c r="L2" s="2"/>
    </row>
    <row r="3" spans="1:12" ht="19.5" customHeight="1">
      <c r="A3" s="2"/>
      <c r="B3" s="2" t="s">
        <v>1015</v>
      </c>
      <c r="C3" s="2"/>
      <c r="D3" s="2"/>
      <c r="F3" s="2"/>
      <c r="G3" s="2"/>
      <c r="H3" s="2"/>
      <c r="I3" s="2"/>
      <c r="J3" s="2"/>
      <c r="K3" s="2"/>
      <c r="L3" s="2"/>
    </row>
    <row r="4" spans="2:50" ht="19.5" customHeight="1">
      <c r="B4" s="2"/>
      <c r="C4" s="2" t="s">
        <v>1281</v>
      </c>
      <c r="D4" s="2"/>
      <c r="E4" s="2"/>
      <c r="F4" s="2"/>
      <c r="G4" s="2"/>
      <c r="H4" s="2"/>
      <c r="I4" s="2"/>
      <c r="J4" s="2"/>
      <c r="K4" s="2"/>
      <c r="L4" s="2"/>
      <c r="AR4" s="27"/>
      <c r="AS4" s="27"/>
      <c r="AT4" s="27"/>
      <c r="AU4" s="27"/>
      <c r="AV4" s="27"/>
      <c r="AW4" s="27"/>
      <c r="AX4" s="27"/>
    </row>
    <row r="5" spans="1:12" ht="19.5" customHeight="1">
      <c r="A5" s="2"/>
      <c r="B5" s="2"/>
      <c r="D5" s="2"/>
      <c r="E5" s="2"/>
      <c r="F5" s="2"/>
      <c r="G5" s="2"/>
      <c r="H5" s="2"/>
      <c r="I5" s="2"/>
      <c r="J5" s="2"/>
      <c r="K5" s="2"/>
      <c r="L5" s="2"/>
    </row>
    <row r="6" spans="1:39" ht="19.5" customHeight="1">
      <c r="A6" s="2"/>
      <c r="B6" s="2"/>
      <c r="C6" s="2"/>
      <c r="D6" s="2"/>
      <c r="E6" s="2"/>
      <c r="F6" s="2"/>
      <c r="G6" s="2"/>
      <c r="H6" s="2"/>
      <c r="I6" s="2"/>
      <c r="J6" s="2"/>
      <c r="K6" s="2"/>
      <c r="L6" s="2"/>
      <c r="M6" s="2"/>
      <c r="W6" s="2"/>
      <c r="X6" s="2"/>
      <c r="Y6" s="2"/>
      <c r="Z6" s="4"/>
      <c r="AA6" s="4"/>
      <c r="AB6" s="4"/>
      <c r="AC6" s="4"/>
      <c r="AD6" s="4"/>
      <c r="AE6" s="4"/>
      <c r="AF6" s="2"/>
      <c r="AG6" s="2"/>
      <c r="AH6" s="20"/>
      <c r="AI6" s="20"/>
      <c r="AJ6" s="20"/>
      <c r="AK6" s="20"/>
      <c r="AL6" s="20"/>
      <c r="AM6" s="20"/>
    </row>
    <row r="7" spans="1:39" ht="19.5" customHeight="1">
      <c r="A7" s="2"/>
      <c r="B7" s="2"/>
      <c r="C7" s="2"/>
      <c r="D7" s="2"/>
      <c r="E7" s="2"/>
      <c r="F7" s="2"/>
      <c r="G7" s="2"/>
      <c r="H7" s="2"/>
      <c r="I7" s="2"/>
      <c r="J7" s="2"/>
      <c r="K7" s="2"/>
      <c r="L7" s="2"/>
      <c r="M7" s="2"/>
      <c r="W7" s="2"/>
      <c r="X7" s="2"/>
      <c r="Y7" s="2"/>
      <c r="Z7" s="4"/>
      <c r="AA7" s="4"/>
      <c r="AB7" s="4"/>
      <c r="AC7" s="4"/>
      <c r="AD7" s="4"/>
      <c r="AE7" s="4"/>
      <c r="AF7" s="2"/>
      <c r="AG7" s="2"/>
      <c r="AH7" s="20"/>
      <c r="AI7" s="20"/>
      <c r="AJ7" s="20"/>
      <c r="AK7" s="20"/>
      <c r="AL7" s="20"/>
      <c r="AM7" s="20"/>
    </row>
    <row r="8" spans="1:27" ht="19.5" customHeight="1">
      <c r="A8" s="2"/>
      <c r="B8" s="2"/>
      <c r="C8" s="2"/>
      <c r="D8" s="2"/>
      <c r="E8" s="2"/>
      <c r="G8" s="2" t="s">
        <v>881</v>
      </c>
      <c r="H8" s="2"/>
      <c r="I8" s="2"/>
      <c r="J8" s="2"/>
      <c r="K8" s="2"/>
      <c r="L8" s="2"/>
      <c r="AA8" s="4" t="s">
        <v>882</v>
      </c>
    </row>
    <row r="9" spans="1:12" ht="19.5" customHeight="1">
      <c r="A9" s="2"/>
      <c r="B9" s="2"/>
      <c r="C9" s="2"/>
      <c r="D9" s="2"/>
      <c r="E9" s="2"/>
      <c r="F9" s="2"/>
      <c r="G9" s="2"/>
      <c r="H9" s="2"/>
      <c r="I9" s="2"/>
      <c r="J9" s="2"/>
      <c r="K9" s="2"/>
      <c r="L9" s="2"/>
    </row>
    <row r="10" spans="1:40" ht="19.5" customHeight="1">
      <c r="A10" s="2"/>
      <c r="B10" s="2"/>
      <c r="D10" s="196" t="s">
        <v>1282</v>
      </c>
      <c r="E10" s="196"/>
      <c r="F10" s="196"/>
      <c r="G10" s="196"/>
      <c r="H10" s="196"/>
      <c r="I10" s="196"/>
      <c r="J10" s="196"/>
      <c r="K10" s="196"/>
      <c r="L10" s="196" t="s">
        <v>886</v>
      </c>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row>
    <row r="11" spans="1:40" ht="19.5" customHeight="1">
      <c r="A11" s="2"/>
      <c r="B11" s="2"/>
      <c r="D11" s="201" t="s">
        <v>81</v>
      </c>
      <c r="E11" s="201"/>
      <c r="F11" s="201"/>
      <c r="G11" s="201"/>
      <c r="H11" s="201"/>
      <c r="I11" s="201"/>
      <c r="J11" s="201"/>
      <c r="K11" s="201"/>
      <c r="L11" s="196" t="s">
        <v>883</v>
      </c>
      <c r="M11" s="196"/>
      <c r="N11" s="196"/>
      <c r="O11" s="196"/>
      <c r="P11" s="197" t="s">
        <v>1283</v>
      </c>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row>
    <row r="12" spans="1:40" ht="19.5" customHeight="1">
      <c r="A12" s="2"/>
      <c r="B12" s="2"/>
      <c r="D12" s="201" t="s">
        <v>1284</v>
      </c>
      <c r="E12" s="201"/>
      <c r="F12" s="201"/>
      <c r="G12" s="201"/>
      <c r="H12" s="201"/>
      <c r="I12" s="201"/>
      <c r="J12" s="201"/>
      <c r="K12" s="201"/>
      <c r="L12" s="196" t="s">
        <v>884</v>
      </c>
      <c r="M12" s="196"/>
      <c r="N12" s="196"/>
      <c r="O12" s="196"/>
      <c r="P12" s="197" t="s">
        <v>1285</v>
      </c>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row>
    <row r="13" spans="1:40" ht="19.5" customHeight="1">
      <c r="A13" s="2"/>
      <c r="B13" s="2"/>
      <c r="D13" s="201" t="s">
        <v>1286</v>
      </c>
      <c r="E13" s="201"/>
      <c r="F13" s="201"/>
      <c r="G13" s="201"/>
      <c r="H13" s="201"/>
      <c r="I13" s="201"/>
      <c r="J13" s="201"/>
      <c r="K13" s="201"/>
      <c r="L13" s="196" t="s">
        <v>883</v>
      </c>
      <c r="M13" s="196"/>
      <c r="N13" s="196"/>
      <c r="O13" s="196"/>
      <c r="P13" s="197" t="s">
        <v>1287</v>
      </c>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row>
    <row r="14" spans="1:40" ht="19.5" customHeight="1">
      <c r="A14" s="2"/>
      <c r="B14" s="2"/>
      <c r="D14" s="201" t="s">
        <v>1288</v>
      </c>
      <c r="E14" s="201"/>
      <c r="F14" s="201"/>
      <c r="G14" s="201"/>
      <c r="H14" s="201"/>
      <c r="I14" s="201"/>
      <c r="J14" s="201"/>
      <c r="K14" s="201"/>
      <c r="L14" s="196" t="s">
        <v>883</v>
      </c>
      <c r="M14" s="196"/>
      <c r="N14" s="196"/>
      <c r="O14" s="196"/>
      <c r="P14" s="197" t="s">
        <v>1289</v>
      </c>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row>
    <row r="15" spans="1:40" ht="19.5" customHeight="1">
      <c r="A15" s="2"/>
      <c r="B15" s="2"/>
      <c r="D15" s="201" t="s">
        <v>887</v>
      </c>
      <c r="E15" s="201"/>
      <c r="F15" s="201"/>
      <c r="G15" s="201"/>
      <c r="H15" s="201"/>
      <c r="I15" s="201"/>
      <c r="J15" s="201"/>
      <c r="K15" s="201"/>
      <c r="L15" s="196" t="s">
        <v>883</v>
      </c>
      <c r="M15" s="196"/>
      <c r="N15" s="196"/>
      <c r="O15" s="196"/>
      <c r="P15" s="197" t="s">
        <v>1289</v>
      </c>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row>
    <row r="16" spans="1:40" ht="19.5" customHeight="1">
      <c r="A16" s="2"/>
      <c r="B16" s="2"/>
      <c r="D16" s="201" t="s">
        <v>889</v>
      </c>
      <c r="E16" s="201"/>
      <c r="F16" s="201"/>
      <c r="G16" s="201"/>
      <c r="H16" s="201"/>
      <c r="I16" s="201"/>
      <c r="J16" s="201"/>
      <c r="K16" s="201"/>
      <c r="L16" s="196" t="s">
        <v>885</v>
      </c>
      <c r="M16" s="196"/>
      <c r="N16" s="196"/>
      <c r="O16" s="196"/>
      <c r="P16" s="197" t="s">
        <v>1290</v>
      </c>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row>
    <row r="17" spans="1:40" ht="19.5" customHeight="1">
      <c r="A17" s="2"/>
      <c r="B17" s="2"/>
      <c r="D17" s="201" t="s">
        <v>888</v>
      </c>
      <c r="E17" s="201"/>
      <c r="F17" s="201"/>
      <c r="G17" s="201"/>
      <c r="H17" s="201"/>
      <c r="I17" s="201"/>
      <c r="J17" s="201"/>
      <c r="K17" s="201"/>
      <c r="L17" s="198" t="s">
        <v>1291</v>
      </c>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row>
    <row r="18" spans="1:40" ht="19.5" customHeight="1">
      <c r="A18" s="2"/>
      <c r="B18" s="2"/>
      <c r="D18" s="32" t="s">
        <v>1292</v>
      </c>
      <c r="E18" s="32"/>
      <c r="F18" s="32"/>
      <c r="G18" s="32"/>
      <c r="H18" s="32"/>
      <c r="I18" s="32"/>
      <c r="J18" s="32"/>
      <c r="K18" s="32"/>
      <c r="L18" s="31"/>
      <c r="M18" s="31"/>
      <c r="N18" s="31"/>
      <c r="O18" s="31"/>
      <c r="P18" s="31"/>
      <c r="Q18" s="31"/>
      <c r="R18" s="31"/>
      <c r="S18" s="31"/>
      <c r="T18" s="31"/>
      <c r="U18" s="31"/>
      <c r="V18" s="31"/>
      <c r="W18" s="31"/>
      <c r="X18" s="31"/>
      <c r="Y18" s="31"/>
      <c r="Z18" s="45"/>
      <c r="AA18" s="45"/>
      <c r="AB18" s="45"/>
      <c r="AC18" s="45"/>
      <c r="AD18" s="45"/>
      <c r="AE18" s="45"/>
      <c r="AF18" s="31"/>
      <c r="AG18" s="31"/>
      <c r="AH18" s="31"/>
      <c r="AI18" s="31"/>
      <c r="AJ18" s="31"/>
      <c r="AK18" s="31"/>
      <c r="AL18" s="31"/>
      <c r="AM18" s="31"/>
      <c r="AN18" s="31"/>
    </row>
    <row r="19" spans="1:40" ht="19.5" customHeight="1">
      <c r="A19" s="2"/>
      <c r="B19" s="2"/>
      <c r="D19" s="32" t="s">
        <v>1293</v>
      </c>
      <c r="E19" s="32"/>
      <c r="F19" s="32"/>
      <c r="G19" s="32"/>
      <c r="H19" s="32"/>
      <c r="I19" s="32"/>
      <c r="J19" s="32"/>
      <c r="K19" s="32"/>
      <c r="L19" s="31"/>
      <c r="M19" s="31"/>
      <c r="N19" s="31"/>
      <c r="O19" s="31"/>
      <c r="P19" s="31"/>
      <c r="Q19" s="31"/>
      <c r="R19" s="31"/>
      <c r="S19" s="31"/>
      <c r="T19" s="31"/>
      <c r="U19" s="31"/>
      <c r="V19" s="31"/>
      <c r="W19" s="31"/>
      <c r="X19" s="31"/>
      <c r="Y19" s="31"/>
      <c r="Z19" s="45"/>
      <c r="AA19" s="45"/>
      <c r="AB19" s="45"/>
      <c r="AC19" s="45"/>
      <c r="AD19" s="45"/>
      <c r="AE19" s="45"/>
      <c r="AF19" s="31"/>
      <c r="AG19" s="31"/>
      <c r="AH19" s="31"/>
      <c r="AI19" s="31"/>
      <c r="AJ19" s="31"/>
      <c r="AK19" s="31"/>
      <c r="AL19" s="31"/>
      <c r="AM19" s="31"/>
      <c r="AN19" s="31"/>
    </row>
    <row r="20" spans="1:40" ht="19.5" customHeight="1">
      <c r="A20" s="2"/>
      <c r="B20" s="2"/>
      <c r="D20" s="32" t="s">
        <v>1294</v>
      </c>
      <c r="E20" s="32"/>
      <c r="F20" s="32"/>
      <c r="G20" s="32"/>
      <c r="H20" s="32"/>
      <c r="I20" s="32"/>
      <c r="J20" s="32"/>
      <c r="K20" s="32"/>
      <c r="L20" s="31"/>
      <c r="M20" s="31"/>
      <c r="N20" s="31"/>
      <c r="O20" s="31"/>
      <c r="P20" s="31"/>
      <c r="Q20" s="31"/>
      <c r="R20" s="31"/>
      <c r="S20" s="31"/>
      <c r="T20" s="31"/>
      <c r="U20" s="31"/>
      <c r="V20" s="31"/>
      <c r="W20" s="31"/>
      <c r="X20" s="31"/>
      <c r="Y20" s="31"/>
      <c r="Z20" s="45"/>
      <c r="AA20" s="45"/>
      <c r="AB20" s="45"/>
      <c r="AC20" s="45"/>
      <c r="AD20" s="45"/>
      <c r="AE20" s="45"/>
      <c r="AF20" s="31"/>
      <c r="AG20" s="31"/>
      <c r="AH20" s="31"/>
      <c r="AI20" s="31"/>
      <c r="AJ20" s="31"/>
      <c r="AK20" s="31"/>
      <c r="AL20" s="31"/>
      <c r="AM20" s="31"/>
      <c r="AN20" s="31"/>
    </row>
    <row r="21" spans="1:12" ht="19.5" customHeight="1">
      <c r="A21" s="2"/>
      <c r="B21" s="2" t="s">
        <v>890</v>
      </c>
      <c r="C21" s="2"/>
      <c r="D21" s="2"/>
      <c r="E21" s="2"/>
      <c r="F21" s="2"/>
      <c r="G21" s="2"/>
      <c r="H21" s="2"/>
      <c r="I21" s="2"/>
      <c r="J21" s="2"/>
      <c r="K21" s="2"/>
      <c r="L21" s="2"/>
    </row>
    <row r="22" spans="1:12" ht="19.5" customHeight="1">
      <c r="A22" s="2"/>
      <c r="B22" s="2"/>
      <c r="C22" s="2" t="s">
        <v>891</v>
      </c>
      <c r="D22" s="2"/>
      <c r="E22" s="2"/>
      <c r="F22" s="2"/>
      <c r="G22" s="2"/>
      <c r="H22" s="2"/>
      <c r="I22" s="2"/>
      <c r="J22" s="2"/>
      <c r="K22" s="2"/>
      <c r="L22" s="2"/>
    </row>
    <row r="23" spans="1:29" ht="19.5" customHeight="1">
      <c r="A23" s="2"/>
      <c r="B23" s="2"/>
      <c r="C23" s="2"/>
      <c r="D23" s="2" t="s">
        <v>1295</v>
      </c>
      <c r="E23" s="2"/>
      <c r="F23" s="2"/>
      <c r="G23" s="2"/>
      <c r="H23" s="2"/>
      <c r="I23" s="2"/>
      <c r="J23" s="2"/>
      <c r="K23" s="2"/>
      <c r="L23" s="2"/>
      <c r="W23" s="20" t="s">
        <v>1296</v>
      </c>
      <c r="Y23" s="23" t="s">
        <v>1297</v>
      </c>
      <c r="Z23" s="325">
        <v>40</v>
      </c>
      <c r="AA23" s="326"/>
      <c r="AB23" s="326"/>
      <c r="AC23" s="29" t="s">
        <v>155</v>
      </c>
    </row>
    <row r="24" spans="1:44" ht="19.5" customHeight="1">
      <c r="A24" s="2"/>
      <c r="B24" s="2"/>
      <c r="C24" s="2"/>
      <c r="D24" s="2" t="s">
        <v>1298</v>
      </c>
      <c r="E24" s="2"/>
      <c r="F24" s="2"/>
      <c r="G24" s="2"/>
      <c r="H24" s="2"/>
      <c r="I24" s="2"/>
      <c r="J24" s="2"/>
      <c r="K24" s="2"/>
      <c r="L24" s="2"/>
      <c r="W24" s="20" t="s">
        <v>1299</v>
      </c>
      <c r="Y24" s="23" t="s">
        <v>45</v>
      </c>
      <c r="Z24" s="325">
        <v>32.5</v>
      </c>
      <c r="AA24" s="325"/>
      <c r="AB24" s="325"/>
      <c r="AC24" s="29" t="s">
        <v>156</v>
      </c>
      <c r="AR24" s="24"/>
    </row>
    <row r="25" spans="1:32" ht="19.5" customHeight="1">
      <c r="A25" s="2"/>
      <c r="B25" s="2"/>
      <c r="C25" s="2"/>
      <c r="D25" s="2" t="s">
        <v>1300</v>
      </c>
      <c r="E25" s="2"/>
      <c r="F25" s="2"/>
      <c r="G25" s="2"/>
      <c r="H25" s="2"/>
      <c r="I25" s="2"/>
      <c r="J25" s="2"/>
      <c r="K25" s="2"/>
      <c r="L25" s="2"/>
      <c r="AC25" s="29"/>
      <c r="AF25" s="12" t="s">
        <v>1301</v>
      </c>
    </row>
    <row r="26" spans="1:29" ht="19.5" customHeight="1">
      <c r="A26" s="2"/>
      <c r="B26" s="2"/>
      <c r="C26" s="2"/>
      <c r="D26" s="2"/>
      <c r="F26" s="2" t="s">
        <v>892</v>
      </c>
      <c r="G26" s="2"/>
      <c r="H26" s="2"/>
      <c r="I26" s="2"/>
      <c r="J26" s="2"/>
      <c r="K26" s="2"/>
      <c r="L26" s="2"/>
      <c r="Y26" s="23" t="s">
        <v>45</v>
      </c>
      <c r="Z26" s="325">
        <v>19</v>
      </c>
      <c r="AA26" s="325"/>
      <c r="AB26" s="325"/>
      <c r="AC26" s="29" t="s">
        <v>156</v>
      </c>
    </row>
    <row r="27" spans="1:29" ht="19.5" customHeight="1">
      <c r="A27" s="2"/>
      <c r="B27" s="2"/>
      <c r="C27" s="2"/>
      <c r="D27" s="2"/>
      <c r="F27" s="2" t="s">
        <v>893</v>
      </c>
      <c r="G27" s="2"/>
      <c r="H27" s="2"/>
      <c r="I27" s="2"/>
      <c r="J27" s="2"/>
      <c r="K27" s="2"/>
      <c r="L27" s="2"/>
      <c r="Y27" s="23" t="s">
        <v>1297</v>
      </c>
      <c r="Z27" s="325">
        <v>15</v>
      </c>
      <c r="AA27" s="325"/>
      <c r="AB27" s="325"/>
      <c r="AC27" s="29" t="s">
        <v>155</v>
      </c>
    </row>
    <row r="28" spans="1:32" ht="19.5" customHeight="1">
      <c r="A28" s="2"/>
      <c r="B28" s="2"/>
      <c r="C28" s="2"/>
      <c r="D28" s="2" t="s">
        <v>1302</v>
      </c>
      <c r="E28" s="2"/>
      <c r="F28" s="2"/>
      <c r="G28" s="2"/>
      <c r="H28" s="2"/>
      <c r="I28" s="2"/>
      <c r="J28" s="2"/>
      <c r="K28" s="2"/>
      <c r="L28" s="2"/>
      <c r="AC28" s="29"/>
      <c r="AF28" s="12" t="s">
        <v>1303</v>
      </c>
    </row>
    <row r="29" spans="1:29" ht="19.5" customHeight="1">
      <c r="A29" s="2"/>
      <c r="B29" s="2"/>
      <c r="C29" s="2"/>
      <c r="D29" s="2"/>
      <c r="F29" s="2" t="s">
        <v>892</v>
      </c>
      <c r="G29" s="2"/>
      <c r="H29" s="2"/>
      <c r="I29" s="2"/>
      <c r="J29" s="2"/>
      <c r="K29" s="2"/>
      <c r="L29" s="2"/>
      <c r="Y29" s="23" t="s">
        <v>45</v>
      </c>
      <c r="Z29" s="325">
        <v>1.5</v>
      </c>
      <c r="AA29" s="325"/>
      <c r="AB29" s="325"/>
      <c r="AC29" s="29" t="s">
        <v>156</v>
      </c>
    </row>
    <row r="30" spans="1:29" ht="19.5" customHeight="1">
      <c r="A30" s="2"/>
      <c r="B30" s="2"/>
      <c r="C30" s="2"/>
      <c r="D30" s="2"/>
      <c r="F30" s="2" t="s">
        <v>1402</v>
      </c>
      <c r="G30" s="2"/>
      <c r="H30" s="2"/>
      <c r="I30" s="2"/>
      <c r="J30" s="2"/>
      <c r="K30" s="2"/>
      <c r="L30" s="2"/>
      <c r="Y30" s="23" t="s">
        <v>157</v>
      </c>
      <c r="Z30" s="325">
        <v>0</v>
      </c>
      <c r="AA30" s="325"/>
      <c r="AB30" s="325"/>
      <c r="AC30" s="29" t="s">
        <v>158</v>
      </c>
    </row>
    <row r="31" spans="1:53" ht="19.5" customHeight="1">
      <c r="A31" s="2"/>
      <c r="B31" s="2"/>
      <c r="C31" s="2"/>
      <c r="D31" s="2"/>
      <c r="F31" s="2" t="s">
        <v>894</v>
      </c>
      <c r="G31" s="2"/>
      <c r="H31" s="2"/>
      <c r="I31" s="2"/>
      <c r="J31" s="2"/>
      <c r="K31" s="2"/>
      <c r="L31" s="2"/>
      <c r="O31" s="20" t="s">
        <v>1304</v>
      </c>
      <c r="W31" s="27"/>
      <c r="X31" s="27"/>
      <c r="Y31" s="27"/>
      <c r="AH31" s="20"/>
      <c r="AI31" s="20"/>
      <c r="AJ31" s="29"/>
      <c r="BA31" s="12"/>
    </row>
    <row r="32" spans="1:36" ht="19.5" customHeight="1">
      <c r="A32" s="2"/>
      <c r="B32" s="2"/>
      <c r="C32" s="2"/>
      <c r="D32" s="2"/>
      <c r="E32" s="2"/>
      <c r="F32" s="2"/>
      <c r="G32" s="2"/>
      <c r="I32" s="2"/>
      <c r="J32" s="2"/>
      <c r="K32" s="2"/>
      <c r="L32" s="2"/>
      <c r="W32" s="42"/>
      <c r="X32" s="42"/>
      <c r="Y32" s="35"/>
      <c r="AH32" s="20"/>
      <c r="AI32" s="20"/>
      <c r="AJ32" s="29"/>
    </row>
    <row r="33" spans="1:12" ht="19.5" customHeight="1">
      <c r="A33" s="2"/>
      <c r="B33" s="2"/>
      <c r="C33" s="2"/>
      <c r="D33" s="2" t="s">
        <v>895</v>
      </c>
      <c r="E33" s="2"/>
      <c r="F33" s="2"/>
      <c r="G33" s="2"/>
      <c r="H33" s="2"/>
      <c r="I33" s="2"/>
      <c r="J33" s="2"/>
      <c r="K33" s="2"/>
      <c r="L33" s="2"/>
    </row>
    <row r="34" spans="1:44" ht="19.5" customHeight="1">
      <c r="A34" s="2"/>
      <c r="B34" s="2"/>
      <c r="C34" s="2"/>
      <c r="D34" s="2"/>
      <c r="E34" s="2"/>
      <c r="F34" s="2" t="s">
        <v>894</v>
      </c>
      <c r="G34" s="2"/>
      <c r="H34" s="2"/>
      <c r="I34" s="2"/>
      <c r="J34" s="2"/>
      <c r="K34" s="2"/>
      <c r="L34" s="2"/>
      <c r="W34" s="22" t="s">
        <v>1305</v>
      </c>
      <c r="X34" s="22"/>
      <c r="Y34" s="23" t="s">
        <v>1297</v>
      </c>
      <c r="Z34" s="327">
        <v>3.1</v>
      </c>
      <c r="AA34" s="327"/>
      <c r="AB34" s="327"/>
      <c r="AC34" s="27" t="s">
        <v>1306</v>
      </c>
      <c r="AD34" s="27" t="s">
        <v>159</v>
      </c>
      <c r="AF34" s="29" t="s">
        <v>155</v>
      </c>
      <c r="AI34" s="12" t="s">
        <v>909</v>
      </c>
      <c r="AR34" s="24"/>
    </row>
    <row r="35" spans="1:32" ht="19.5" customHeight="1">
      <c r="A35" s="2" t="s">
        <v>1307</v>
      </c>
      <c r="B35" s="2"/>
      <c r="D35" s="2"/>
      <c r="E35" s="2"/>
      <c r="F35" s="2" t="s">
        <v>1308</v>
      </c>
      <c r="G35" s="2"/>
      <c r="H35" s="2"/>
      <c r="I35" s="2"/>
      <c r="J35" s="2"/>
      <c r="K35" s="2"/>
      <c r="L35" s="2"/>
      <c r="W35" s="22" t="s">
        <v>1309</v>
      </c>
      <c r="X35" s="22"/>
      <c r="Y35" s="23" t="s">
        <v>45</v>
      </c>
      <c r="Z35" s="327">
        <v>2.6</v>
      </c>
      <c r="AA35" s="327"/>
      <c r="AB35" s="327"/>
      <c r="AC35" s="27" t="s">
        <v>44</v>
      </c>
      <c r="AD35" s="27" t="s">
        <v>160</v>
      </c>
      <c r="AF35" s="29" t="s">
        <v>156</v>
      </c>
    </row>
    <row r="36" spans="1:35" ht="19.5" customHeight="1">
      <c r="A36" s="2"/>
      <c r="B36" s="2"/>
      <c r="C36" s="2"/>
      <c r="D36" s="2" t="s">
        <v>1310</v>
      </c>
      <c r="E36" s="2"/>
      <c r="F36" s="2"/>
      <c r="G36" s="2"/>
      <c r="H36" s="2"/>
      <c r="I36" s="2"/>
      <c r="J36" s="2"/>
      <c r="K36" s="2"/>
      <c r="L36" s="2"/>
      <c r="W36" s="22" t="s">
        <v>1311</v>
      </c>
      <c r="X36" s="22"/>
      <c r="Y36" s="23" t="s">
        <v>1312</v>
      </c>
      <c r="Z36" s="325">
        <v>2.6</v>
      </c>
      <c r="AA36" s="326"/>
      <c r="AB36" s="326"/>
      <c r="AI36" s="12" t="s">
        <v>910</v>
      </c>
    </row>
    <row r="37" spans="1:30" ht="19.5" customHeight="1">
      <c r="A37" s="2" t="s">
        <v>1313</v>
      </c>
      <c r="B37" s="2"/>
      <c r="C37" s="2"/>
      <c r="D37" s="2" t="s">
        <v>1314</v>
      </c>
      <c r="E37" s="2"/>
      <c r="F37" s="2"/>
      <c r="G37" s="2"/>
      <c r="H37" s="2"/>
      <c r="I37" s="2"/>
      <c r="J37" s="2"/>
      <c r="K37" s="2"/>
      <c r="L37" s="2"/>
      <c r="W37" s="22" t="s">
        <v>1315</v>
      </c>
      <c r="X37" s="22"/>
      <c r="Y37" s="23" t="s">
        <v>1341</v>
      </c>
      <c r="Z37" s="325">
        <v>2</v>
      </c>
      <c r="AA37" s="326"/>
      <c r="AB37" s="326"/>
      <c r="AC37" s="27" t="s">
        <v>1340</v>
      </c>
      <c r="AD37" s="39" t="s">
        <v>161</v>
      </c>
    </row>
    <row r="38" spans="1:29" ht="19.5" customHeight="1">
      <c r="A38" s="2"/>
      <c r="C38" s="2" t="s">
        <v>896</v>
      </c>
      <c r="D38" s="2"/>
      <c r="E38" s="2"/>
      <c r="F38" s="2"/>
      <c r="G38" s="2"/>
      <c r="H38" s="2"/>
      <c r="I38" s="2"/>
      <c r="J38" s="2"/>
      <c r="K38" s="2"/>
      <c r="L38" s="2"/>
      <c r="AC38" s="92" t="s">
        <v>1316</v>
      </c>
    </row>
    <row r="39" spans="1:44" ht="19.5" customHeight="1">
      <c r="A39" s="2"/>
      <c r="B39" s="2"/>
      <c r="D39" s="2" t="s">
        <v>897</v>
      </c>
      <c r="E39" s="2"/>
      <c r="F39" s="2"/>
      <c r="G39" s="2"/>
      <c r="H39" s="2"/>
      <c r="I39" s="2"/>
      <c r="J39" s="2"/>
      <c r="K39" s="2"/>
      <c r="L39" s="2"/>
      <c r="W39" s="328">
        <v>1</v>
      </c>
      <c r="X39" s="328"/>
      <c r="Y39" s="20" t="s">
        <v>145</v>
      </c>
      <c r="Z39" s="329" t="s">
        <v>162</v>
      </c>
      <c r="AA39" s="151"/>
      <c r="AR39" s="24"/>
    </row>
    <row r="40" spans="1:30" ht="19.5" customHeight="1">
      <c r="A40" s="2"/>
      <c r="B40" s="2"/>
      <c r="D40" s="2" t="s">
        <v>898</v>
      </c>
      <c r="E40" s="2"/>
      <c r="F40" s="2"/>
      <c r="G40" s="2"/>
      <c r="H40" s="2"/>
      <c r="I40" s="2"/>
      <c r="J40" s="2"/>
      <c r="K40" s="2"/>
      <c r="L40" s="2"/>
      <c r="W40" s="22" t="s">
        <v>46</v>
      </c>
      <c r="X40" s="22"/>
      <c r="Y40" s="23" t="s">
        <v>1347</v>
      </c>
      <c r="Z40" s="325">
        <v>312.9</v>
      </c>
      <c r="AA40" s="326"/>
      <c r="AB40" s="326"/>
      <c r="AC40" s="326"/>
      <c r="AD40" s="29" t="s">
        <v>163</v>
      </c>
    </row>
    <row r="41" spans="1:30" ht="19.5" customHeight="1">
      <c r="A41" s="2"/>
      <c r="B41" s="2"/>
      <c r="D41" s="2" t="s">
        <v>1317</v>
      </c>
      <c r="E41" s="2"/>
      <c r="F41" s="2"/>
      <c r="G41" s="2"/>
      <c r="H41" s="2"/>
      <c r="I41" s="2"/>
      <c r="J41" s="2"/>
      <c r="K41" s="2"/>
      <c r="L41" s="2"/>
      <c r="W41" s="20" t="s">
        <v>1318</v>
      </c>
      <c r="Y41" s="23" t="s">
        <v>1383</v>
      </c>
      <c r="Z41" s="330">
        <v>1831</v>
      </c>
      <c r="AA41" s="331"/>
      <c r="AB41" s="331"/>
      <c r="AC41" s="331"/>
      <c r="AD41" s="29" t="s">
        <v>1273</v>
      </c>
    </row>
    <row r="42" spans="1:30" ht="19.5" customHeight="1">
      <c r="A42" s="2"/>
      <c r="B42" s="2"/>
      <c r="D42" s="2" t="s">
        <v>1319</v>
      </c>
      <c r="E42" s="2"/>
      <c r="F42" s="2"/>
      <c r="G42" s="2"/>
      <c r="H42" s="2"/>
      <c r="I42" s="2"/>
      <c r="J42" s="2"/>
      <c r="K42" s="2"/>
      <c r="L42" s="2"/>
      <c r="W42" s="20" t="s">
        <v>1320</v>
      </c>
      <c r="Y42" s="23" t="s">
        <v>1345</v>
      </c>
      <c r="Z42" s="330">
        <v>1582</v>
      </c>
      <c r="AA42" s="331"/>
      <c r="AB42" s="331"/>
      <c r="AC42" s="331"/>
      <c r="AD42" s="29" t="s">
        <v>164</v>
      </c>
    </row>
    <row r="43" spans="1:29" ht="19.5" customHeight="1">
      <c r="A43" s="2"/>
      <c r="B43" s="2"/>
      <c r="D43" s="2" t="s">
        <v>1321</v>
      </c>
      <c r="E43" s="2"/>
      <c r="F43" s="2"/>
      <c r="G43" s="2"/>
      <c r="H43" s="2"/>
      <c r="I43" s="2"/>
      <c r="J43" s="2"/>
      <c r="K43" s="2"/>
      <c r="L43" s="2"/>
      <c r="AC43" s="92" t="s">
        <v>911</v>
      </c>
    </row>
    <row r="44" spans="1:30" ht="19.5" customHeight="1">
      <c r="A44" s="2"/>
      <c r="B44" s="2"/>
      <c r="D44" s="2"/>
      <c r="E44" s="2" t="s">
        <v>79</v>
      </c>
      <c r="F44" s="2"/>
      <c r="G44" s="2"/>
      <c r="H44" s="2"/>
      <c r="I44" s="2"/>
      <c r="J44" s="2"/>
      <c r="K44" s="2"/>
      <c r="L44" s="2"/>
      <c r="W44" s="20" t="s">
        <v>1322</v>
      </c>
      <c r="Z44" s="330">
        <v>1424</v>
      </c>
      <c r="AA44" s="330"/>
      <c r="AB44" s="330"/>
      <c r="AC44" s="330"/>
      <c r="AD44" s="29" t="s">
        <v>165</v>
      </c>
    </row>
    <row r="45" spans="1:30" ht="19.5" customHeight="1">
      <c r="A45" s="2"/>
      <c r="B45" s="2"/>
      <c r="D45" s="2"/>
      <c r="E45" s="2" t="s">
        <v>80</v>
      </c>
      <c r="F45" s="2"/>
      <c r="G45" s="2"/>
      <c r="H45" s="2"/>
      <c r="I45" s="2"/>
      <c r="J45" s="2"/>
      <c r="K45" s="2"/>
      <c r="L45" s="2"/>
      <c r="W45" s="20" t="s">
        <v>51</v>
      </c>
      <c r="Z45" s="330">
        <v>1282</v>
      </c>
      <c r="AA45" s="330"/>
      <c r="AB45" s="330"/>
      <c r="AC45" s="330"/>
      <c r="AD45" s="29" t="s">
        <v>156</v>
      </c>
    </row>
    <row r="46" spans="1:30" ht="19.5" customHeight="1">
      <c r="A46" s="2"/>
      <c r="B46" s="2"/>
      <c r="D46" s="2"/>
      <c r="E46" s="2" t="s">
        <v>894</v>
      </c>
      <c r="F46" s="2"/>
      <c r="G46" s="2"/>
      <c r="H46" s="2"/>
      <c r="I46" s="2"/>
      <c r="J46" s="2"/>
      <c r="K46" s="2"/>
      <c r="L46" s="2"/>
      <c r="W46" s="20" t="s">
        <v>52</v>
      </c>
      <c r="Y46" s="23" t="s">
        <v>1297</v>
      </c>
      <c r="Z46" s="330">
        <v>1099</v>
      </c>
      <c r="AA46" s="330"/>
      <c r="AB46" s="330"/>
      <c r="AC46" s="330"/>
      <c r="AD46" s="29" t="s">
        <v>155</v>
      </c>
    </row>
    <row r="47" spans="1:32" ht="19.5" customHeight="1">
      <c r="A47" s="2"/>
      <c r="B47" s="2"/>
      <c r="D47" s="2" t="s">
        <v>895</v>
      </c>
      <c r="E47" s="2"/>
      <c r="F47" s="2"/>
      <c r="G47" s="2"/>
      <c r="H47" s="2"/>
      <c r="I47" s="2"/>
      <c r="J47" s="2"/>
      <c r="K47" s="2"/>
      <c r="L47" s="2"/>
      <c r="W47" s="22" t="s">
        <v>43</v>
      </c>
      <c r="X47" s="22"/>
      <c r="Y47" s="23" t="s">
        <v>1347</v>
      </c>
      <c r="Z47" s="325">
        <v>2</v>
      </c>
      <c r="AA47" s="326"/>
      <c r="AB47" s="326"/>
      <c r="AC47" s="27" t="s">
        <v>1348</v>
      </c>
      <c r="AD47" s="39" t="s">
        <v>166</v>
      </c>
      <c r="AF47" s="29" t="s">
        <v>167</v>
      </c>
    </row>
    <row r="48" spans="1:44" ht="19.5" customHeight="1">
      <c r="A48" s="2"/>
      <c r="B48" s="2"/>
      <c r="D48" s="2" t="s">
        <v>84</v>
      </c>
      <c r="E48" s="2"/>
      <c r="F48" s="2"/>
      <c r="G48" s="2"/>
      <c r="H48" s="2"/>
      <c r="I48" s="2"/>
      <c r="J48" s="2"/>
      <c r="K48" s="2"/>
      <c r="L48" s="2"/>
      <c r="Z48" s="325">
        <v>5</v>
      </c>
      <c r="AA48" s="326"/>
      <c r="AB48" s="326"/>
      <c r="AC48" s="27" t="s">
        <v>53</v>
      </c>
      <c r="AR48" s="24"/>
    </row>
    <row r="49" spans="1:29" ht="19.5" customHeight="1">
      <c r="A49" s="2"/>
      <c r="B49" s="2"/>
      <c r="D49" s="2" t="s">
        <v>899</v>
      </c>
      <c r="E49" s="2"/>
      <c r="F49" s="2"/>
      <c r="G49" s="2"/>
      <c r="H49" s="2"/>
      <c r="I49" s="2"/>
      <c r="J49" s="2"/>
      <c r="K49" s="2"/>
      <c r="L49" s="2"/>
      <c r="W49" s="22" t="s">
        <v>54</v>
      </c>
      <c r="X49" s="22"/>
      <c r="Y49" s="23" t="s">
        <v>1345</v>
      </c>
      <c r="Z49" s="332">
        <v>0.003</v>
      </c>
      <c r="AA49" s="333"/>
      <c r="AB49" s="333"/>
      <c r="AC49" s="39" t="s">
        <v>55</v>
      </c>
    </row>
    <row r="50" spans="1:29" ht="19.5" customHeight="1">
      <c r="A50" s="2"/>
      <c r="B50" s="2"/>
      <c r="D50" s="2" t="s">
        <v>900</v>
      </c>
      <c r="E50" s="2"/>
      <c r="F50" s="2"/>
      <c r="G50" s="2"/>
      <c r="H50" s="2"/>
      <c r="I50" s="2"/>
      <c r="J50" s="2"/>
      <c r="K50" s="2"/>
      <c r="L50" s="2"/>
      <c r="W50" s="22" t="s">
        <v>56</v>
      </c>
      <c r="X50" s="22"/>
      <c r="Y50" s="23" t="s">
        <v>1343</v>
      </c>
      <c r="Z50" s="325">
        <v>0.1</v>
      </c>
      <c r="AA50" s="326"/>
      <c r="AB50" s="326"/>
      <c r="AC50" s="39" t="s">
        <v>57</v>
      </c>
    </row>
    <row r="51" spans="1:35" ht="19.5" customHeight="1">
      <c r="A51" s="2"/>
      <c r="C51" s="2" t="s">
        <v>901</v>
      </c>
      <c r="D51" s="2"/>
      <c r="E51" s="2"/>
      <c r="F51" s="2"/>
      <c r="G51" s="2"/>
      <c r="H51" s="2"/>
      <c r="I51" s="2"/>
      <c r="J51" s="2"/>
      <c r="K51" s="2"/>
      <c r="L51" s="2"/>
      <c r="AI51" s="12" t="s">
        <v>912</v>
      </c>
    </row>
    <row r="52" spans="1:44" ht="19.5" customHeight="1">
      <c r="A52" s="2"/>
      <c r="B52" s="2"/>
      <c r="D52" s="2" t="s">
        <v>902</v>
      </c>
      <c r="E52" s="2"/>
      <c r="F52" s="2"/>
      <c r="G52" s="2"/>
      <c r="H52" s="2"/>
      <c r="I52" s="2"/>
      <c r="J52" s="2"/>
      <c r="K52" s="2"/>
      <c r="L52" s="2"/>
      <c r="W52" s="334" t="s">
        <v>1105</v>
      </c>
      <c r="X52" s="334"/>
      <c r="Y52" s="334"/>
      <c r="AR52" s="24"/>
    </row>
    <row r="53" spans="1:29" ht="19.5" customHeight="1">
      <c r="A53" s="2"/>
      <c r="B53" s="2"/>
      <c r="D53" s="2" t="s">
        <v>1321</v>
      </c>
      <c r="E53" s="2"/>
      <c r="F53" s="2"/>
      <c r="G53" s="2"/>
      <c r="H53" s="2"/>
      <c r="I53" s="2"/>
      <c r="J53" s="2"/>
      <c r="K53" s="2"/>
      <c r="L53" s="2"/>
      <c r="W53" s="20" t="s">
        <v>58</v>
      </c>
      <c r="Y53" s="23" t="s">
        <v>1344</v>
      </c>
      <c r="Z53" s="330">
        <v>140</v>
      </c>
      <c r="AA53" s="331"/>
      <c r="AB53" s="331"/>
      <c r="AC53" s="29" t="s">
        <v>168</v>
      </c>
    </row>
    <row r="54" spans="1:29" ht="19.5" customHeight="1">
      <c r="A54" s="2"/>
      <c r="B54" s="2"/>
      <c r="D54" s="2" t="s">
        <v>1319</v>
      </c>
      <c r="E54" s="2"/>
      <c r="F54" s="2"/>
      <c r="G54" s="2"/>
      <c r="H54" s="2"/>
      <c r="I54" s="2"/>
      <c r="J54" s="2"/>
      <c r="K54" s="2"/>
      <c r="L54" s="2"/>
      <c r="W54" s="20" t="s">
        <v>59</v>
      </c>
      <c r="Y54" s="23" t="s">
        <v>1345</v>
      </c>
      <c r="Z54" s="330">
        <v>345</v>
      </c>
      <c r="AA54" s="330"/>
      <c r="AB54" s="330"/>
      <c r="AC54" s="29" t="s">
        <v>164</v>
      </c>
    </row>
    <row r="55" spans="1:32" ht="19.5" customHeight="1">
      <c r="A55" s="2"/>
      <c r="B55" s="2"/>
      <c r="D55" s="2" t="s">
        <v>895</v>
      </c>
      <c r="E55" s="2"/>
      <c r="F55" s="2"/>
      <c r="G55" s="2"/>
      <c r="H55" s="2"/>
      <c r="I55" s="2"/>
      <c r="J55" s="2"/>
      <c r="K55" s="2"/>
      <c r="L55" s="2"/>
      <c r="W55" s="22" t="s">
        <v>60</v>
      </c>
      <c r="X55" s="22"/>
      <c r="Y55" s="23" t="s">
        <v>1347</v>
      </c>
      <c r="Z55" s="325">
        <v>2</v>
      </c>
      <c r="AA55" s="326"/>
      <c r="AB55" s="326"/>
      <c r="AC55" s="27" t="s">
        <v>1348</v>
      </c>
      <c r="AD55" s="39" t="s">
        <v>166</v>
      </c>
      <c r="AF55" s="29" t="s">
        <v>167</v>
      </c>
    </row>
    <row r="56" spans="1:44" ht="19.5" customHeight="1">
      <c r="A56" s="25" t="s">
        <v>946</v>
      </c>
      <c r="B56" s="2"/>
      <c r="C56" s="2"/>
      <c r="D56" s="2"/>
      <c r="E56" s="2"/>
      <c r="F56" s="2"/>
      <c r="G56" s="2"/>
      <c r="H56" s="2"/>
      <c r="I56" s="2"/>
      <c r="J56" s="2"/>
      <c r="K56" s="2"/>
      <c r="L56" s="2"/>
      <c r="AE56" s="92" t="s">
        <v>61</v>
      </c>
      <c r="AR56" s="24"/>
    </row>
    <row r="57" spans="1:43" s="2" customFormat="1" ht="22.5" customHeight="1">
      <c r="A57" s="1"/>
      <c r="B57" s="2" t="s">
        <v>903</v>
      </c>
      <c r="H57" s="8" t="str">
        <f>IF(J58&gt;0.25,"( L  &gt; 0.25 m の場合)","( L  ≤ 0.25 mの場合)")</f>
        <v>( L  &gt; 0.25 m の場合)</v>
      </c>
      <c r="J57" s="1"/>
      <c r="L57" s="1"/>
      <c r="M57" s="1"/>
      <c r="N57" s="1"/>
      <c r="O57" s="1"/>
      <c r="Q57" s="9"/>
      <c r="R57" s="9"/>
      <c r="S57" s="10"/>
      <c r="U57" s="7"/>
      <c r="W57" s="9"/>
      <c r="Y57" s="11"/>
      <c r="Z57" s="92"/>
      <c r="AA57" s="4"/>
      <c r="AB57" s="4"/>
      <c r="AC57" s="4"/>
      <c r="AD57" s="4"/>
      <c r="AE57" s="4"/>
      <c r="AQ57" s="4"/>
    </row>
    <row r="58" spans="1:43" s="2" customFormat="1" ht="22.5" customHeight="1">
      <c r="A58" s="1"/>
      <c r="C58" s="2" t="s">
        <v>904</v>
      </c>
      <c r="G58" s="20"/>
      <c r="H58" s="2" t="s">
        <v>62</v>
      </c>
      <c r="J58" s="334">
        <v>1.547</v>
      </c>
      <c r="K58" s="333"/>
      <c r="L58" s="333"/>
      <c r="M58" s="20" t="s">
        <v>63</v>
      </c>
      <c r="N58" s="20"/>
      <c r="O58" s="20"/>
      <c r="Q58" s="2" t="s">
        <v>64</v>
      </c>
      <c r="R58" s="20"/>
      <c r="S58" s="20"/>
      <c r="T58" s="20"/>
      <c r="U58" s="20"/>
      <c r="V58" s="20"/>
      <c r="X58" s="335">
        <v>800</v>
      </c>
      <c r="Y58" s="331"/>
      <c r="Z58" s="331"/>
      <c r="AA58" s="27" t="s">
        <v>65</v>
      </c>
      <c r="AB58" s="27"/>
      <c r="AC58" s="4"/>
      <c r="AD58" s="4"/>
      <c r="AE58" s="4"/>
      <c r="AQ58" s="4"/>
    </row>
    <row r="59" spans="1:43" s="2" customFormat="1" ht="22.5" customHeight="1">
      <c r="A59" s="1"/>
      <c r="C59" s="8" t="str">
        <f>IF(J58&gt;0.25,"do = 0.9·(80·L + 210) =","do = 0.9·(280·L + 160) =")</f>
        <v>do = 0.9·(80·L + 210) =</v>
      </c>
      <c r="D59" s="1"/>
      <c r="E59" s="1"/>
      <c r="F59" s="1"/>
      <c r="G59" s="1"/>
      <c r="M59" s="26">
        <v>0.9</v>
      </c>
      <c r="N59" s="26"/>
      <c r="O59" s="14" t="s">
        <v>927</v>
      </c>
      <c r="P59" s="1" t="str">
        <f>IF(J58&gt;0.25,"{(80×"&amp;J58&amp;") + 210} = "&amp;ROUND(0.9*(80*J58+210),0)&amp;" mm &gt; 160 mm","{(280×"&amp;J58&amp;") + 160} = "&amp;ROUND(0.9*(280*J58+160),0)&amp;" mm &gt; 160 mm")</f>
        <v>{(80×1.547) + 210} = 300 mm &gt; 160 mm</v>
      </c>
      <c r="Z59" s="4"/>
      <c r="AA59" s="6"/>
      <c r="AB59" s="89"/>
      <c r="AC59" s="4"/>
      <c r="AD59" s="4"/>
      <c r="AE59" s="4"/>
      <c r="AQ59" s="4"/>
    </row>
    <row r="60" spans="1:43" s="2" customFormat="1" ht="22.5" customHeight="1">
      <c r="A60" s="1"/>
      <c r="C60" s="1" t="s">
        <v>66</v>
      </c>
      <c r="D60" s="1"/>
      <c r="E60" s="1"/>
      <c r="F60" s="1"/>
      <c r="I60" s="13">
        <f>AA61</f>
        <v>1.25</v>
      </c>
      <c r="J60" s="3"/>
      <c r="K60" s="14" t="s">
        <v>927</v>
      </c>
      <c r="L60" s="15">
        <v>1</v>
      </c>
      <c r="M60" s="3"/>
      <c r="N60" s="14" t="s">
        <v>927</v>
      </c>
      <c r="O60" s="13">
        <f>IF(J58&gt;0.25,ROUND(0.9*(80*J58+210),0),ROUND(0.9*(280*J58+160),0))</f>
        <v>300</v>
      </c>
      <c r="P60" s="3"/>
      <c r="Q60" s="3"/>
      <c r="R60" s="14" t="s">
        <v>926</v>
      </c>
      <c r="S60" s="13">
        <f>ROUND(I60*L60*O60,-1)</f>
        <v>380</v>
      </c>
      <c r="T60" s="3"/>
      <c r="U60" s="13"/>
      <c r="V60" s="1" t="s">
        <v>928</v>
      </c>
      <c r="X60" s="14" t="s">
        <v>67</v>
      </c>
      <c r="Z60" s="325">
        <v>38</v>
      </c>
      <c r="AA60" s="326"/>
      <c r="AB60" s="326"/>
      <c r="AC60" s="89" t="s">
        <v>905</v>
      </c>
      <c r="AD60" s="6"/>
      <c r="AE60" s="4"/>
      <c r="AG60" s="1" t="str">
        <f>IF(S60&lt;=Z60*10,"O.K.","N.G.")</f>
        <v>O.K.</v>
      </c>
      <c r="AH60" s="1"/>
      <c r="AQ60" s="4"/>
    </row>
    <row r="61" spans="1:58" s="2" customFormat="1" ht="22.5" customHeight="1">
      <c r="A61" s="1"/>
      <c r="C61" s="1" t="s">
        <v>68</v>
      </c>
      <c r="D61" s="1"/>
      <c r="G61" s="1" t="s">
        <v>906</v>
      </c>
      <c r="X61" s="1" t="s">
        <v>69</v>
      </c>
      <c r="Z61" s="4"/>
      <c r="AA61" s="336">
        <v>1.25</v>
      </c>
      <c r="AB61" s="337"/>
      <c r="AC61" s="4" t="s">
        <v>70</v>
      </c>
      <c r="AD61" s="338" t="s">
        <v>169</v>
      </c>
      <c r="AE61" s="104"/>
      <c r="AF61" s="3"/>
      <c r="AG61" s="13"/>
      <c r="AH61" s="13"/>
      <c r="AI61" s="13"/>
      <c r="AJ61" s="3"/>
      <c r="AK61" s="3"/>
      <c r="AL61" s="1" t="s">
        <v>71</v>
      </c>
      <c r="AO61" s="1"/>
      <c r="AP61" s="1"/>
      <c r="AQ61" s="6"/>
      <c r="AR61" s="17"/>
      <c r="AS61" s="1"/>
      <c r="AT61" s="1"/>
      <c r="AU61" s="1"/>
      <c r="AV61" s="1"/>
      <c r="AW61" s="1"/>
      <c r="AY61" s="1"/>
      <c r="BB61" s="1"/>
      <c r="BC61" s="1"/>
      <c r="BD61" s="1"/>
      <c r="BE61" s="1"/>
      <c r="BF61" s="7"/>
    </row>
    <row r="62" spans="1:58" s="2" customFormat="1" ht="22.5" customHeight="1">
      <c r="A62" s="1"/>
      <c r="C62" s="5"/>
      <c r="D62" s="1"/>
      <c r="E62" s="1"/>
      <c r="G62" s="1" t="s">
        <v>907</v>
      </c>
      <c r="AA62" s="6" t="s">
        <v>72</v>
      </c>
      <c r="AB62" s="4"/>
      <c r="AC62" s="4"/>
      <c r="AD62" s="4"/>
      <c r="AE62" s="4"/>
      <c r="AN62" s="1"/>
      <c r="AP62" s="1"/>
      <c r="AQ62" s="6"/>
      <c r="AR62" s="1"/>
      <c r="AS62" s="1"/>
      <c r="AT62" s="1"/>
      <c r="AU62" s="1"/>
      <c r="AV62" s="1"/>
      <c r="AW62" s="1"/>
      <c r="AX62" s="1"/>
      <c r="AY62" s="1"/>
      <c r="BA62" s="1"/>
      <c r="BB62" s="1"/>
      <c r="BC62" s="1"/>
      <c r="BD62" s="1"/>
      <c r="BE62" s="1"/>
      <c r="BF62" s="7"/>
    </row>
    <row r="63" spans="1:58" ht="19.5" customHeight="1">
      <c r="A63" s="2"/>
      <c r="B63" s="2" t="s">
        <v>908</v>
      </c>
      <c r="C63" s="2"/>
      <c r="D63" s="2"/>
      <c r="E63" s="2"/>
      <c r="F63" s="2"/>
      <c r="G63" s="5" t="s">
        <v>47</v>
      </c>
      <c r="H63" s="339" t="s">
        <v>170</v>
      </c>
      <c r="I63" s="333"/>
      <c r="J63" s="333"/>
      <c r="K63" s="2" t="s">
        <v>171</v>
      </c>
      <c r="AR63" s="2"/>
      <c r="AS63" s="2"/>
      <c r="AT63" s="2"/>
      <c r="AU63" s="2"/>
      <c r="AV63" s="2"/>
      <c r="AW63" s="2"/>
      <c r="AX63" s="2"/>
      <c r="AY63" s="2"/>
      <c r="AZ63" s="2"/>
      <c r="BA63" s="2"/>
      <c r="BB63" s="2"/>
      <c r="BC63" s="2"/>
      <c r="BD63" s="2"/>
      <c r="BE63" s="2"/>
      <c r="BF63" s="2"/>
    </row>
    <row r="64" spans="1:45" ht="19.5" customHeight="1">
      <c r="A64" s="2"/>
      <c r="B64" s="2"/>
      <c r="C64" s="2" t="s">
        <v>904</v>
      </c>
      <c r="D64" s="2"/>
      <c r="E64" s="2"/>
      <c r="F64" s="2"/>
      <c r="G64" s="2"/>
      <c r="H64" s="2" t="s">
        <v>62</v>
      </c>
      <c r="I64" s="2"/>
      <c r="J64" s="340">
        <v>5</v>
      </c>
      <c r="K64" s="333"/>
      <c r="L64" s="333"/>
      <c r="M64" s="20" t="s">
        <v>63</v>
      </c>
      <c r="AS64" s="2"/>
    </row>
    <row r="65" spans="1:35" ht="19.5" customHeight="1">
      <c r="A65" s="2"/>
      <c r="B65" s="2"/>
      <c r="C65" s="8" t="str">
        <f>IF(H63="単純版","do = 0.9·(40·L + 110) =",IF(H63="連続版","do = 0.9·(30·L + 110) =","ERROR"))</f>
        <v>do = 0.9·(40·L + 110) =</v>
      </c>
      <c r="D65" s="1"/>
      <c r="E65" s="1"/>
      <c r="F65" s="1"/>
      <c r="G65" s="1"/>
      <c r="H65" s="2"/>
      <c r="I65" s="2"/>
      <c r="J65" s="2"/>
      <c r="K65" s="2"/>
      <c r="L65" s="2"/>
      <c r="M65" s="1" t="str">
        <f>IF(H63="単純版","0.9×{(40×"&amp;J64&amp;") + 110} = "&amp;ROUND(0.9*(40*J64+110),0)&amp;" mm &gt; 160 mm",IF(H63="連続版","0.9×{(30×"&amp;J64&amp;") + 110} = "&amp;ROUND(0.9*(30*J64+110),0)&amp;" mm &gt; 160 mm","ERROR"))</f>
        <v>0.9×{(40×5) + 110} = 279 mm &gt; 160 mm</v>
      </c>
      <c r="N65" s="2"/>
      <c r="O65" s="2"/>
      <c r="P65" s="2"/>
      <c r="Q65" s="2"/>
      <c r="R65" s="2"/>
      <c r="S65" s="2"/>
      <c r="T65" s="2"/>
      <c r="U65" s="2"/>
      <c r="V65" s="2"/>
      <c r="W65" s="2"/>
      <c r="X65" s="2"/>
      <c r="Y65" s="2"/>
      <c r="Z65" s="4"/>
      <c r="AA65" s="4"/>
      <c r="AB65" s="4"/>
      <c r="AC65" s="4"/>
      <c r="AD65" s="4"/>
      <c r="AE65" s="4"/>
      <c r="AF65" s="2"/>
      <c r="AG65" s="1"/>
      <c r="AH65" s="1"/>
      <c r="AI65" s="1"/>
    </row>
    <row r="66" spans="1:34" ht="19.5" customHeight="1">
      <c r="A66" s="2"/>
      <c r="B66" s="2"/>
      <c r="C66" s="1" t="s">
        <v>73</v>
      </c>
      <c r="D66" s="1"/>
      <c r="E66" s="1"/>
      <c r="F66" s="1"/>
      <c r="G66" s="2"/>
      <c r="H66" s="2"/>
      <c r="I66" s="13">
        <f>AA61</f>
        <v>1.25</v>
      </c>
      <c r="J66" s="3"/>
      <c r="K66" s="14" t="s">
        <v>1385</v>
      </c>
      <c r="L66" s="15">
        <v>1</v>
      </c>
      <c r="M66" s="3"/>
      <c r="N66" s="14" t="s">
        <v>1385</v>
      </c>
      <c r="O66" s="13">
        <f>IF(H63="単純版",ROUND(0.9*(40*J64+110),0),IF(H63="連続版",ROUND(0.9*(30*J64+110),0),"ERROR"))</f>
        <v>279</v>
      </c>
      <c r="P66" s="3"/>
      <c r="Q66" s="3"/>
      <c r="R66" s="14" t="s">
        <v>1384</v>
      </c>
      <c r="S66" s="13">
        <f>ROUND(I66*L66*O66,-1)</f>
        <v>350</v>
      </c>
      <c r="T66" s="3"/>
      <c r="U66" s="13"/>
      <c r="V66" s="1" t="s">
        <v>74</v>
      </c>
      <c r="W66" s="2"/>
      <c r="X66" s="14" t="s">
        <v>75</v>
      </c>
      <c r="Y66" s="2"/>
      <c r="Z66" s="325">
        <v>30</v>
      </c>
      <c r="AA66" s="326"/>
      <c r="AB66" s="326"/>
      <c r="AC66" s="89" t="s">
        <v>905</v>
      </c>
      <c r="AD66" s="6"/>
      <c r="AE66" s="4"/>
      <c r="AF66" s="2"/>
      <c r="AG66" s="1" t="str">
        <f>IF(S66&lt;=Z66*10,"O.K.","N.G.")</f>
        <v>N.G.</v>
      </c>
      <c r="AH66" s="1"/>
    </row>
    <row r="67" spans="1:12" ht="19.5" customHeight="1">
      <c r="A67" s="2"/>
      <c r="B67" s="2"/>
      <c r="C67" s="2"/>
      <c r="D67" s="2"/>
      <c r="E67" s="2"/>
      <c r="F67" s="2"/>
      <c r="G67" s="2"/>
      <c r="H67" s="2"/>
      <c r="I67" s="2"/>
      <c r="J67" s="2"/>
      <c r="L67" s="25" t="s">
        <v>76</v>
      </c>
    </row>
    <row r="68" spans="1:12" ht="19.5" customHeight="1">
      <c r="A68" s="2"/>
      <c r="B68" s="2"/>
      <c r="C68" s="2"/>
      <c r="D68" s="2"/>
      <c r="E68" s="2"/>
      <c r="F68" s="2"/>
      <c r="G68" s="2"/>
      <c r="H68" s="2"/>
      <c r="I68" s="2"/>
      <c r="J68" s="2"/>
      <c r="L68" s="25"/>
    </row>
    <row r="69" spans="1:12" ht="19.5" customHeight="1">
      <c r="A69" s="2"/>
      <c r="B69" s="2"/>
      <c r="C69" s="2"/>
      <c r="D69" s="2"/>
      <c r="E69" s="2"/>
      <c r="F69" s="2"/>
      <c r="G69" s="2"/>
      <c r="H69" s="2"/>
      <c r="I69" s="2"/>
      <c r="J69" s="2"/>
      <c r="K69" s="2"/>
      <c r="L69" s="2"/>
    </row>
    <row r="70" spans="1:12" ht="19.5" customHeight="1">
      <c r="A70" s="2"/>
      <c r="B70" s="2"/>
      <c r="C70" s="2"/>
      <c r="D70" s="2"/>
      <c r="E70" s="2"/>
      <c r="F70" s="2"/>
      <c r="G70" s="2"/>
      <c r="H70" s="2"/>
      <c r="I70" s="2"/>
      <c r="J70" s="2"/>
      <c r="K70" s="2"/>
      <c r="L70" s="2"/>
    </row>
    <row r="71" spans="1:12" ht="19.5" customHeight="1">
      <c r="A71" s="2"/>
      <c r="B71" s="2"/>
      <c r="C71" s="2"/>
      <c r="D71" s="2"/>
      <c r="E71" s="2"/>
      <c r="F71" s="2"/>
      <c r="G71" s="2"/>
      <c r="H71" s="2"/>
      <c r="I71" s="2"/>
      <c r="J71" s="2"/>
      <c r="K71" s="2"/>
      <c r="L71" s="2"/>
    </row>
    <row r="72" spans="1:12" ht="19.5" customHeight="1">
      <c r="A72" s="2"/>
      <c r="B72" s="2"/>
      <c r="C72" s="2"/>
      <c r="D72" s="2"/>
      <c r="E72" s="2"/>
      <c r="F72" s="2"/>
      <c r="G72" s="2"/>
      <c r="H72" s="2"/>
      <c r="I72" s="2"/>
      <c r="J72" s="2"/>
      <c r="K72" s="2"/>
      <c r="L72" s="2"/>
    </row>
    <row r="73" spans="1:12" ht="19.5" customHeight="1">
      <c r="A73" s="2"/>
      <c r="B73" s="2"/>
      <c r="C73" s="2"/>
      <c r="D73" s="2"/>
      <c r="E73" s="2"/>
      <c r="F73" s="2"/>
      <c r="G73" s="2"/>
      <c r="H73" s="2"/>
      <c r="I73" s="2"/>
      <c r="J73" s="2"/>
      <c r="K73" s="2"/>
      <c r="L73" s="2"/>
    </row>
    <row r="74" spans="1:12" ht="19.5" customHeight="1">
      <c r="A74" s="2"/>
      <c r="B74" s="2"/>
      <c r="C74" s="2"/>
      <c r="D74" s="2"/>
      <c r="E74" s="2"/>
      <c r="F74" s="2"/>
      <c r="G74" s="2"/>
      <c r="H74" s="2"/>
      <c r="I74" s="2"/>
      <c r="J74" s="2"/>
      <c r="K74" s="2"/>
      <c r="L74" s="2"/>
    </row>
    <row r="75" spans="1:12" ht="19.5" customHeight="1">
      <c r="A75" s="2"/>
      <c r="B75" s="2"/>
      <c r="C75" s="2"/>
      <c r="D75" s="2"/>
      <c r="E75" s="2"/>
      <c r="F75" s="2"/>
      <c r="G75" s="2"/>
      <c r="H75" s="2"/>
      <c r="I75" s="2"/>
      <c r="J75" s="2"/>
      <c r="K75" s="2"/>
      <c r="L75" s="2"/>
    </row>
    <row r="76" spans="1:12" ht="19.5" customHeight="1">
      <c r="A76" s="2"/>
      <c r="B76" s="2"/>
      <c r="C76" s="2"/>
      <c r="D76" s="2"/>
      <c r="E76" s="2"/>
      <c r="F76" s="2"/>
      <c r="G76" s="2"/>
      <c r="H76" s="2"/>
      <c r="I76" s="2"/>
      <c r="J76" s="2"/>
      <c r="K76" s="2"/>
      <c r="L76" s="2"/>
    </row>
    <row r="77" spans="1:12" ht="19.5" customHeight="1">
      <c r="A77" s="2"/>
      <c r="B77" s="2"/>
      <c r="C77" s="2"/>
      <c r="D77" s="2"/>
      <c r="E77" s="2"/>
      <c r="F77" s="2"/>
      <c r="G77" s="2"/>
      <c r="H77" s="2"/>
      <c r="I77" s="2"/>
      <c r="J77" s="2"/>
      <c r="K77" s="2"/>
      <c r="L77" s="2"/>
    </row>
    <row r="78" spans="1:33" ht="19.5" customHeight="1">
      <c r="A78" s="2"/>
      <c r="B78" s="2"/>
      <c r="C78" s="2"/>
      <c r="D78" s="2"/>
      <c r="E78" s="2"/>
      <c r="F78" s="2"/>
      <c r="G78" s="2"/>
      <c r="H78" s="2"/>
      <c r="I78" s="2"/>
      <c r="J78" s="2"/>
      <c r="K78" s="2"/>
      <c r="L78" s="2"/>
      <c r="AA78" s="27" t="s">
        <v>77</v>
      </c>
      <c r="AG78" s="20" t="s">
        <v>914</v>
      </c>
    </row>
    <row r="79" spans="1:33" ht="19.5" customHeight="1">
      <c r="A79" s="2"/>
      <c r="B79" s="2"/>
      <c r="C79" s="2"/>
      <c r="D79" s="2"/>
      <c r="E79" s="2"/>
      <c r="F79" s="2"/>
      <c r="G79" s="2"/>
      <c r="H79" s="2"/>
      <c r="I79" s="2"/>
      <c r="J79" s="2"/>
      <c r="K79" s="2"/>
      <c r="L79" s="2"/>
      <c r="AG79" s="20" t="s">
        <v>82</v>
      </c>
    </row>
    <row r="80" spans="1:33" ht="19.5" customHeight="1">
      <c r="A80" s="2"/>
      <c r="B80" s="2"/>
      <c r="C80" s="2"/>
      <c r="D80" s="2"/>
      <c r="E80" s="2"/>
      <c r="F80" s="2"/>
      <c r="G80" s="2"/>
      <c r="H80" s="2"/>
      <c r="I80" s="2"/>
      <c r="J80" s="2"/>
      <c r="K80" s="2"/>
      <c r="L80" s="2"/>
      <c r="AA80" s="27" t="s">
        <v>78</v>
      </c>
      <c r="AG80" s="20" t="s">
        <v>913</v>
      </c>
    </row>
    <row r="81" spans="1:33" ht="19.5" customHeight="1">
      <c r="A81" s="2"/>
      <c r="B81" s="2"/>
      <c r="C81" s="2"/>
      <c r="D81" s="2"/>
      <c r="E81" s="2"/>
      <c r="F81" s="2"/>
      <c r="G81" s="2"/>
      <c r="H81" s="2"/>
      <c r="I81" s="2"/>
      <c r="J81" s="2"/>
      <c r="K81" s="2"/>
      <c r="L81" s="2"/>
      <c r="AG81" s="20" t="s">
        <v>83</v>
      </c>
    </row>
    <row r="82" spans="1:12" ht="19.5" customHeight="1">
      <c r="A82" s="2"/>
      <c r="B82" s="2"/>
      <c r="C82" s="2"/>
      <c r="D82" s="2"/>
      <c r="E82" s="2"/>
      <c r="F82" s="2"/>
      <c r="G82" s="2"/>
      <c r="H82" s="2"/>
      <c r="I82" s="2"/>
      <c r="J82" s="2"/>
      <c r="K82" s="2"/>
      <c r="L82" s="2"/>
    </row>
    <row r="83" spans="1:12" ht="19.5" customHeight="1">
      <c r="A83" s="2"/>
      <c r="B83" s="2"/>
      <c r="C83" s="2"/>
      <c r="D83" s="2"/>
      <c r="E83" s="2"/>
      <c r="F83" s="2"/>
      <c r="G83" s="2"/>
      <c r="H83" s="2"/>
      <c r="I83" s="2"/>
      <c r="J83" s="2"/>
      <c r="K83" s="2"/>
      <c r="L83" s="2"/>
    </row>
    <row r="84" spans="1:12" ht="19.5" customHeight="1">
      <c r="A84" s="2"/>
      <c r="B84" s="2"/>
      <c r="C84" s="2"/>
      <c r="D84" s="2"/>
      <c r="E84" s="2"/>
      <c r="F84" s="2"/>
      <c r="G84" s="2"/>
      <c r="H84" s="2"/>
      <c r="I84" s="2"/>
      <c r="J84" s="2"/>
      <c r="K84" s="2"/>
      <c r="L84" s="2"/>
    </row>
    <row r="85" spans="1:12" ht="19.5" customHeight="1">
      <c r="A85" s="2"/>
      <c r="B85" s="2"/>
      <c r="C85" s="2"/>
      <c r="D85" s="2"/>
      <c r="E85" s="2"/>
      <c r="F85" s="2"/>
      <c r="G85" s="2"/>
      <c r="H85" s="2"/>
      <c r="I85" s="2"/>
      <c r="J85" s="2"/>
      <c r="K85" s="2"/>
      <c r="L85" s="2"/>
    </row>
    <row r="86" spans="1:12" ht="19.5" customHeight="1">
      <c r="A86" s="2"/>
      <c r="B86" s="2"/>
      <c r="C86" s="2"/>
      <c r="D86" s="2"/>
      <c r="E86" s="2"/>
      <c r="F86" s="2"/>
      <c r="G86" s="2"/>
      <c r="H86" s="2"/>
      <c r="I86" s="2"/>
      <c r="J86" s="2"/>
      <c r="K86" s="2"/>
      <c r="L86" s="2"/>
    </row>
    <row r="87" spans="1:12" ht="19.5" customHeight="1">
      <c r="A87" s="2"/>
      <c r="B87" s="2"/>
      <c r="C87" s="2"/>
      <c r="D87" s="2"/>
      <c r="E87" s="2"/>
      <c r="F87" s="2"/>
      <c r="G87" s="2"/>
      <c r="H87" s="2"/>
      <c r="I87" s="2"/>
      <c r="J87" s="2"/>
      <c r="K87" s="2"/>
      <c r="L87" s="2"/>
    </row>
    <row r="88" spans="1:12" ht="19.5" customHeight="1">
      <c r="A88" s="2"/>
      <c r="B88" s="2"/>
      <c r="C88" s="2"/>
      <c r="D88" s="2"/>
      <c r="E88" s="2"/>
      <c r="F88" s="2"/>
      <c r="G88" s="2"/>
      <c r="H88" s="2"/>
      <c r="I88" s="2"/>
      <c r="J88" s="2"/>
      <c r="K88" s="2"/>
      <c r="L88" s="2"/>
    </row>
    <row r="89" spans="1:12" ht="19.5" customHeight="1">
      <c r="A89" s="2"/>
      <c r="B89" s="2"/>
      <c r="C89" s="2"/>
      <c r="D89" s="2"/>
      <c r="E89" s="2"/>
      <c r="F89" s="2"/>
      <c r="G89" s="2"/>
      <c r="H89" s="2"/>
      <c r="I89" s="2"/>
      <c r="J89" s="2"/>
      <c r="K89" s="2"/>
      <c r="L89" s="2"/>
    </row>
    <row r="90" spans="1:12" ht="19.5" customHeight="1">
      <c r="A90" s="2"/>
      <c r="B90" s="2"/>
      <c r="C90" s="2"/>
      <c r="D90" s="2"/>
      <c r="E90" s="2"/>
      <c r="F90" s="2"/>
      <c r="G90" s="2"/>
      <c r="H90" s="2"/>
      <c r="I90" s="2"/>
      <c r="J90" s="2"/>
      <c r="K90" s="2"/>
      <c r="L90" s="2"/>
    </row>
    <row r="91" spans="1:12" ht="19.5" customHeight="1">
      <c r="A91" s="2"/>
      <c r="B91" s="2"/>
      <c r="C91" s="2"/>
      <c r="D91" s="2"/>
      <c r="E91" s="2"/>
      <c r="F91" s="2"/>
      <c r="G91" s="2"/>
      <c r="H91" s="2"/>
      <c r="I91" s="2"/>
      <c r="J91" s="2"/>
      <c r="K91" s="2"/>
      <c r="L91" s="2"/>
    </row>
    <row r="92" spans="1:12" ht="19.5" customHeight="1">
      <c r="A92" s="2"/>
      <c r="B92" s="2"/>
      <c r="C92" s="2"/>
      <c r="D92" s="2"/>
      <c r="E92" s="2"/>
      <c r="F92" s="2"/>
      <c r="G92" s="2"/>
      <c r="H92" s="2"/>
      <c r="I92" s="2"/>
      <c r="J92" s="2"/>
      <c r="K92" s="2"/>
      <c r="L92" s="2"/>
    </row>
    <row r="93" spans="1:56" ht="19.5" customHeight="1">
      <c r="A93" s="2"/>
      <c r="B93" s="2"/>
      <c r="C93" s="2"/>
      <c r="D93" s="2"/>
      <c r="E93" s="2"/>
      <c r="F93" s="2"/>
      <c r="G93" s="2"/>
      <c r="H93" s="2"/>
      <c r="I93" s="2"/>
      <c r="J93" s="2"/>
      <c r="K93" s="2"/>
      <c r="L93" s="2"/>
      <c r="W93" s="21"/>
      <c r="X93" s="21"/>
      <c r="Y93" s="21"/>
      <c r="Z93" s="29"/>
      <c r="AA93" s="29"/>
      <c r="AB93" s="29"/>
      <c r="AC93" s="29"/>
      <c r="AX93" s="21"/>
      <c r="AY93" s="21"/>
      <c r="AZ93" s="21"/>
      <c r="BA93" s="21"/>
      <c r="BB93" s="21"/>
      <c r="BC93" s="21"/>
      <c r="BD93" s="21"/>
    </row>
    <row r="94" spans="1:56" ht="19.5" customHeight="1">
      <c r="A94" s="2"/>
      <c r="B94" s="2"/>
      <c r="C94" s="2"/>
      <c r="D94" s="2"/>
      <c r="E94" s="2"/>
      <c r="F94" s="2"/>
      <c r="G94" s="2"/>
      <c r="H94" s="2"/>
      <c r="I94" s="2"/>
      <c r="J94" s="2"/>
      <c r="K94" s="2"/>
      <c r="L94" s="2"/>
      <c r="W94" s="21"/>
      <c r="X94" s="21"/>
      <c r="Y94" s="21"/>
      <c r="Z94" s="29"/>
      <c r="AA94" s="29"/>
      <c r="AB94" s="29"/>
      <c r="AC94" s="29"/>
      <c r="AX94" s="21"/>
      <c r="AY94" s="21"/>
      <c r="AZ94" s="21"/>
      <c r="BA94" s="21"/>
      <c r="BB94" s="21"/>
      <c r="BC94" s="21"/>
      <c r="BD94" s="21"/>
    </row>
    <row r="95" spans="1:56" ht="19.5" customHeight="1">
      <c r="A95" s="2"/>
      <c r="B95" s="2"/>
      <c r="C95" s="2"/>
      <c r="D95" s="2"/>
      <c r="E95" s="2"/>
      <c r="F95" s="2"/>
      <c r="G95" s="2"/>
      <c r="H95" s="2"/>
      <c r="I95" s="2"/>
      <c r="J95" s="2"/>
      <c r="K95" s="2"/>
      <c r="L95" s="2"/>
      <c r="AX95" s="21"/>
      <c r="AY95" s="21"/>
      <c r="AZ95" s="21"/>
      <c r="BA95" s="21"/>
      <c r="BB95" s="21"/>
      <c r="BC95" s="21"/>
      <c r="BD95" s="21"/>
    </row>
    <row r="96" spans="1:56" ht="19.5" customHeight="1">
      <c r="A96" s="2"/>
      <c r="B96" s="2"/>
      <c r="C96" s="2"/>
      <c r="D96" s="2"/>
      <c r="E96" s="2"/>
      <c r="F96" s="2"/>
      <c r="G96" s="2"/>
      <c r="H96" s="2"/>
      <c r="I96" s="2"/>
      <c r="J96" s="2"/>
      <c r="K96" s="2"/>
      <c r="L96" s="2"/>
      <c r="AX96" s="21"/>
      <c r="AY96" s="21"/>
      <c r="AZ96" s="21"/>
      <c r="BA96" s="21"/>
      <c r="BB96" s="21"/>
      <c r="BC96" s="21"/>
      <c r="BD96" s="21"/>
    </row>
    <row r="97" spans="1:56" ht="19.5" customHeight="1">
      <c r="A97" s="2"/>
      <c r="B97" s="2"/>
      <c r="C97" s="2"/>
      <c r="D97" s="2"/>
      <c r="E97" s="2"/>
      <c r="F97" s="2"/>
      <c r="G97" s="2"/>
      <c r="H97" s="2"/>
      <c r="I97" s="2"/>
      <c r="J97" s="2"/>
      <c r="K97" s="2"/>
      <c r="L97" s="2"/>
      <c r="AX97" s="21"/>
      <c r="AY97" s="21"/>
      <c r="AZ97" s="21"/>
      <c r="BA97" s="21"/>
      <c r="BB97" s="21"/>
      <c r="BC97" s="21"/>
      <c r="BD97" s="21"/>
    </row>
    <row r="98" spans="1:56" ht="19.5" customHeight="1">
      <c r="A98" s="2"/>
      <c r="B98" s="2"/>
      <c r="C98" s="2"/>
      <c r="D98" s="2"/>
      <c r="E98" s="2"/>
      <c r="F98" s="2"/>
      <c r="G98" s="2"/>
      <c r="H98" s="2"/>
      <c r="I98" s="2"/>
      <c r="J98" s="2"/>
      <c r="K98" s="2"/>
      <c r="L98" s="2"/>
      <c r="W98" s="21"/>
      <c r="AX98" s="21"/>
      <c r="AY98" s="21"/>
      <c r="AZ98" s="21"/>
      <c r="BA98" s="21"/>
      <c r="BB98" s="21"/>
      <c r="BC98" s="21"/>
      <c r="BD98" s="21"/>
    </row>
    <row r="99" spans="1:56" ht="19.5" customHeight="1">
      <c r="A99" s="2"/>
      <c r="B99" s="2"/>
      <c r="C99" s="2"/>
      <c r="D99" s="2"/>
      <c r="E99" s="2"/>
      <c r="F99" s="2"/>
      <c r="G99" s="2"/>
      <c r="H99" s="2"/>
      <c r="I99" s="2"/>
      <c r="J99" s="2"/>
      <c r="K99" s="2"/>
      <c r="L99" s="2"/>
      <c r="W99" s="21"/>
      <c r="AX99" s="21"/>
      <c r="AY99" s="21"/>
      <c r="AZ99" s="21"/>
      <c r="BA99" s="21"/>
      <c r="BB99" s="21"/>
      <c r="BC99" s="21"/>
      <c r="BD99" s="21"/>
    </row>
    <row r="100" spans="1:56" ht="19.5" customHeight="1">
      <c r="A100" s="2"/>
      <c r="B100" s="2"/>
      <c r="C100" s="2"/>
      <c r="D100" s="2"/>
      <c r="E100" s="2"/>
      <c r="F100" s="2"/>
      <c r="G100" s="2"/>
      <c r="H100" s="2"/>
      <c r="I100" s="2"/>
      <c r="J100" s="2"/>
      <c r="K100" s="2"/>
      <c r="L100" s="2"/>
      <c r="AX100" s="21"/>
      <c r="AY100" s="21"/>
      <c r="AZ100" s="21"/>
      <c r="BA100" s="21"/>
      <c r="BB100" s="21"/>
      <c r="BC100" s="21"/>
      <c r="BD100" s="21"/>
    </row>
  </sheetData>
  <mergeCells count="54">
    <mergeCell ref="W39:X39"/>
    <mergeCell ref="W52:Y52"/>
    <mergeCell ref="D17:K17"/>
    <mergeCell ref="P13:AN13"/>
    <mergeCell ref="L13:O13"/>
    <mergeCell ref="P14:AN14"/>
    <mergeCell ref="P15:AN15"/>
    <mergeCell ref="L14:O14"/>
    <mergeCell ref="P16:AN16"/>
    <mergeCell ref="L17:AN17"/>
    <mergeCell ref="L15:O15"/>
    <mergeCell ref="L16:O16"/>
    <mergeCell ref="D15:K15"/>
    <mergeCell ref="D16:K16"/>
    <mergeCell ref="D13:K13"/>
    <mergeCell ref="D14:K14"/>
    <mergeCell ref="D10:K10"/>
    <mergeCell ref="L11:O11"/>
    <mergeCell ref="L12:O12"/>
    <mergeCell ref="D11:K11"/>
    <mergeCell ref="D12:K12"/>
    <mergeCell ref="L10:AN10"/>
    <mergeCell ref="P11:AN11"/>
    <mergeCell ref="P12:AN12"/>
    <mergeCell ref="Z23:AB23"/>
    <mergeCell ref="Z24:AB24"/>
    <mergeCell ref="Z26:AB26"/>
    <mergeCell ref="Z27:AB27"/>
    <mergeCell ref="Z29:AB29"/>
    <mergeCell ref="Z30:AB30"/>
    <mergeCell ref="Z34:AB34"/>
    <mergeCell ref="Z35:AB35"/>
    <mergeCell ref="Z36:AB36"/>
    <mergeCell ref="Z37:AB37"/>
    <mergeCell ref="Z40:AC40"/>
    <mergeCell ref="Z41:AC41"/>
    <mergeCell ref="Z42:AC42"/>
    <mergeCell ref="Z44:AC44"/>
    <mergeCell ref="Z45:AC45"/>
    <mergeCell ref="Z46:AC46"/>
    <mergeCell ref="Z47:AB47"/>
    <mergeCell ref="Z48:AB48"/>
    <mergeCell ref="Z49:AB49"/>
    <mergeCell ref="Z50:AB50"/>
    <mergeCell ref="Z53:AB53"/>
    <mergeCell ref="Z54:AB54"/>
    <mergeCell ref="Z55:AB55"/>
    <mergeCell ref="J58:L58"/>
    <mergeCell ref="X58:Z58"/>
    <mergeCell ref="Z66:AB66"/>
    <mergeCell ref="Z60:AB60"/>
    <mergeCell ref="AA61:AB61"/>
    <mergeCell ref="H63:J63"/>
    <mergeCell ref="J64:L64"/>
  </mergeCells>
  <printOptions/>
  <pageMargins left="0.75" right="0.75" top="1" bottom="1" header="0.5" footer="0.5"/>
  <pageSetup horizontalDpi="300" verticalDpi="300" orientation="portrait" paperSize="9" r:id="rId3"/>
  <rowBreaks count="1" manualBreakCount="1">
    <brk id="66" max="41" man="1"/>
  </rowBreaks>
  <drawing r:id="rId2"/>
  <legacyDrawing r:id="rId1"/>
</worksheet>
</file>

<file path=xl/worksheets/sheet3.xml><?xml version="1.0" encoding="utf-8"?>
<worksheet xmlns="http://schemas.openxmlformats.org/spreadsheetml/2006/main" xmlns:r="http://schemas.openxmlformats.org/officeDocument/2006/relationships">
  <sheetPr codeName="Sheet9"/>
  <dimension ref="A1:CK1261"/>
  <sheetViews>
    <sheetView showGridLines="0" zoomScaleSheetLayoutView="100" workbookViewId="0" topLeftCell="A105">
      <selection activeCell="A27" sqref="A1:IV16384"/>
    </sheetView>
  </sheetViews>
  <sheetFormatPr defaultColWidth="8.88671875" defaultRowHeight="19.5" customHeight="1"/>
  <cols>
    <col min="1" max="33" width="1.77734375" style="27" customWidth="1"/>
    <col min="34" max="42" width="1.77734375" style="29" customWidth="1"/>
    <col min="43" max="76" width="1.77734375" style="27" customWidth="1"/>
    <col min="77" max="16384" width="1.77734375" style="20" customWidth="1"/>
  </cols>
  <sheetData>
    <row r="1" spans="1:56" ht="19.5" customHeight="1">
      <c r="A1" s="202" t="s">
        <v>172</v>
      </c>
      <c r="B1" s="4"/>
      <c r="C1" s="4"/>
      <c r="D1" s="4"/>
      <c r="E1" s="4"/>
      <c r="F1" s="4"/>
      <c r="G1" s="4"/>
      <c r="H1" s="4"/>
      <c r="I1" s="4"/>
      <c r="J1" s="4"/>
      <c r="K1" s="4"/>
      <c r="L1" s="4"/>
      <c r="AX1" s="29"/>
      <c r="AY1" s="29"/>
      <c r="AZ1" s="29"/>
      <c r="BA1" s="29"/>
      <c r="BB1" s="29"/>
      <c r="BC1" s="29"/>
      <c r="BD1" s="29"/>
    </row>
    <row r="2" spans="1:56" ht="19.5" customHeight="1">
      <c r="A2" s="4"/>
      <c r="B2" s="341" t="s">
        <v>173</v>
      </c>
      <c r="C2" s="4"/>
      <c r="D2" s="4"/>
      <c r="E2" s="4"/>
      <c r="F2" s="4"/>
      <c r="G2" s="4"/>
      <c r="H2" s="4"/>
      <c r="I2" s="4"/>
      <c r="J2" s="4"/>
      <c r="K2" s="4"/>
      <c r="L2" s="4"/>
      <c r="AR2" s="36"/>
      <c r="AX2" s="29"/>
      <c r="AY2" s="29"/>
      <c r="AZ2" s="29"/>
      <c r="BA2" s="29"/>
      <c r="BB2" s="29"/>
      <c r="BC2" s="29"/>
      <c r="BD2" s="29"/>
    </row>
    <row r="3" spans="1:56" ht="19.5" customHeight="1">
      <c r="A3" s="4"/>
      <c r="B3" s="4"/>
      <c r="C3" s="4"/>
      <c r="D3" s="4"/>
      <c r="F3" s="4"/>
      <c r="G3" s="4"/>
      <c r="H3" s="4"/>
      <c r="I3" s="4"/>
      <c r="J3" s="4"/>
      <c r="K3" s="4"/>
      <c r="L3" s="4"/>
      <c r="AR3" s="36"/>
      <c r="AX3" s="29"/>
      <c r="AY3" s="29"/>
      <c r="AZ3" s="29"/>
      <c r="BA3" s="29"/>
      <c r="BB3" s="29"/>
      <c r="BC3" s="29"/>
      <c r="BD3" s="29"/>
    </row>
    <row r="4" spans="1:56" ht="19.5" customHeight="1">
      <c r="A4" s="4"/>
      <c r="B4" s="4"/>
      <c r="C4" s="4"/>
      <c r="D4" s="4"/>
      <c r="E4" s="4"/>
      <c r="F4" s="4"/>
      <c r="G4" s="4"/>
      <c r="H4" s="4"/>
      <c r="I4" s="4"/>
      <c r="J4" s="4"/>
      <c r="K4" s="4"/>
      <c r="L4" s="4"/>
      <c r="AR4" s="36"/>
      <c r="AX4" s="29"/>
      <c r="AY4" s="29"/>
      <c r="AZ4" s="29"/>
      <c r="BA4" s="29"/>
      <c r="BB4" s="29"/>
      <c r="BC4" s="29"/>
      <c r="BD4" s="29"/>
    </row>
    <row r="5" spans="1:56" ht="19.5" customHeight="1">
      <c r="A5" s="4"/>
      <c r="B5" s="4"/>
      <c r="C5" s="4"/>
      <c r="D5" s="4"/>
      <c r="E5" s="4"/>
      <c r="F5" s="4"/>
      <c r="G5" s="4"/>
      <c r="H5" s="4"/>
      <c r="I5" s="4"/>
      <c r="J5" s="4"/>
      <c r="K5" s="4"/>
      <c r="L5" s="4"/>
      <c r="AX5" s="29"/>
      <c r="AY5" s="29"/>
      <c r="AZ5" s="29"/>
      <c r="BA5" s="29"/>
      <c r="BB5" s="29"/>
      <c r="BC5" s="29"/>
      <c r="BD5" s="29"/>
    </row>
    <row r="6" spans="1:56" ht="19.5" customHeight="1">
      <c r="A6" s="4"/>
      <c r="B6" s="4"/>
      <c r="C6" s="4"/>
      <c r="D6" s="4"/>
      <c r="E6" s="4"/>
      <c r="F6" s="4"/>
      <c r="G6" s="4"/>
      <c r="H6" s="4"/>
      <c r="I6" s="4"/>
      <c r="J6" s="4"/>
      <c r="K6" s="4"/>
      <c r="L6" s="4"/>
      <c r="AX6" s="29"/>
      <c r="AY6" s="29"/>
      <c r="AZ6" s="29"/>
      <c r="BA6" s="29"/>
      <c r="BB6" s="29"/>
      <c r="BC6" s="29"/>
      <c r="BD6" s="29"/>
    </row>
    <row r="7" spans="1:56" ht="19.5" customHeight="1">
      <c r="A7" s="4"/>
      <c r="B7" s="4"/>
      <c r="C7" s="4"/>
      <c r="D7" s="4"/>
      <c r="E7" s="4"/>
      <c r="F7" s="4"/>
      <c r="G7" s="4"/>
      <c r="H7" s="4"/>
      <c r="I7" s="4"/>
      <c r="J7" s="4"/>
      <c r="K7" s="4"/>
      <c r="L7" s="4"/>
      <c r="AX7" s="29"/>
      <c r="AY7" s="29"/>
      <c r="AZ7" s="29"/>
      <c r="BA7" s="29"/>
      <c r="BB7" s="29"/>
      <c r="BC7" s="29"/>
      <c r="BD7" s="29"/>
    </row>
    <row r="8" spans="1:56" ht="19.5" customHeight="1">
      <c r="A8" s="4"/>
      <c r="B8" s="4"/>
      <c r="C8" s="4"/>
      <c r="D8" s="4"/>
      <c r="E8" s="4"/>
      <c r="F8" s="4"/>
      <c r="G8" s="4"/>
      <c r="H8" s="4"/>
      <c r="I8" s="4"/>
      <c r="J8" s="4"/>
      <c r="K8" s="4"/>
      <c r="L8" s="4"/>
      <c r="AX8" s="29"/>
      <c r="AY8" s="29"/>
      <c r="AZ8" s="29"/>
      <c r="BA8" s="29"/>
      <c r="BB8" s="29"/>
      <c r="BC8" s="29"/>
      <c r="BD8" s="29"/>
    </row>
    <row r="9" spans="1:56" ht="19.5" customHeight="1">
      <c r="A9" s="4"/>
      <c r="B9" s="4"/>
      <c r="C9" s="4"/>
      <c r="D9" s="4"/>
      <c r="E9" s="4"/>
      <c r="F9" s="4"/>
      <c r="G9" s="4"/>
      <c r="H9" s="4"/>
      <c r="I9" s="4"/>
      <c r="J9" s="4"/>
      <c r="K9" s="4"/>
      <c r="L9" s="4"/>
      <c r="AX9" s="29"/>
      <c r="AY9" s="29"/>
      <c r="AZ9" s="29"/>
      <c r="BA9" s="29"/>
      <c r="BB9" s="29"/>
      <c r="BC9" s="29"/>
      <c r="BD9" s="29"/>
    </row>
    <row r="10" spans="1:56" ht="19.5" customHeight="1">
      <c r="A10" s="4"/>
      <c r="B10" s="4"/>
      <c r="C10" s="4"/>
      <c r="D10" s="4"/>
      <c r="E10" s="4"/>
      <c r="F10" s="4"/>
      <c r="G10" s="4"/>
      <c r="H10" s="4"/>
      <c r="I10" s="4"/>
      <c r="J10" s="4"/>
      <c r="K10" s="4"/>
      <c r="L10" s="4"/>
      <c r="AX10" s="29"/>
      <c r="AY10" s="29"/>
      <c r="AZ10" s="29"/>
      <c r="BA10" s="29"/>
      <c r="BB10" s="29"/>
      <c r="BC10" s="29"/>
      <c r="BD10" s="29"/>
    </row>
    <row r="11" spans="1:56" ht="19.5" customHeight="1">
      <c r="A11" s="4"/>
      <c r="B11" s="4"/>
      <c r="C11" s="4"/>
      <c r="D11" s="4"/>
      <c r="E11" s="4"/>
      <c r="F11" s="4"/>
      <c r="G11" s="4"/>
      <c r="H11" s="4"/>
      <c r="I11" s="4"/>
      <c r="J11" s="4"/>
      <c r="K11" s="4"/>
      <c r="L11" s="4"/>
      <c r="AX11" s="29"/>
      <c r="AY11" s="29"/>
      <c r="AZ11" s="29"/>
      <c r="BA11" s="29"/>
      <c r="BB11" s="29"/>
      <c r="BC11" s="29"/>
      <c r="BD11" s="29"/>
    </row>
    <row r="12" spans="1:56" ht="19.5" customHeight="1">
      <c r="A12" s="4"/>
      <c r="B12" s="4"/>
      <c r="C12" s="4"/>
      <c r="D12" s="4"/>
      <c r="E12" s="4"/>
      <c r="F12" s="4"/>
      <c r="G12" s="4"/>
      <c r="H12" s="4"/>
      <c r="I12" s="4"/>
      <c r="J12" s="4"/>
      <c r="K12" s="4"/>
      <c r="L12" s="4"/>
      <c r="AX12" s="29"/>
      <c r="AY12" s="29"/>
      <c r="AZ12" s="29"/>
      <c r="BA12" s="29"/>
      <c r="BB12" s="29"/>
      <c r="BC12" s="29"/>
      <c r="BD12" s="29"/>
    </row>
    <row r="13" spans="1:56" ht="19.5" customHeight="1">
      <c r="A13" s="4"/>
      <c r="B13" s="4"/>
      <c r="C13" s="4"/>
      <c r="D13" s="4"/>
      <c r="E13" s="4"/>
      <c r="F13" s="4"/>
      <c r="G13" s="4"/>
      <c r="H13" s="4"/>
      <c r="I13" s="4"/>
      <c r="J13" s="4"/>
      <c r="K13" s="4"/>
      <c r="L13" s="4"/>
      <c r="AX13" s="29"/>
      <c r="AY13" s="29"/>
      <c r="AZ13" s="29"/>
      <c r="BA13" s="29"/>
      <c r="BB13" s="29"/>
      <c r="BC13" s="29"/>
      <c r="BD13" s="29"/>
    </row>
    <row r="14" spans="1:56" ht="19.5" customHeight="1">
      <c r="A14" s="4"/>
      <c r="B14" s="4"/>
      <c r="C14" s="4"/>
      <c r="D14" s="4"/>
      <c r="E14" s="4"/>
      <c r="F14" s="4"/>
      <c r="G14" s="4"/>
      <c r="H14" s="4"/>
      <c r="I14" s="4"/>
      <c r="J14" s="4"/>
      <c r="K14" s="4"/>
      <c r="L14" s="4"/>
      <c r="AX14" s="29"/>
      <c r="AY14" s="29"/>
      <c r="AZ14" s="29"/>
      <c r="BA14" s="29"/>
      <c r="BB14" s="29"/>
      <c r="BC14" s="29"/>
      <c r="BD14" s="29"/>
    </row>
    <row r="15" spans="1:56" ht="19.5" customHeight="1">
      <c r="A15" s="4"/>
      <c r="B15" s="4"/>
      <c r="C15" s="4"/>
      <c r="D15" s="4"/>
      <c r="E15" s="4"/>
      <c r="F15" s="4"/>
      <c r="G15" s="4"/>
      <c r="H15" s="4"/>
      <c r="I15" s="4"/>
      <c r="J15" s="4"/>
      <c r="K15" s="4"/>
      <c r="L15" s="4"/>
      <c r="AX15" s="29"/>
      <c r="AY15" s="29"/>
      <c r="AZ15" s="29"/>
      <c r="BA15" s="29"/>
      <c r="BB15" s="29"/>
      <c r="BC15" s="29"/>
      <c r="BD15" s="29"/>
    </row>
    <row r="16" spans="2:17" ht="19.5" customHeight="1">
      <c r="B16" s="4"/>
      <c r="C16" s="4"/>
      <c r="D16" s="4"/>
      <c r="E16" s="4"/>
      <c r="F16" s="4"/>
      <c r="G16" s="4"/>
      <c r="H16" s="4"/>
      <c r="I16" s="4"/>
      <c r="J16" s="4"/>
      <c r="K16" s="4"/>
      <c r="L16" s="4"/>
      <c r="Q16" s="92"/>
    </row>
    <row r="17" spans="2:12" ht="19.5" customHeight="1">
      <c r="B17" s="4" t="s">
        <v>1237</v>
      </c>
      <c r="D17" s="4"/>
      <c r="E17" s="4"/>
      <c r="F17" s="4"/>
      <c r="G17" s="4"/>
      <c r="H17" s="4"/>
      <c r="I17" s="4"/>
      <c r="J17" s="4"/>
      <c r="K17" s="4"/>
      <c r="L17" s="4"/>
    </row>
    <row r="18" spans="1:12" ht="19.5" customHeight="1">
      <c r="A18" s="4"/>
      <c r="C18" s="4" t="s">
        <v>1238</v>
      </c>
      <c r="D18" s="4"/>
      <c r="E18" s="4"/>
      <c r="F18" s="4"/>
      <c r="G18" s="4"/>
      <c r="H18" s="4"/>
      <c r="I18" s="4"/>
      <c r="J18" s="4"/>
      <c r="K18" s="4"/>
      <c r="L18" s="4"/>
    </row>
    <row r="19" spans="1:12" ht="19.5" customHeight="1">
      <c r="A19" s="4" t="s">
        <v>989</v>
      </c>
      <c r="D19" s="4" t="s">
        <v>1239</v>
      </c>
      <c r="E19" s="4"/>
      <c r="F19" s="4"/>
      <c r="G19" s="4"/>
      <c r="H19" s="4"/>
      <c r="I19" s="4"/>
      <c r="J19" s="4"/>
      <c r="K19" s="4"/>
      <c r="L19" s="4"/>
    </row>
    <row r="20" spans="1:12" ht="19.5" customHeight="1">
      <c r="A20" s="4"/>
      <c r="C20" s="4"/>
      <c r="D20" s="4"/>
      <c r="E20" s="4" t="s">
        <v>1240</v>
      </c>
      <c r="G20" s="4"/>
      <c r="H20" s="4"/>
      <c r="I20" s="4"/>
      <c r="J20" s="4"/>
      <c r="K20" s="4"/>
      <c r="L20" s="4"/>
    </row>
    <row r="21" spans="1:12" ht="19.5" customHeight="1">
      <c r="A21" s="4"/>
      <c r="C21" s="4"/>
      <c r="D21" s="4"/>
      <c r="F21" s="4" t="s">
        <v>1241</v>
      </c>
      <c r="G21" s="4"/>
      <c r="H21" s="4"/>
      <c r="I21" s="4"/>
      <c r="J21" s="4"/>
      <c r="K21" s="4"/>
      <c r="L21" s="4"/>
    </row>
    <row r="22" spans="1:12" ht="19.5" customHeight="1">
      <c r="A22" s="4"/>
      <c r="C22" s="4"/>
      <c r="D22" s="4"/>
      <c r="E22" s="4"/>
      <c r="F22" s="4" t="s">
        <v>1242</v>
      </c>
      <c r="G22" s="4"/>
      <c r="H22" s="4"/>
      <c r="I22" s="4"/>
      <c r="J22" s="4"/>
      <c r="K22" s="4"/>
      <c r="L22" s="4"/>
    </row>
    <row r="23" spans="1:12" ht="19.5" customHeight="1">
      <c r="A23" s="4"/>
      <c r="C23" s="4"/>
      <c r="D23" s="4"/>
      <c r="E23" s="4"/>
      <c r="F23" s="4"/>
      <c r="G23" s="4"/>
      <c r="H23" s="4"/>
      <c r="I23" s="4"/>
      <c r="J23" s="4"/>
      <c r="K23" s="4"/>
      <c r="L23" s="4"/>
    </row>
    <row r="24" spans="1:44" ht="19.5" customHeight="1">
      <c r="A24" s="4"/>
      <c r="C24" s="4"/>
      <c r="D24" s="4" t="s">
        <v>1243</v>
      </c>
      <c r="E24" s="4"/>
      <c r="F24" s="4"/>
      <c r="G24" s="4"/>
      <c r="H24" s="4"/>
      <c r="I24" s="4"/>
      <c r="J24" s="4"/>
      <c r="K24" s="4"/>
      <c r="L24" s="4"/>
      <c r="AR24" s="36"/>
    </row>
    <row r="25" spans="1:44" ht="19.5" customHeight="1">
      <c r="A25" s="4"/>
      <c r="B25" s="4"/>
      <c r="C25" s="4"/>
      <c r="D25" s="4" t="s">
        <v>990</v>
      </c>
      <c r="F25" s="4"/>
      <c r="G25" s="4"/>
      <c r="H25" s="4"/>
      <c r="I25" s="4"/>
      <c r="J25" s="4"/>
      <c r="K25" s="4"/>
      <c r="L25" s="4"/>
      <c r="AR25" s="93"/>
    </row>
    <row r="26" spans="1:12" ht="19.5" customHeight="1">
      <c r="A26" s="4"/>
      <c r="B26" s="4"/>
      <c r="C26" s="4"/>
      <c r="D26" s="4"/>
      <c r="E26" s="4"/>
      <c r="F26" s="4"/>
      <c r="G26" s="4"/>
      <c r="H26" s="4"/>
      <c r="I26" s="4"/>
      <c r="J26" s="4"/>
      <c r="K26" s="4"/>
      <c r="L26" s="4"/>
    </row>
    <row r="27" spans="1:44" ht="19.5" customHeight="1">
      <c r="A27" s="4"/>
      <c r="B27" s="4"/>
      <c r="C27" s="4"/>
      <c r="D27" s="4"/>
      <c r="E27" s="4"/>
      <c r="F27" s="4"/>
      <c r="G27" s="4"/>
      <c r="H27" s="4"/>
      <c r="I27" s="4"/>
      <c r="J27" s="4"/>
      <c r="K27" s="4"/>
      <c r="L27" s="4"/>
      <c r="AR27" s="39"/>
    </row>
    <row r="28" spans="1:45" ht="19.5" customHeight="1">
      <c r="A28" s="4"/>
      <c r="B28" s="4"/>
      <c r="C28" s="4"/>
      <c r="D28" s="4"/>
      <c r="E28" s="4"/>
      <c r="F28" s="4"/>
      <c r="G28" s="4"/>
      <c r="H28" s="4"/>
      <c r="I28" s="4"/>
      <c r="J28" s="4"/>
      <c r="K28" s="4"/>
      <c r="L28" s="4"/>
      <c r="AS28" s="36"/>
    </row>
    <row r="29" spans="1:45" ht="19.5" customHeight="1">
      <c r="A29" s="4"/>
      <c r="B29" s="4"/>
      <c r="C29" s="4"/>
      <c r="D29" s="4"/>
      <c r="E29" s="4"/>
      <c r="F29" s="4"/>
      <c r="G29" s="4"/>
      <c r="H29" s="4"/>
      <c r="I29" s="4"/>
      <c r="J29" s="4"/>
      <c r="K29" s="4"/>
      <c r="L29" s="4"/>
      <c r="AS29" s="36"/>
    </row>
    <row r="30" spans="1:45" ht="19.5" customHeight="1">
      <c r="A30" s="4"/>
      <c r="B30" s="4"/>
      <c r="C30" s="4"/>
      <c r="D30" s="4"/>
      <c r="E30" s="4"/>
      <c r="F30" s="4"/>
      <c r="G30" s="4"/>
      <c r="H30" s="4"/>
      <c r="I30" s="4"/>
      <c r="J30" s="4"/>
      <c r="K30" s="4"/>
      <c r="L30" s="4"/>
      <c r="AS30" s="36"/>
    </row>
    <row r="31" spans="1:45" ht="19.5" customHeight="1">
      <c r="A31" s="4"/>
      <c r="B31" s="4"/>
      <c r="C31" s="4"/>
      <c r="D31" s="4"/>
      <c r="E31" s="4"/>
      <c r="F31" s="4"/>
      <c r="G31" s="4"/>
      <c r="H31" s="4"/>
      <c r="I31" s="4"/>
      <c r="J31" s="4"/>
      <c r="K31" s="4"/>
      <c r="L31" s="4"/>
      <c r="AS31" s="36"/>
    </row>
    <row r="32" spans="1:45" ht="19.5" customHeight="1">
      <c r="A32" s="4"/>
      <c r="B32" s="4"/>
      <c r="C32" s="4"/>
      <c r="D32" s="4"/>
      <c r="E32" s="4"/>
      <c r="F32" s="4"/>
      <c r="G32" s="4"/>
      <c r="H32" s="4"/>
      <c r="I32" s="4"/>
      <c r="J32" s="4"/>
      <c r="K32" s="4"/>
      <c r="L32" s="4"/>
      <c r="AS32" s="36"/>
    </row>
    <row r="33" spans="1:12" ht="19.5" customHeight="1">
      <c r="A33" s="4"/>
      <c r="B33" s="4"/>
      <c r="C33" s="4"/>
      <c r="D33" s="4"/>
      <c r="E33" s="4"/>
      <c r="F33" s="4"/>
      <c r="G33" s="4"/>
      <c r="H33" s="4"/>
      <c r="I33" s="4"/>
      <c r="J33" s="4"/>
      <c r="K33" s="4"/>
      <c r="L33" s="4"/>
    </row>
    <row r="34" spans="1:45" ht="19.5" customHeight="1">
      <c r="A34" s="4"/>
      <c r="B34" s="4"/>
      <c r="C34" s="4"/>
      <c r="D34" s="4"/>
      <c r="E34" s="4"/>
      <c r="F34" s="4"/>
      <c r="G34" s="4"/>
      <c r="H34" s="4"/>
      <c r="I34" s="4"/>
      <c r="J34" s="4"/>
      <c r="K34" s="4"/>
      <c r="L34" s="4"/>
      <c r="V34" s="4"/>
      <c r="W34" s="4"/>
      <c r="AS34" s="36"/>
    </row>
    <row r="35" spans="1:45" ht="19.5" customHeight="1">
      <c r="A35" s="4"/>
      <c r="B35" s="4"/>
      <c r="C35" s="4"/>
      <c r="D35" s="4"/>
      <c r="E35" s="4"/>
      <c r="F35" s="4"/>
      <c r="G35" s="4"/>
      <c r="H35" s="4"/>
      <c r="I35" s="4"/>
      <c r="J35" s="4"/>
      <c r="K35" s="4"/>
      <c r="L35" s="4"/>
      <c r="V35" s="4"/>
      <c r="W35" s="4"/>
      <c r="AS35" s="36"/>
    </row>
    <row r="36" spans="1:22" ht="19.5" customHeight="1">
      <c r="A36" s="4"/>
      <c r="B36" s="4"/>
      <c r="C36" s="4" t="s">
        <v>991</v>
      </c>
      <c r="D36" s="4"/>
      <c r="E36" s="4"/>
      <c r="F36" s="4" t="s">
        <v>1244</v>
      </c>
      <c r="G36" s="4"/>
      <c r="H36" s="4"/>
      <c r="I36" s="4"/>
      <c r="J36" s="4"/>
      <c r="K36" s="4"/>
      <c r="L36" s="4"/>
      <c r="V36" s="27" t="s">
        <v>1245</v>
      </c>
    </row>
    <row r="37" spans="1:41" ht="19.5" customHeight="1">
      <c r="A37" s="4"/>
      <c r="B37" s="4"/>
      <c r="C37" s="4"/>
      <c r="D37" s="4"/>
      <c r="E37" s="4"/>
      <c r="F37" s="221" t="s">
        <v>1246</v>
      </c>
      <c r="G37" s="222"/>
      <c r="H37" s="223"/>
      <c r="I37" s="233" t="s">
        <v>1106</v>
      </c>
      <c r="J37" s="183"/>
      <c r="K37" s="183"/>
      <c r="L37" s="183"/>
      <c r="M37" s="183"/>
      <c r="N37" s="183"/>
      <c r="O37" s="183"/>
      <c r="P37" s="183"/>
      <c r="Q37" s="183"/>
      <c r="R37" s="183"/>
      <c r="V37" s="221" t="s">
        <v>951</v>
      </c>
      <c r="W37" s="222"/>
      <c r="X37" s="223"/>
      <c r="Y37" s="233" t="s">
        <v>1248</v>
      </c>
      <c r="Z37" s="183"/>
      <c r="AA37" s="183"/>
      <c r="AB37" s="183"/>
      <c r="AC37" s="183"/>
      <c r="AD37" s="183"/>
      <c r="AE37" s="204" t="s">
        <v>1236</v>
      </c>
      <c r="AF37" s="204"/>
      <c r="AG37" s="204"/>
      <c r="AH37" s="204"/>
      <c r="AI37" s="181" t="s">
        <v>1249</v>
      </c>
      <c r="AJ37" s="181"/>
      <c r="AK37" s="181"/>
      <c r="AL37" s="181"/>
      <c r="AM37" s="181"/>
      <c r="AN37" s="181"/>
      <c r="AO37" s="181"/>
    </row>
    <row r="38" spans="1:41" ht="19.5" customHeight="1">
      <c r="A38" s="4"/>
      <c r="B38" s="4"/>
      <c r="C38" s="4"/>
      <c r="D38" s="4"/>
      <c r="E38" s="4"/>
      <c r="F38" s="224" t="s">
        <v>1247</v>
      </c>
      <c r="G38" s="225"/>
      <c r="H38" s="226"/>
      <c r="I38" s="233" t="s">
        <v>174</v>
      </c>
      <c r="J38" s="183"/>
      <c r="K38" s="183"/>
      <c r="L38" s="183"/>
      <c r="M38" s="183"/>
      <c r="N38" s="183" t="s">
        <v>175</v>
      </c>
      <c r="O38" s="183"/>
      <c r="P38" s="183"/>
      <c r="Q38" s="183"/>
      <c r="R38" s="183"/>
      <c r="V38" s="224" t="s">
        <v>1247</v>
      </c>
      <c r="W38" s="225"/>
      <c r="X38" s="226"/>
      <c r="Y38" s="233" t="s">
        <v>176</v>
      </c>
      <c r="Z38" s="183"/>
      <c r="AA38" s="183"/>
      <c r="AB38" s="183" t="s">
        <v>1250</v>
      </c>
      <c r="AC38" s="183"/>
      <c r="AD38" s="183"/>
      <c r="AE38" s="204" t="s">
        <v>177</v>
      </c>
      <c r="AF38" s="204"/>
      <c r="AG38" s="204"/>
      <c r="AH38" s="204"/>
      <c r="AI38" s="182" t="s">
        <v>178</v>
      </c>
      <c r="AJ38" s="182"/>
      <c r="AK38" s="182"/>
      <c r="AL38" s="182"/>
      <c r="AM38" s="182"/>
      <c r="AN38" s="182"/>
      <c r="AO38" s="182"/>
    </row>
    <row r="39" spans="1:41" ht="19.5" customHeight="1">
      <c r="A39" s="4"/>
      <c r="B39" s="4"/>
      <c r="C39" s="4"/>
      <c r="D39" s="4"/>
      <c r="E39" s="4"/>
      <c r="F39" s="275">
        <v>1</v>
      </c>
      <c r="G39" s="275"/>
      <c r="H39" s="275"/>
      <c r="I39" s="342">
        <v>0</v>
      </c>
      <c r="J39" s="343"/>
      <c r="K39" s="343"/>
      <c r="L39" s="343"/>
      <c r="M39" s="344"/>
      <c r="N39" s="342">
        <v>0</v>
      </c>
      <c r="O39" s="343"/>
      <c r="P39" s="343"/>
      <c r="Q39" s="343"/>
      <c r="R39" s="344"/>
      <c r="V39" s="275">
        <v>1</v>
      </c>
      <c r="W39" s="275"/>
      <c r="X39" s="275"/>
      <c r="Y39" s="183">
        <v>1</v>
      </c>
      <c r="Z39" s="183"/>
      <c r="AA39" s="183"/>
      <c r="AB39" s="183">
        <v>2</v>
      </c>
      <c r="AC39" s="183"/>
      <c r="AD39" s="183"/>
      <c r="AE39" s="345">
        <v>0.315</v>
      </c>
      <c r="AF39" s="346"/>
      <c r="AG39" s="346"/>
      <c r="AH39" s="347"/>
      <c r="AI39" s="348">
        <v>0.0029374</v>
      </c>
      <c r="AJ39" s="349"/>
      <c r="AK39" s="349"/>
      <c r="AL39" s="349"/>
      <c r="AM39" s="349"/>
      <c r="AN39" s="349"/>
      <c r="AO39" s="350"/>
    </row>
    <row r="40" spans="1:41" ht="19.5" customHeight="1">
      <c r="A40" s="4"/>
      <c r="B40" s="4"/>
      <c r="C40" s="4"/>
      <c r="D40" s="4"/>
      <c r="E40" s="4"/>
      <c r="F40" s="183">
        <v>2</v>
      </c>
      <c r="G40" s="183"/>
      <c r="H40" s="183"/>
      <c r="I40" s="342">
        <v>2.2</v>
      </c>
      <c r="J40" s="343"/>
      <c r="K40" s="343"/>
      <c r="L40" s="343"/>
      <c r="M40" s="344"/>
      <c r="N40" s="342">
        <v>0</v>
      </c>
      <c r="O40" s="343"/>
      <c r="P40" s="343"/>
      <c r="Q40" s="343"/>
      <c r="R40" s="344"/>
      <c r="V40" s="183">
        <v>2</v>
      </c>
      <c r="W40" s="183"/>
      <c r="X40" s="183"/>
      <c r="Y40" s="183">
        <v>2</v>
      </c>
      <c r="Z40" s="183"/>
      <c r="AA40" s="183"/>
      <c r="AB40" s="183">
        <v>3</v>
      </c>
      <c r="AC40" s="183"/>
      <c r="AD40" s="183"/>
      <c r="AE40" s="345">
        <v>0.38</v>
      </c>
      <c r="AF40" s="346"/>
      <c r="AG40" s="346"/>
      <c r="AH40" s="347"/>
      <c r="AI40" s="348">
        <v>0.0045727</v>
      </c>
      <c r="AJ40" s="349"/>
      <c r="AK40" s="349"/>
      <c r="AL40" s="349"/>
      <c r="AM40" s="349"/>
      <c r="AN40" s="349"/>
      <c r="AO40" s="350"/>
    </row>
    <row r="41" spans="1:41" ht="19.5" customHeight="1">
      <c r="A41" s="4"/>
      <c r="B41" s="4"/>
      <c r="C41" s="4"/>
      <c r="D41" s="4"/>
      <c r="E41" s="4"/>
      <c r="F41" s="183">
        <v>3</v>
      </c>
      <c r="G41" s="183"/>
      <c r="H41" s="183"/>
      <c r="I41" s="342">
        <v>2.4</v>
      </c>
      <c r="J41" s="343"/>
      <c r="K41" s="343"/>
      <c r="L41" s="343"/>
      <c r="M41" s="344"/>
      <c r="N41" s="342">
        <v>0</v>
      </c>
      <c r="O41" s="343"/>
      <c r="P41" s="343"/>
      <c r="Q41" s="343"/>
      <c r="R41" s="344"/>
      <c r="V41" s="183">
        <v>3</v>
      </c>
      <c r="W41" s="183"/>
      <c r="X41" s="183"/>
      <c r="Y41" s="183">
        <v>3</v>
      </c>
      <c r="Z41" s="183"/>
      <c r="AA41" s="183"/>
      <c r="AB41" s="183">
        <v>4</v>
      </c>
      <c r="AC41" s="183"/>
      <c r="AD41" s="183"/>
      <c r="AE41" s="345">
        <v>0.38</v>
      </c>
      <c r="AF41" s="346"/>
      <c r="AG41" s="346"/>
      <c r="AH41" s="347"/>
      <c r="AI41" s="348">
        <v>0.0045727</v>
      </c>
      <c r="AJ41" s="349"/>
      <c r="AK41" s="349"/>
      <c r="AL41" s="349"/>
      <c r="AM41" s="349"/>
      <c r="AN41" s="349"/>
      <c r="AO41" s="350"/>
    </row>
    <row r="42" spans="1:41" ht="19.5" customHeight="1">
      <c r="A42" s="4"/>
      <c r="B42" s="4"/>
      <c r="C42" s="4"/>
      <c r="D42" s="4"/>
      <c r="E42" s="4"/>
      <c r="F42" s="183">
        <v>4</v>
      </c>
      <c r="G42" s="183"/>
      <c r="H42" s="183"/>
      <c r="I42" s="342">
        <v>2.6</v>
      </c>
      <c r="J42" s="343"/>
      <c r="K42" s="343"/>
      <c r="L42" s="343"/>
      <c r="M42" s="344"/>
      <c r="N42" s="342">
        <v>0</v>
      </c>
      <c r="O42" s="343"/>
      <c r="P42" s="343"/>
      <c r="Q42" s="343"/>
      <c r="R42" s="344"/>
      <c r="V42" s="183">
        <v>4</v>
      </c>
      <c r="W42" s="183"/>
      <c r="X42" s="183"/>
      <c r="Y42" s="183">
        <v>4</v>
      </c>
      <c r="Z42" s="183"/>
      <c r="AA42" s="183"/>
      <c r="AB42" s="183">
        <v>5</v>
      </c>
      <c r="AC42" s="183"/>
      <c r="AD42" s="183"/>
      <c r="AE42" s="345">
        <v>0.38</v>
      </c>
      <c r="AF42" s="346"/>
      <c r="AG42" s="346"/>
      <c r="AH42" s="347"/>
      <c r="AI42" s="348">
        <v>0.0045727</v>
      </c>
      <c r="AJ42" s="349"/>
      <c r="AK42" s="349"/>
      <c r="AL42" s="349"/>
      <c r="AM42" s="349"/>
      <c r="AN42" s="349"/>
      <c r="AO42" s="350"/>
    </row>
    <row r="43" spans="1:44" ht="19.5" customHeight="1">
      <c r="A43" s="4"/>
      <c r="B43" s="4"/>
      <c r="C43" s="4"/>
      <c r="D43" s="4"/>
      <c r="E43" s="4"/>
      <c r="F43" s="183">
        <v>5</v>
      </c>
      <c r="G43" s="183"/>
      <c r="H43" s="183"/>
      <c r="I43" s="342">
        <v>3</v>
      </c>
      <c r="J43" s="343"/>
      <c r="K43" s="343"/>
      <c r="L43" s="343"/>
      <c r="M43" s="344"/>
      <c r="N43" s="342">
        <v>0</v>
      </c>
      <c r="O43" s="343"/>
      <c r="P43" s="343"/>
      <c r="Q43" s="343"/>
      <c r="R43" s="344"/>
      <c r="V43" s="183">
        <v>5</v>
      </c>
      <c r="W43" s="183"/>
      <c r="X43" s="183"/>
      <c r="Y43" s="183">
        <v>5</v>
      </c>
      <c r="Z43" s="183"/>
      <c r="AA43" s="183"/>
      <c r="AB43" s="183">
        <v>6</v>
      </c>
      <c r="AC43" s="183"/>
      <c r="AD43" s="183"/>
      <c r="AE43" s="345">
        <v>0.34</v>
      </c>
      <c r="AF43" s="346"/>
      <c r="AG43" s="346"/>
      <c r="AH43" s="347"/>
      <c r="AI43" s="348">
        <v>0.0034113</v>
      </c>
      <c r="AJ43" s="349"/>
      <c r="AK43" s="349"/>
      <c r="AL43" s="349"/>
      <c r="AM43" s="349"/>
      <c r="AN43" s="349"/>
      <c r="AO43" s="350"/>
      <c r="AR43" s="36"/>
    </row>
    <row r="44" spans="1:44" ht="19.5" customHeight="1">
      <c r="A44" s="4"/>
      <c r="B44" s="4"/>
      <c r="C44" s="4"/>
      <c r="D44" s="4"/>
      <c r="E44" s="4"/>
      <c r="F44" s="183">
        <v>6</v>
      </c>
      <c r="G44" s="183"/>
      <c r="H44" s="183"/>
      <c r="I44" s="342">
        <v>3.4</v>
      </c>
      <c r="J44" s="343"/>
      <c r="K44" s="343"/>
      <c r="L44" s="343"/>
      <c r="M44" s="344"/>
      <c r="N44" s="342">
        <v>0</v>
      </c>
      <c r="O44" s="343"/>
      <c r="P44" s="343"/>
      <c r="Q44" s="343"/>
      <c r="R44" s="344"/>
      <c r="V44" s="183">
        <v>6</v>
      </c>
      <c r="W44" s="183"/>
      <c r="X44" s="183"/>
      <c r="Y44" s="183">
        <v>6</v>
      </c>
      <c r="Z44" s="183"/>
      <c r="AA44" s="183"/>
      <c r="AB44" s="183">
        <v>7</v>
      </c>
      <c r="AC44" s="183"/>
      <c r="AD44" s="183"/>
      <c r="AE44" s="345">
        <v>0.3</v>
      </c>
      <c r="AF44" s="346"/>
      <c r="AG44" s="346"/>
      <c r="AH44" s="347"/>
      <c r="AI44" s="348">
        <v>0.00225</v>
      </c>
      <c r="AJ44" s="349"/>
      <c r="AK44" s="349"/>
      <c r="AL44" s="349"/>
      <c r="AM44" s="349"/>
      <c r="AN44" s="349"/>
      <c r="AO44" s="350"/>
      <c r="AR44" s="36"/>
    </row>
    <row r="45" spans="1:41" ht="19.5" customHeight="1">
      <c r="A45" s="4"/>
      <c r="B45" s="4"/>
      <c r="C45" s="4"/>
      <c r="D45" s="4"/>
      <c r="E45" s="4"/>
      <c r="F45" s="183">
        <v>7</v>
      </c>
      <c r="G45" s="183"/>
      <c r="H45" s="183"/>
      <c r="I45" s="342">
        <v>4.375</v>
      </c>
      <c r="J45" s="343"/>
      <c r="K45" s="343"/>
      <c r="L45" s="343"/>
      <c r="M45" s="344"/>
      <c r="N45" s="342">
        <v>0</v>
      </c>
      <c r="O45" s="343"/>
      <c r="P45" s="343"/>
      <c r="Q45" s="343"/>
      <c r="R45" s="344"/>
      <c r="V45" s="183">
        <v>7</v>
      </c>
      <c r="W45" s="183"/>
      <c r="X45" s="183"/>
      <c r="Y45" s="183">
        <v>7</v>
      </c>
      <c r="Z45" s="183"/>
      <c r="AA45" s="183"/>
      <c r="AB45" s="183">
        <v>8</v>
      </c>
      <c r="AC45" s="183"/>
      <c r="AD45" s="183"/>
      <c r="AE45" s="345">
        <v>0.3</v>
      </c>
      <c r="AF45" s="346"/>
      <c r="AG45" s="346"/>
      <c r="AH45" s="347"/>
      <c r="AI45" s="348">
        <v>0.00225</v>
      </c>
      <c r="AJ45" s="349"/>
      <c r="AK45" s="349"/>
      <c r="AL45" s="349"/>
      <c r="AM45" s="349"/>
      <c r="AN45" s="349"/>
      <c r="AO45" s="350"/>
    </row>
    <row r="46" spans="1:49" ht="19.5" customHeight="1">
      <c r="A46" s="4"/>
      <c r="B46" s="4"/>
      <c r="C46" s="4"/>
      <c r="D46" s="4"/>
      <c r="E46" s="4"/>
      <c r="F46" s="183">
        <v>8</v>
      </c>
      <c r="G46" s="183"/>
      <c r="H46" s="183"/>
      <c r="I46" s="342">
        <v>5.35</v>
      </c>
      <c r="J46" s="343"/>
      <c r="K46" s="343"/>
      <c r="L46" s="343"/>
      <c r="M46" s="344"/>
      <c r="N46" s="342">
        <v>0</v>
      </c>
      <c r="O46" s="343"/>
      <c r="P46" s="343"/>
      <c r="Q46" s="343"/>
      <c r="R46" s="344"/>
      <c r="V46" s="183">
        <v>8</v>
      </c>
      <c r="W46" s="183"/>
      <c r="X46" s="183"/>
      <c r="Y46" s="183">
        <v>8</v>
      </c>
      <c r="Z46" s="183"/>
      <c r="AA46" s="183"/>
      <c r="AB46" s="183">
        <v>9</v>
      </c>
      <c r="AC46" s="183"/>
      <c r="AD46" s="183"/>
      <c r="AE46" s="345">
        <v>0.3</v>
      </c>
      <c r="AF46" s="346"/>
      <c r="AG46" s="346"/>
      <c r="AH46" s="347"/>
      <c r="AI46" s="348">
        <v>0.00225</v>
      </c>
      <c r="AJ46" s="349"/>
      <c r="AK46" s="349"/>
      <c r="AL46" s="349"/>
      <c r="AM46" s="349"/>
      <c r="AN46" s="349"/>
      <c r="AO46" s="350"/>
      <c r="AW46" s="36"/>
    </row>
    <row r="47" spans="1:41" ht="19.5" customHeight="1">
      <c r="A47" s="4"/>
      <c r="B47" s="4"/>
      <c r="C47" s="4"/>
      <c r="D47" s="4"/>
      <c r="E47" s="4"/>
      <c r="F47" s="183">
        <v>9</v>
      </c>
      <c r="G47" s="183"/>
      <c r="H47" s="183"/>
      <c r="I47" s="342">
        <v>6.325</v>
      </c>
      <c r="J47" s="343"/>
      <c r="K47" s="343"/>
      <c r="L47" s="343"/>
      <c r="M47" s="344"/>
      <c r="N47" s="342">
        <v>0</v>
      </c>
      <c r="O47" s="343"/>
      <c r="P47" s="343"/>
      <c r="Q47" s="343"/>
      <c r="R47" s="344"/>
      <c r="V47" s="183">
        <v>9</v>
      </c>
      <c r="W47" s="183"/>
      <c r="X47" s="183"/>
      <c r="Y47" s="183">
        <v>9</v>
      </c>
      <c r="Z47" s="183"/>
      <c r="AA47" s="183"/>
      <c r="AB47" s="183">
        <v>10</v>
      </c>
      <c r="AC47" s="183"/>
      <c r="AD47" s="183"/>
      <c r="AE47" s="345">
        <v>0.3</v>
      </c>
      <c r="AF47" s="346"/>
      <c r="AG47" s="346"/>
      <c r="AH47" s="347"/>
      <c r="AI47" s="348">
        <v>0.00225</v>
      </c>
      <c r="AJ47" s="349"/>
      <c r="AK47" s="349"/>
      <c r="AL47" s="349"/>
      <c r="AM47" s="349"/>
      <c r="AN47" s="349"/>
      <c r="AO47" s="350"/>
    </row>
    <row r="48" spans="1:41" ht="19.5" customHeight="1">
      <c r="A48" s="4"/>
      <c r="B48" s="4"/>
      <c r="C48" s="4"/>
      <c r="D48" s="4"/>
      <c r="E48" s="4"/>
      <c r="F48" s="183">
        <v>10</v>
      </c>
      <c r="G48" s="183"/>
      <c r="H48" s="183"/>
      <c r="I48" s="342">
        <v>7.3</v>
      </c>
      <c r="J48" s="343"/>
      <c r="K48" s="343"/>
      <c r="L48" s="343"/>
      <c r="M48" s="344"/>
      <c r="N48" s="342">
        <v>0</v>
      </c>
      <c r="O48" s="343"/>
      <c r="P48" s="343"/>
      <c r="Q48" s="343"/>
      <c r="R48" s="344"/>
      <c r="V48" s="183">
        <v>10</v>
      </c>
      <c r="W48" s="183"/>
      <c r="X48" s="183"/>
      <c r="Y48" s="183">
        <v>10</v>
      </c>
      <c r="Z48" s="183"/>
      <c r="AA48" s="183"/>
      <c r="AB48" s="183">
        <v>11</v>
      </c>
      <c r="AC48" s="183"/>
      <c r="AD48" s="183"/>
      <c r="AE48" s="345">
        <v>0.34</v>
      </c>
      <c r="AF48" s="346"/>
      <c r="AG48" s="346"/>
      <c r="AH48" s="347"/>
      <c r="AI48" s="348">
        <v>0.0034113</v>
      </c>
      <c r="AJ48" s="349"/>
      <c r="AK48" s="349"/>
      <c r="AL48" s="349"/>
      <c r="AM48" s="349"/>
      <c r="AN48" s="349"/>
      <c r="AO48" s="350"/>
    </row>
    <row r="49" spans="1:41" ht="19.5" customHeight="1">
      <c r="A49" s="4"/>
      <c r="B49" s="4"/>
      <c r="C49" s="4"/>
      <c r="D49" s="4"/>
      <c r="E49" s="4"/>
      <c r="F49" s="183">
        <v>11</v>
      </c>
      <c r="G49" s="183"/>
      <c r="H49" s="183"/>
      <c r="I49" s="342">
        <v>7.7</v>
      </c>
      <c r="J49" s="343"/>
      <c r="K49" s="343"/>
      <c r="L49" s="343"/>
      <c r="M49" s="344"/>
      <c r="N49" s="342">
        <v>0</v>
      </c>
      <c r="O49" s="343"/>
      <c r="P49" s="343"/>
      <c r="Q49" s="343"/>
      <c r="R49" s="344"/>
      <c r="V49" s="183">
        <v>11</v>
      </c>
      <c r="W49" s="183"/>
      <c r="X49" s="183"/>
      <c r="Y49" s="183">
        <v>11</v>
      </c>
      <c r="Z49" s="183"/>
      <c r="AA49" s="183"/>
      <c r="AB49" s="183">
        <v>12</v>
      </c>
      <c r="AC49" s="183"/>
      <c r="AD49" s="183"/>
      <c r="AE49" s="345">
        <v>0.38</v>
      </c>
      <c r="AF49" s="346"/>
      <c r="AG49" s="346"/>
      <c r="AH49" s="347"/>
      <c r="AI49" s="348">
        <v>0.0045727</v>
      </c>
      <c r="AJ49" s="349"/>
      <c r="AK49" s="349"/>
      <c r="AL49" s="349"/>
      <c r="AM49" s="349"/>
      <c r="AN49" s="349"/>
      <c r="AO49" s="350"/>
    </row>
    <row r="50" spans="1:41" ht="19.5" customHeight="1">
      <c r="A50" s="4"/>
      <c r="B50" s="4"/>
      <c r="C50" s="4"/>
      <c r="D50" s="4"/>
      <c r="E50" s="4"/>
      <c r="F50" s="183">
        <v>12</v>
      </c>
      <c r="G50" s="183"/>
      <c r="H50" s="183"/>
      <c r="I50" s="342">
        <v>8.1</v>
      </c>
      <c r="J50" s="343"/>
      <c r="K50" s="343"/>
      <c r="L50" s="343"/>
      <c r="M50" s="344"/>
      <c r="N50" s="342">
        <v>0</v>
      </c>
      <c r="O50" s="343"/>
      <c r="P50" s="343"/>
      <c r="Q50" s="343"/>
      <c r="R50" s="344"/>
      <c r="V50" s="183">
        <v>12</v>
      </c>
      <c r="W50" s="183"/>
      <c r="X50" s="183"/>
      <c r="Y50" s="183">
        <v>12</v>
      </c>
      <c r="Z50" s="183"/>
      <c r="AA50" s="183"/>
      <c r="AB50" s="183">
        <v>13</v>
      </c>
      <c r="AC50" s="183"/>
      <c r="AD50" s="183"/>
      <c r="AE50" s="345">
        <v>0.38</v>
      </c>
      <c r="AF50" s="346"/>
      <c r="AG50" s="346"/>
      <c r="AH50" s="347"/>
      <c r="AI50" s="348">
        <v>0.0045727</v>
      </c>
      <c r="AJ50" s="349"/>
      <c r="AK50" s="349"/>
      <c r="AL50" s="349"/>
      <c r="AM50" s="349"/>
      <c r="AN50" s="349"/>
      <c r="AO50" s="350"/>
    </row>
    <row r="51" spans="1:41" ht="19.5" customHeight="1">
      <c r="A51" s="4"/>
      <c r="B51" s="4"/>
      <c r="C51" s="4"/>
      <c r="D51" s="4"/>
      <c r="E51" s="4"/>
      <c r="F51" s="183">
        <v>13</v>
      </c>
      <c r="G51" s="183"/>
      <c r="H51" s="183"/>
      <c r="I51" s="342">
        <v>8.3</v>
      </c>
      <c r="J51" s="343"/>
      <c r="K51" s="343"/>
      <c r="L51" s="343"/>
      <c r="M51" s="344"/>
      <c r="N51" s="342">
        <v>0</v>
      </c>
      <c r="O51" s="343"/>
      <c r="P51" s="343"/>
      <c r="Q51" s="343"/>
      <c r="R51" s="344"/>
      <c r="V51" s="183">
        <v>13</v>
      </c>
      <c r="W51" s="183"/>
      <c r="X51" s="183"/>
      <c r="Y51" s="183">
        <v>13</v>
      </c>
      <c r="Z51" s="183"/>
      <c r="AA51" s="183"/>
      <c r="AB51" s="183">
        <v>14</v>
      </c>
      <c r="AC51" s="183"/>
      <c r="AD51" s="183"/>
      <c r="AE51" s="345">
        <v>0.38</v>
      </c>
      <c r="AF51" s="346"/>
      <c r="AG51" s="346"/>
      <c r="AH51" s="347"/>
      <c r="AI51" s="348">
        <v>0.0045727</v>
      </c>
      <c r="AJ51" s="349"/>
      <c r="AK51" s="349"/>
      <c r="AL51" s="349"/>
      <c r="AM51" s="349"/>
      <c r="AN51" s="349"/>
      <c r="AO51" s="350"/>
    </row>
    <row r="52" spans="1:41" ht="19.5" customHeight="1">
      <c r="A52" s="4"/>
      <c r="B52" s="4"/>
      <c r="C52" s="4"/>
      <c r="D52" s="4"/>
      <c r="E52" s="4"/>
      <c r="F52" s="183">
        <v>14</v>
      </c>
      <c r="G52" s="183"/>
      <c r="H52" s="183"/>
      <c r="I52" s="342">
        <v>8.5</v>
      </c>
      <c r="J52" s="343"/>
      <c r="K52" s="343"/>
      <c r="L52" s="343"/>
      <c r="M52" s="344"/>
      <c r="N52" s="342">
        <v>0</v>
      </c>
      <c r="O52" s="343"/>
      <c r="P52" s="343"/>
      <c r="Q52" s="343"/>
      <c r="R52" s="344"/>
      <c r="V52" s="183">
        <v>14</v>
      </c>
      <c r="W52" s="183"/>
      <c r="X52" s="183"/>
      <c r="Y52" s="183">
        <v>14</v>
      </c>
      <c r="Z52" s="183"/>
      <c r="AA52" s="183"/>
      <c r="AB52" s="183">
        <v>15</v>
      </c>
      <c r="AC52" s="183"/>
      <c r="AD52" s="183"/>
      <c r="AE52" s="345">
        <v>0.315</v>
      </c>
      <c r="AF52" s="346"/>
      <c r="AG52" s="346"/>
      <c r="AH52" s="347"/>
      <c r="AI52" s="348">
        <v>0.0029374</v>
      </c>
      <c r="AJ52" s="349"/>
      <c r="AK52" s="349"/>
      <c r="AL52" s="349"/>
      <c r="AM52" s="349"/>
      <c r="AN52" s="349"/>
      <c r="AO52" s="350"/>
    </row>
    <row r="53" spans="1:22" ht="19.5" customHeight="1">
      <c r="A53" s="4"/>
      <c r="B53" s="4"/>
      <c r="C53" s="4"/>
      <c r="D53" s="4"/>
      <c r="E53" s="4"/>
      <c r="F53" s="183">
        <v>15</v>
      </c>
      <c r="G53" s="183"/>
      <c r="H53" s="183"/>
      <c r="I53" s="342">
        <v>10.7</v>
      </c>
      <c r="J53" s="343"/>
      <c r="K53" s="343"/>
      <c r="L53" s="343"/>
      <c r="M53" s="344"/>
      <c r="N53" s="342">
        <v>0</v>
      </c>
      <c r="O53" s="343"/>
      <c r="P53" s="343"/>
      <c r="Q53" s="343"/>
      <c r="R53" s="344"/>
      <c r="V53" s="27" t="s">
        <v>1251</v>
      </c>
    </row>
    <row r="54" spans="1:18" ht="19.5" customHeight="1">
      <c r="A54" s="4"/>
      <c r="B54" s="4"/>
      <c r="C54" s="4"/>
      <c r="D54" s="4"/>
      <c r="E54" s="4"/>
      <c r="F54" s="33"/>
      <c r="G54" s="33"/>
      <c r="H54" s="33"/>
      <c r="I54" s="101"/>
      <c r="J54" s="101"/>
      <c r="K54" s="101"/>
      <c r="L54" s="101"/>
      <c r="M54" s="101"/>
      <c r="N54" s="101"/>
      <c r="O54" s="101"/>
      <c r="P54" s="101"/>
      <c r="Q54" s="101"/>
      <c r="R54" s="101"/>
    </row>
    <row r="55" spans="1:18" ht="19.5" customHeight="1">
      <c r="A55" s="4"/>
      <c r="B55" s="4"/>
      <c r="C55" s="4"/>
      <c r="D55" s="4"/>
      <c r="E55" s="4"/>
      <c r="F55" s="33"/>
      <c r="G55" s="33"/>
      <c r="H55" s="33"/>
      <c r="I55" s="101"/>
      <c r="J55" s="101"/>
      <c r="K55" s="101"/>
      <c r="L55" s="101"/>
      <c r="M55" s="101"/>
      <c r="N55" s="101"/>
      <c r="O55" s="101"/>
      <c r="P55" s="101"/>
      <c r="Q55" s="101"/>
      <c r="R55" s="101"/>
    </row>
    <row r="56" spans="1:18" ht="19.5" customHeight="1">
      <c r="A56" s="4"/>
      <c r="B56" s="4"/>
      <c r="C56" s="4"/>
      <c r="D56" s="4"/>
      <c r="E56" s="4"/>
      <c r="F56" s="33"/>
      <c r="G56" s="33"/>
      <c r="H56" s="33"/>
      <c r="I56" s="101"/>
      <c r="J56" s="101"/>
      <c r="K56" s="101"/>
      <c r="L56" s="101"/>
      <c r="M56" s="101"/>
      <c r="N56" s="101"/>
      <c r="O56" s="101"/>
      <c r="P56" s="101"/>
      <c r="Q56" s="101"/>
      <c r="R56" s="101"/>
    </row>
    <row r="57" spans="1:18" ht="19.5" customHeight="1">
      <c r="A57" s="4"/>
      <c r="B57" s="4"/>
      <c r="C57" s="4"/>
      <c r="D57" s="4"/>
      <c r="E57" s="4"/>
      <c r="F57" s="33"/>
      <c r="G57" s="33"/>
      <c r="H57" s="33"/>
      <c r="I57" s="101"/>
      <c r="J57" s="101"/>
      <c r="K57" s="101"/>
      <c r="L57" s="101"/>
      <c r="M57" s="101"/>
      <c r="N57" s="101"/>
      <c r="O57" s="101"/>
      <c r="P57" s="101"/>
      <c r="Q57" s="101"/>
      <c r="R57" s="101"/>
    </row>
    <row r="58" spans="1:18" ht="19.5" customHeight="1">
      <c r="A58" s="4"/>
      <c r="B58" s="4"/>
      <c r="C58" s="4"/>
      <c r="D58" s="4"/>
      <c r="E58" s="4"/>
      <c r="F58" s="33"/>
      <c r="G58" s="33"/>
      <c r="H58" s="33"/>
      <c r="I58" s="101"/>
      <c r="J58" s="101"/>
      <c r="K58" s="101"/>
      <c r="L58" s="101"/>
      <c r="M58" s="101"/>
      <c r="N58" s="101"/>
      <c r="O58" s="101"/>
      <c r="P58" s="101"/>
      <c r="Q58" s="101"/>
      <c r="R58" s="101"/>
    </row>
    <row r="59" spans="1:18" ht="19.5" customHeight="1">
      <c r="A59" s="4"/>
      <c r="B59" s="4"/>
      <c r="C59" s="4"/>
      <c r="D59" s="4"/>
      <c r="E59" s="4"/>
      <c r="F59" s="33"/>
      <c r="G59" s="33"/>
      <c r="H59" s="33"/>
      <c r="I59" s="101"/>
      <c r="J59" s="101"/>
      <c r="K59" s="101"/>
      <c r="L59" s="101"/>
      <c r="M59" s="101"/>
      <c r="N59" s="101"/>
      <c r="O59" s="101"/>
      <c r="P59" s="101"/>
      <c r="Q59" s="101"/>
      <c r="R59" s="101"/>
    </row>
    <row r="60" spans="1:18" ht="19.5" customHeight="1">
      <c r="A60" s="4"/>
      <c r="B60" s="4"/>
      <c r="C60" s="4"/>
      <c r="D60" s="4"/>
      <c r="E60" s="4"/>
      <c r="F60" s="33"/>
      <c r="G60" s="33"/>
      <c r="H60" s="33"/>
      <c r="I60" s="101"/>
      <c r="J60" s="101"/>
      <c r="K60" s="101"/>
      <c r="L60" s="101"/>
      <c r="M60" s="101"/>
      <c r="N60" s="101"/>
      <c r="O60" s="101"/>
      <c r="P60" s="101"/>
      <c r="Q60" s="101"/>
      <c r="R60" s="101"/>
    </row>
    <row r="61" spans="1:18" ht="19.5" customHeight="1">
      <c r="A61" s="4"/>
      <c r="B61" s="4"/>
      <c r="C61" s="4"/>
      <c r="D61" s="4"/>
      <c r="E61" s="4"/>
      <c r="F61" s="33"/>
      <c r="G61" s="33"/>
      <c r="H61" s="33"/>
      <c r="I61" s="101"/>
      <c r="J61" s="101"/>
      <c r="K61" s="101"/>
      <c r="L61" s="101"/>
      <c r="M61" s="101"/>
      <c r="N61" s="101"/>
      <c r="O61" s="101"/>
      <c r="P61" s="101"/>
      <c r="Q61" s="101"/>
      <c r="R61" s="101"/>
    </row>
    <row r="62" spans="1:18" ht="19.5" customHeight="1">
      <c r="A62" s="4"/>
      <c r="B62" s="4"/>
      <c r="C62" s="4"/>
      <c r="D62" s="4"/>
      <c r="E62" s="4"/>
      <c r="F62" s="33"/>
      <c r="G62" s="33"/>
      <c r="H62" s="33"/>
      <c r="I62" s="101"/>
      <c r="J62" s="101"/>
      <c r="K62" s="101"/>
      <c r="L62" s="101"/>
      <c r="M62" s="101"/>
      <c r="N62" s="101"/>
      <c r="O62" s="101"/>
      <c r="P62" s="101"/>
      <c r="Q62" s="101"/>
      <c r="R62" s="101"/>
    </row>
    <row r="63" spans="1:18" ht="19.5" customHeight="1">
      <c r="A63" s="4"/>
      <c r="B63" s="4"/>
      <c r="C63" s="4"/>
      <c r="D63" s="4"/>
      <c r="E63" s="4"/>
      <c r="F63" s="33"/>
      <c r="G63" s="33"/>
      <c r="H63" s="33"/>
      <c r="I63" s="101"/>
      <c r="J63" s="101"/>
      <c r="K63" s="101"/>
      <c r="L63" s="101"/>
      <c r="M63" s="101"/>
      <c r="N63" s="101"/>
      <c r="O63" s="101"/>
      <c r="P63" s="101"/>
      <c r="Q63" s="101"/>
      <c r="R63" s="101"/>
    </row>
    <row r="64" spans="1:18" ht="19.5" customHeight="1">
      <c r="A64" s="4"/>
      <c r="B64" s="4"/>
      <c r="C64" s="4"/>
      <c r="D64" s="4"/>
      <c r="E64" s="4"/>
      <c r="F64" s="33"/>
      <c r="G64" s="33"/>
      <c r="H64" s="33"/>
      <c r="I64" s="101"/>
      <c r="J64" s="101"/>
      <c r="K64" s="101"/>
      <c r="L64" s="101"/>
      <c r="M64" s="101"/>
      <c r="N64" s="101"/>
      <c r="O64" s="101"/>
      <c r="P64" s="101"/>
      <c r="Q64" s="101"/>
      <c r="R64" s="101"/>
    </row>
    <row r="65" spans="1:18" ht="19.5" customHeight="1">
      <c r="A65" s="4"/>
      <c r="B65" s="4"/>
      <c r="C65" s="4"/>
      <c r="D65" s="4"/>
      <c r="E65" s="4"/>
      <c r="F65" s="33"/>
      <c r="G65" s="33"/>
      <c r="H65" s="33"/>
      <c r="I65" s="101"/>
      <c r="J65" s="101"/>
      <c r="K65" s="101"/>
      <c r="L65" s="101"/>
      <c r="M65" s="101"/>
      <c r="N65" s="101"/>
      <c r="O65" s="101"/>
      <c r="P65" s="101"/>
      <c r="Q65" s="101"/>
      <c r="R65" s="101"/>
    </row>
    <row r="66" spans="1:12" ht="19.5" customHeight="1">
      <c r="A66" s="4"/>
      <c r="B66" s="4"/>
      <c r="C66" s="4"/>
      <c r="D66" s="4" t="s">
        <v>1252</v>
      </c>
      <c r="E66" s="4"/>
      <c r="G66" s="4"/>
      <c r="H66" s="4"/>
      <c r="I66" s="4"/>
      <c r="J66" s="4"/>
      <c r="K66" s="4"/>
      <c r="L66" s="4"/>
    </row>
    <row r="67" spans="1:45" ht="19.5" customHeight="1">
      <c r="A67" s="4"/>
      <c r="B67" s="4"/>
      <c r="C67" s="4"/>
      <c r="D67" s="30"/>
      <c r="E67" s="30" t="s">
        <v>1253</v>
      </c>
      <c r="G67" s="4"/>
      <c r="H67" s="4"/>
      <c r="I67" s="4"/>
      <c r="J67" s="4"/>
      <c r="K67" s="4"/>
      <c r="L67" s="4"/>
      <c r="AS67" s="6"/>
    </row>
    <row r="68" spans="1:76" s="28" customFormat="1" ht="19.5" customHeight="1">
      <c r="A68" s="110"/>
      <c r="B68" s="86"/>
      <c r="C68" s="86"/>
      <c r="D68" s="86"/>
      <c r="E68" s="86"/>
      <c r="F68" s="86"/>
      <c r="G68" s="86"/>
      <c r="H68" s="86"/>
      <c r="I68" s="86"/>
      <c r="J68" s="86"/>
      <c r="K68" s="86"/>
      <c r="L68" s="86"/>
      <c r="M68" s="86"/>
      <c r="N68" s="111"/>
      <c r="O68" s="111"/>
      <c r="P68" s="111"/>
      <c r="Q68" s="111"/>
      <c r="R68" s="111"/>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row>
    <row r="69" spans="1:76" s="28" customFormat="1" ht="19.5" customHeight="1">
      <c r="A69" s="86"/>
      <c r="B69" s="86"/>
      <c r="C69" s="86"/>
      <c r="D69" s="86"/>
      <c r="E69" s="86"/>
      <c r="F69" s="86"/>
      <c r="G69" s="88"/>
      <c r="H69" s="88"/>
      <c r="I69" s="88"/>
      <c r="J69" s="86"/>
      <c r="K69" s="351"/>
      <c r="L69" s="351"/>
      <c r="M69" s="351"/>
      <c r="N69" s="111"/>
      <c r="O69" s="111"/>
      <c r="P69" s="111"/>
      <c r="Q69" s="111"/>
      <c r="R69" s="111"/>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row>
    <row r="70" spans="1:76" s="28" customFormat="1" ht="19.5" customHeight="1">
      <c r="A70" s="86"/>
      <c r="B70" s="86"/>
      <c r="C70" s="86"/>
      <c r="D70" s="86"/>
      <c r="E70" s="86"/>
      <c r="F70" s="86"/>
      <c r="G70" s="86"/>
      <c r="H70" s="86"/>
      <c r="I70" s="86"/>
      <c r="J70" s="86"/>
      <c r="K70" s="86"/>
      <c r="L70" s="86"/>
      <c r="M70" s="86"/>
      <c r="N70" s="111"/>
      <c r="O70" s="112"/>
      <c r="P70" s="111"/>
      <c r="Q70" s="111"/>
      <c r="R70" s="111"/>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row>
    <row r="71" spans="1:76" s="28" customFormat="1" ht="19.5" customHeight="1">
      <c r="A71" s="86"/>
      <c r="B71" s="86"/>
      <c r="C71" s="86"/>
      <c r="D71" s="86"/>
      <c r="E71" s="86"/>
      <c r="F71" s="86"/>
      <c r="G71" s="86"/>
      <c r="H71" s="86"/>
      <c r="I71" s="86"/>
      <c r="J71" s="86"/>
      <c r="K71" s="86"/>
      <c r="L71" s="86"/>
      <c r="M71" s="86"/>
      <c r="N71" s="111"/>
      <c r="O71" s="112"/>
      <c r="P71" s="111"/>
      <c r="Q71" s="111"/>
      <c r="R71" s="111"/>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row>
    <row r="72" spans="1:76" s="28" customFormat="1" ht="19.5" customHeight="1">
      <c r="A72" s="86"/>
      <c r="B72" s="113"/>
      <c r="C72" s="86"/>
      <c r="D72" s="86"/>
      <c r="E72" s="86"/>
      <c r="F72" s="86"/>
      <c r="G72" s="352"/>
      <c r="H72" s="352"/>
      <c r="I72" s="352"/>
      <c r="J72" s="86"/>
      <c r="K72" s="86"/>
      <c r="L72" s="86"/>
      <c r="M72" s="113"/>
      <c r="N72" s="111"/>
      <c r="O72" s="111"/>
      <c r="P72" s="111"/>
      <c r="Q72" s="111"/>
      <c r="R72" s="111"/>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row>
    <row r="73" spans="1:76" s="28" customFormat="1" ht="19.5" customHeight="1">
      <c r="A73" s="86"/>
      <c r="B73" s="113"/>
      <c r="C73" s="86"/>
      <c r="D73" s="88"/>
      <c r="E73" s="86"/>
      <c r="F73" s="86"/>
      <c r="G73" s="86"/>
      <c r="H73" s="88"/>
      <c r="I73" s="86"/>
      <c r="J73" s="86"/>
      <c r="K73" s="86"/>
      <c r="L73" s="114"/>
      <c r="M73" s="86"/>
      <c r="N73" s="111"/>
      <c r="O73" s="111"/>
      <c r="P73" s="111"/>
      <c r="Q73" s="111"/>
      <c r="R73" s="111"/>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row>
    <row r="74" spans="1:76" s="28" customFormat="1" ht="19.5" customHeight="1">
      <c r="A74" s="86"/>
      <c r="B74" s="113"/>
      <c r="C74" s="86"/>
      <c r="D74" s="115"/>
      <c r="E74" s="86"/>
      <c r="F74" s="86"/>
      <c r="G74" s="86"/>
      <c r="H74" s="86"/>
      <c r="I74" s="86"/>
      <c r="J74" s="86"/>
      <c r="K74" s="115"/>
      <c r="L74" s="353"/>
      <c r="M74" s="113"/>
      <c r="N74" s="111"/>
      <c r="O74" s="111"/>
      <c r="P74" s="111"/>
      <c r="Q74" s="111"/>
      <c r="R74" s="111"/>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row>
    <row r="75" spans="1:76" s="28" customFormat="1" ht="19.5" customHeight="1">
      <c r="A75" s="86"/>
      <c r="B75" s="113"/>
      <c r="C75" s="86"/>
      <c r="D75" s="86"/>
      <c r="E75" s="86"/>
      <c r="F75" s="86"/>
      <c r="G75" s="86"/>
      <c r="H75" s="88"/>
      <c r="I75" s="86"/>
      <c r="J75" s="86"/>
      <c r="K75" s="86"/>
      <c r="L75" s="353"/>
      <c r="M75" s="113"/>
      <c r="N75" s="111"/>
      <c r="O75" s="111"/>
      <c r="P75" s="111"/>
      <c r="Q75" s="111"/>
      <c r="R75" s="111"/>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row>
    <row r="76" spans="1:76" s="28" customFormat="1" ht="19.5" customHeight="1">
      <c r="A76" s="86"/>
      <c r="B76" s="86"/>
      <c r="C76" s="86"/>
      <c r="D76" s="86"/>
      <c r="E76" s="86"/>
      <c r="F76" s="86"/>
      <c r="G76" s="86"/>
      <c r="H76" s="86"/>
      <c r="I76" s="86"/>
      <c r="J76" s="86"/>
      <c r="K76" s="86"/>
      <c r="L76" s="86"/>
      <c r="M76" s="86"/>
      <c r="N76" s="111"/>
      <c r="O76" s="111"/>
      <c r="P76" s="111"/>
      <c r="Q76" s="111"/>
      <c r="R76" s="111"/>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row>
    <row r="77" spans="1:76" s="28" customFormat="1" ht="19.5" customHeight="1">
      <c r="A77" s="86"/>
      <c r="B77" s="86"/>
      <c r="C77" s="86"/>
      <c r="D77" s="86"/>
      <c r="E77" s="86"/>
      <c r="F77" s="86"/>
      <c r="G77" s="277" t="s">
        <v>150</v>
      </c>
      <c r="H77" s="277"/>
      <c r="I77" s="277"/>
      <c r="J77" s="354">
        <v>0.25</v>
      </c>
      <c r="K77" s="354"/>
      <c r="L77" s="354"/>
      <c r="M77" s="354"/>
      <c r="N77" s="278" t="s">
        <v>956</v>
      </c>
      <c r="O77" s="278"/>
      <c r="P77" s="279">
        <v>24.5</v>
      </c>
      <c r="Q77" s="279"/>
      <c r="R77" s="279"/>
      <c r="S77" s="277" t="s">
        <v>915</v>
      </c>
      <c r="T77" s="277"/>
      <c r="U77" s="277"/>
      <c r="V77" s="277"/>
      <c r="W77" s="86" t="s">
        <v>958</v>
      </c>
      <c r="X77" s="276">
        <f aca="true" t="shared" si="0" ref="X77:X91">J77*P77</f>
        <v>6.125</v>
      </c>
      <c r="Y77" s="276"/>
      <c r="Z77" s="276"/>
      <c r="AA77" s="276"/>
      <c r="AB77" s="277" t="s">
        <v>179</v>
      </c>
      <c r="AC77" s="277"/>
      <c r="AD77" s="277"/>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row>
    <row r="78" spans="1:76" s="28" customFormat="1" ht="19.5" customHeight="1">
      <c r="A78" s="86"/>
      <c r="B78" s="86"/>
      <c r="C78" s="86"/>
      <c r="D78" s="86"/>
      <c r="E78" s="86"/>
      <c r="F78" s="86"/>
      <c r="G78" s="277" t="s">
        <v>151</v>
      </c>
      <c r="H78" s="277"/>
      <c r="I78" s="277"/>
      <c r="J78" s="354">
        <v>0.38</v>
      </c>
      <c r="K78" s="354"/>
      <c r="L78" s="354"/>
      <c r="M78" s="354"/>
      <c r="N78" s="278" t="s">
        <v>956</v>
      </c>
      <c r="O78" s="278"/>
      <c r="P78" s="279">
        <v>24.5</v>
      </c>
      <c r="Q78" s="279"/>
      <c r="R78" s="279"/>
      <c r="S78" s="277" t="s">
        <v>915</v>
      </c>
      <c r="T78" s="277"/>
      <c r="U78" s="277"/>
      <c r="V78" s="277"/>
      <c r="W78" s="86" t="s">
        <v>958</v>
      </c>
      <c r="X78" s="276">
        <f t="shared" si="0"/>
        <v>9.31</v>
      </c>
      <c r="Y78" s="276"/>
      <c r="Z78" s="276"/>
      <c r="AA78" s="276"/>
      <c r="AB78" s="277" t="s">
        <v>179</v>
      </c>
      <c r="AC78" s="277"/>
      <c r="AD78" s="277"/>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row>
    <row r="79" spans="1:76" s="28" customFormat="1" ht="19.5" customHeight="1">
      <c r="A79" s="86"/>
      <c r="B79" s="86"/>
      <c r="C79" s="86"/>
      <c r="D79" s="86"/>
      <c r="E79" s="86"/>
      <c r="F79" s="86"/>
      <c r="G79" s="277" t="s">
        <v>152</v>
      </c>
      <c r="H79" s="277"/>
      <c r="I79" s="277"/>
      <c r="J79" s="354">
        <v>0.38</v>
      </c>
      <c r="K79" s="354"/>
      <c r="L79" s="354"/>
      <c r="M79" s="354"/>
      <c r="N79" s="278" t="s">
        <v>956</v>
      </c>
      <c r="O79" s="278"/>
      <c r="P79" s="279">
        <v>24.5</v>
      </c>
      <c r="Q79" s="279"/>
      <c r="R79" s="279"/>
      <c r="S79" s="277" t="s">
        <v>915</v>
      </c>
      <c r="T79" s="277"/>
      <c r="U79" s="277"/>
      <c r="V79" s="277"/>
      <c r="W79" s="86" t="s">
        <v>958</v>
      </c>
      <c r="X79" s="276">
        <f t="shared" si="0"/>
        <v>9.31</v>
      </c>
      <c r="Y79" s="276"/>
      <c r="Z79" s="276"/>
      <c r="AA79" s="276"/>
      <c r="AB79" s="277" t="s">
        <v>179</v>
      </c>
      <c r="AC79" s="277"/>
      <c r="AD79" s="277"/>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row>
    <row r="80" spans="1:76" s="28" customFormat="1" ht="19.5" customHeight="1">
      <c r="A80" s="86"/>
      <c r="B80" s="86"/>
      <c r="C80" s="86"/>
      <c r="D80" s="86"/>
      <c r="E80" s="86"/>
      <c r="F80" s="86"/>
      <c r="G80" s="277" t="s">
        <v>153</v>
      </c>
      <c r="H80" s="277"/>
      <c r="I80" s="277"/>
      <c r="J80" s="354">
        <v>0.38</v>
      </c>
      <c r="K80" s="354"/>
      <c r="L80" s="354"/>
      <c r="M80" s="354"/>
      <c r="N80" s="278" t="s">
        <v>956</v>
      </c>
      <c r="O80" s="278"/>
      <c r="P80" s="279">
        <v>24.5</v>
      </c>
      <c r="Q80" s="279"/>
      <c r="R80" s="279"/>
      <c r="S80" s="277" t="s">
        <v>915</v>
      </c>
      <c r="T80" s="277"/>
      <c r="U80" s="277"/>
      <c r="V80" s="277"/>
      <c r="W80" s="86" t="s">
        <v>958</v>
      </c>
      <c r="X80" s="276">
        <f t="shared" si="0"/>
        <v>9.31</v>
      </c>
      <c r="Y80" s="276"/>
      <c r="Z80" s="276"/>
      <c r="AA80" s="276"/>
      <c r="AB80" s="277" t="s">
        <v>179</v>
      </c>
      <c r="AC80" s="277"/>
      <c r="AD80" s="277"/>
      <c r="AE80" s="86"/>
      <c r="AF80" s="86"/>
      <c r="AG80" s="86"/>
      <c r="AH80" s="86"/>
      <c r="BG80" s="86"/>
      <c r="BH80" s="86"/>
      <c r="BI80" s="86"/>
      <c r="BJ80" s="86"/>
      <c r="BK80" s="86"/>
      <c r="BL80" s="86"/>
      <c r="BM80" s="86"/>
      <c r="BN80" s="86"/>
      <c r="BO80" s="86"/>
      <c r="BP80" s="86"/>
      <c r="BQ80" s="86"/>
      <c r="BR80" s="86"/>
      <c r="BS80" s="86"/>
      <c r="BT80" s="86"/>
      <c r="BU80" s="86"/>
      <c r="BV80" s="86"/>
      <c r="BW80" s="86"/>
      <c r="BX80" s="86"/>
    </row>
    <row r="81" spans="1:76" s="28" customFormat="1" ht="19.5" customHeight="1">
      <c r="A81" s="86"/>
      <c r="B81" s="86"/>
      <c r="C81" s="86"/>
      <c r="D81" s="86"/>
      <c r="E81" s="86"/>
      <c r="F81" s="86"/>
      <c r="G81" s="277" t="s">
        <v>154</v>
      </c>
      <c r="H81" s="277"/>
      <c r="I81" s="277"/>
      <c r="J81" s="354">
        <v>0.38</v>
      </c>
      <c r="K81" s="354"/>
      <c r="L81" s="354"/>
      <c r="M81" s="354"/>
      <c r="N81" s="278" t="s">
        <v>956</v>
      </c>
      <c r="O81" s="278"/>
      <c r="P81" s="279">
        <v>24.5</v>
      </c>
      <c r="Q81" s="279"/>
      <c r="R81" s="279"/>
      <c r="S81" s="277" t="s">
        <v>915</v>
      </c>
      <c r="T81" s="277"/>
      <c r="U81" s="277"/>
      <c r="V81" s="277"/>
      <c r="W81" s="86" t="s">
        <v>958</v>
      </c>
      <c r="X81" s="276">
        <f t="shared" si="0"/>
        <v>9.31</v>
      </c>
      <c r="Y81" s="276"/>
      <c r="Z81" s="276"/>
      <c r="AA81" s="276"/>
      <c r="AB81" s="277" t="s">
        <v>179</v>
      </c>
      <c r="AC81" s="277"/>
      <c r="AD81" s="277"/>
      <c r="AE81" s="86"/>
      <c r="AF81" s="86"/>
      <c r="AG81" s="86"/>
      <c r="AH81" s="86"/>
      <c r="BG81" s="86"/>
      <c r="BH81" s="86"/>
      <c r="BI81" s="86"/>
      <c r="BJ81" s="86"/>
      <c r="BK81" s="86"/>
      <c r="BL81" s="86"/>
      <c r="BM81" s="86"/>
      <c r="BN81" s="86"/>
      <c r="BO81" s="86"/>
      <c r="BP81" s="86"/>
      <c r="BQ81" s="86"/>
      <c r="BR81" s="86"/>
      <c r="BS81" s="86"/>
      <c r="BT81" s="86"/>
      <c r="BU81" s="86"/>
      <c r="BV81" s="86"/>
      <c r="BW81" s="86"/>
      <c r="BX81" s="86"/>
    </row>
    <row r="82" spans="1:76" s="28" customFormat="1" ht="19.5" customHeight="1">
      <c r="A82" s="86"/>
      <c r="B82" s="86"/>
      <c r="C82" s="86"/>
      <c r="D82" s="86"/>
      <c r="E82" s="86"/>
      <c r="F82" s="86"/>
      <c r="G82" s="277" t="s">
        <v>868</v>
      </c>
      <c r="H82" s="277"/>
      <c r="I82" s="277"/>
      <c r="J82" s="354">
        <v>0.3</v>
      </c>
      <c r="K82" s="354"/>
      <c r="L82" s="354"/>
      <c r="M82" s="354"/>
      <c r="N82" s="278" t="s">
        <v>956</v>
      </c>
      <c r="O82" s="278"/>
      <c r="P82" s="279">
        <v>24.5</v>
      </c>
      <c r="Q82" s="279"/>
      <c r="R82" s="279"/>
      <c r="S82" s="277" t="s">
        <v>915</v>
      </c>
      <c r="T82" s="277"/>
      <c r="U82" s="277"/>
      <c r="V82" s="277"/>
      <c r="W82" s="86" t="s">
        <v>958</v>
      </c>
      <c r="X82" s="276">
        <f t="shared" si="0"/>
        <v>7.35</v>
      </c>
      <c r="Y82" s="276"/>
      <c r="Z82" s="276"/>
      <c r="AA82" s="276"/>
      <c r="AB82" s="277" t="s">
        <v>179</v>
      </c>
      <c r="AC82" s="277"/>
      <c r="AD82" s="277"/>
      <c r="AE82" s="86"/>
      <c r="AF82" s="86"/>
      <c r="AG82" s="86"/>
      <c r="AH82" s="86"/>
      <c r="BG82" s="86"/>
      <c r="BH82" s="86"/>
      <c r="BI82" s="86"/>
      <c r="BJ82" s="86"/>
      <c r="BK82" s="86"/>
      <c r="BL82" s="86"/>
      <c r="BM82" s="86"/>
      <c r="BN82" s="86"/>
      <c r="BO82" s="86"/>
      <c r="BP82" s="86"/>
      <c r="BQ82" s="86"/>
      <c r="BR82" s="86"/>
      <c r="BS82" s="86"/>
      <c r="BT82" s="86"/>
      <c r="BU82" s="86"/>
      <c r="BV82" s="86"/>
      <c r="BW82" s="86"/>
      <c r="BX82" s="86"/>
    </row>
    <row r="83" spans="1:76" s="28" customFormat="1" ht="19.5" customHeight="1">
      <c r="A83" s="86"/>
      <c r="B83" s="86"/>
      <c r="C83" s="86"/>
      <c r="D83" s="86"/>
      <c r="E83" s="86"/>
      <c r="F83" s="86"/>
      <c r="G83" s="277" t="s">
        <v>869</v>
      </c>
      <c r="H83" s="277"/>
      <c r="I83" s="277"/>
      <c r="J83" s="354">
        <v>0.3</v>
      </c>
      <c r="K83" s="354"/>
      <c r="L83" s="354"/>
      <c r="M83" s="354"/>
      <c r="N83" s="278" t="s">
        <v>956</v>
      </c>
      <c r="O83" s="278"/>
      <c r="P83" s="279">
        <v>24.5</v>
      </c>
      <c r="Q83" s="279"/>
      <c r="R83" s="279"/>
      <c r="S83" s="277" t="s">
        <v>915</v>
      </c>
      <c r="T83" s="277"/>
      <c r="U83" s="277"/>
      <c r="V83" s="277"/>
      <c r="W83" s="86" t="s">
        <v>958</v>
      </c>
      <c r="X83" s="276">
        <f t="shared" si="0"/>
        <v>7.35</v>
      </c>
      <c r="Y83" s="276"/>
      <c r="Z83" s="276"/>
      <c r="AA83" s="276"/>
      <c r="AB83" s="277" t="s">
        <v>179</v>
      </c>
      <c r="AC83" s="277"/>
      <c r="AD83" s="277"/>
      <c r="AE83" s="86"/>
      <c r="AF83" s="86"/>
      <c r="AG83" s="86"/>
      <c r="AH83" s="86"/>
      <c r="BG83" s="86"/>
      <c r="BH83" s="86"/>
      <c r="BI83" s="86"/>
      <c r="BJ83" s="86"/>
      <c r="BK83" s="86"/>
      <c r="BL83" s="86"/>
      <c r="BM83" s="86"/>
      <c r="BN83" s="86"/>
      <c r="BO83" s="86"/>
      <c r="BP83" s="86"/>
      <c r="BQ83" s="86"/>
      <c r="BR83" s="86"/>
      <c r="BS83" s="86"/>
      <c r="BT83" s="86"/>
      <c r="BU83" s="86"/>
      <c r="BV83" s="86"/>
      <c r="BW83" s="86"/>
      <c r="BX83" s="86"/>
    </row>
    <row r="84" spans="1:76" s="28" customFormat="1" ht="19.5" customHeight="1">
      <c r="A84" s="86"/>
      <c r="B84" s="86"/>
      <c r="C84" s="86"/>
      <c r="D84" s="86"/>
      <c r="E84" s="86"/>
      <c r="F84" s="86"/>
      <c r="G84" s="277" t="s">
        <v>870</v>
      </c>
      <c r="H84" s="277"/>
      <c r="I84" s="277"/>
      <c r="J84" s="354">
        <v>0.3</v>
      </c>
      <c r="K84" s="354"/>
      <c r="L84" s="354"/>
      <c r="M84" s="354"/>
      <c r="N84" s="278" t="s">
        <v>956</v>
      </c>
      <c r="O84" s="278"/>
      <c r="P84" s="279">
        <v>24.5</v>
      </c>
      <c r="Q84" s="279"/>
      <c r="R84" s="279"/>
      <c r="S84" s="277" t="s">
        <v>915</v>
      </c>
      <c r="T84" s="277"/>
      <c r="U84" s="277"/>
      <c r="V84" s="277"/>
      <c r="W84" s="86" t="s">
        <v>958</v>
      </c>
      <c r="X84" s="276">
        <f t="shared" si="0"/>
        <v>7.35</v>
      </c>
      <c r="Y84" s="276"/>
      <c r="Z84" s="276"/>
      <c r="AA84" s="276"/>
      <c r="AB84" s="277" t="s">
        <v>179</v>
      </c>
      <c r="AC84" s="277"/>
      <c r="AD84" s="277"/>
      <c r="AE84" s="86"/>
      <c r="AF84" s="86"/>
      <c r="AG84" s="86"/>
      <c r="AH84" s="86"/>
      <c r="BG84" s="86"/>
      <c r="BH84" s="86"/>
      <c r="BI84" s="86"/>
      <c r="BJ84" s="86"/>
      <c r="BK84" s="86"/>
      <c r="BL84" s="86"/>
      <c r="BM84" s="86"/>
      <c r="BN84" s="86"/>
      <c r="BO84" s="86"/>
      <c r="BP84" s="86"/>
      <c r="BQ84" s="86"/>
      <c r="BR84" s="86"/>
      <c r="BS84" s="86"/>
      <c r="BT84" s="86"/>
      <c r="BU84" s="86"/>
      <c r="BV84" s="86"/>
      <c r="BW84" s="86"/>
      <c r="BX84" s="86"/>
    </row>
    <row r="85" spans="1:76" s="28" customFormat="1" ht="19.5" customHeight="1">
      <c r="A85" s="86"/>
      <c r="B85" s="86"/>
      <c r="C85" s="86"/>
      <c r="D85" s="86"/>
      <c r="E85" s="86"/>
      <c r="F85" s="86"/>
      <c r="G85" s="277" t="s">
        <v>871</v>
      </c>
      <c r="H85" s="277"/>
      <c r="I85" s="277"/>
      <c r="J85" s="354">
        <v>0.3</v>
      </c>
      <c r="K85" s="354"/>
      <c r="L85" s="354"/>
      <c r="M85" s="354"/>
      <c r="N85" s="278" t="s">
        <v>956</v>
      </c>
      <c r="O85" s="278"/>
      <c r="P85" s="279">
        <v>24.5</v>
      </c>
      <c r="Q85" s="279"/>
      <c r="R85" s="279"/>
      <c r="S85" s="277" t="s">
        <v>915</v>
      </c>
      <c r="T85" s="277"/>
      <c r="U85" s="277"/>
      <c r="V85" s="277"/>
      <c r="W85" s="86" t="s">
        <v>958</v>
      </c>
      <c r="X85" s="276">
        <f t="shared" si="0"/>
        <v>7.35</v>
      </c>
      <c r="Y85" s="276"/>
      <c r="Z85" s="276"/>
      <c r="AA85" s="276"/>
      <c r="AB85" s="277" t="s">
        <v>179</v>
      </c>
      <c r="AC85" s="277"/>
      <c r="AD85" s="277"/>
      <c r="AE85" s="86"/>
      <c r="AF85" s="86"/>
      <c r="AG85" s="86"/>
      <c r="AH85" s="86"/>
      <c r="BG85" s="86"/>
      <c r="BH85" s="86"/>
      <c r="BI85" s="86"/>
      <c r="BJ85" s="86"/>
      <c r="BK85" s="86"/>
      <c r="BL85" s="86"/>
      <c r="BM85" s="86"/>
      <c r="BN85" s="86"/>
      <c r="BO85" s="86"/>
      <c r="BP85" s="86"/>
      <c r="BQ85" s="86"/>
      <c r="BR85" s="86"/>
      <c r="BS85" s="86"/>
      <c r="BT85" s="86"/>
      <c r="BU85" s="86"/>
      <c r="BV85" s="86"/>
      <c r="BW85" s="86"/>
      <c r="BX85" s="86"/>
    </row>
    <row r="86" spans="1:76" s="28" customFormat="1" ht="19.5" customHeight="1">
      <c r="A86" s="86"/>
      <c r="B86" s="86"/>
      <c r="C86" s="86"/>
      <c r="D86" s="86"/>
      <c r="E86" s="86"/>
      <c r="F86" s="86"/>
      <c r="G86" s="277" t="s">
        <v>872</v>
      </c>
      <c r="H86" s="277"/>
      <c r="I86" s="277"/>
      <c r="J86" s="354">
        <v>0.3</v>
      </c>
      <c r="K86" s="354"/>
      <c r="L86" s="354"/>
      <c r="M86" s="354"/>
      <c r="N86" s="278" t="s">
        <v>956</v>
      </c>
      <c r="O86" s="278"/>
      <c r="P86" s="279">
        <v>24.5</v>
      </c>
      <c r="Q86" s="279"/>
      <c r="R86" s="279"/>
      <c r="S86" s="277" t="s">
        <v>915</v>
      </c>
      <c r="T86" s="277"/>
      <c r="U86" s="277"/>
      <c r="V86" s="277"/>
      <c r="W86" s="86" t="s">
        <v>958</v>
      </c>
      <c r="X86" s="276">
        <f t="shared" si="0"/>
        <v>7.35</v>
      </c>
      <c r="Y86" s="276"/>
      <c r="Z86" s="276"/>
      <c r="AA86" s="276"/>
      <c r="AB86" s="277" t="s">
        <v>179</v>
      </c>
      <c r="AC86" s="277"/>
      <c r="AD86" s="277"/>
      <c r="AE86" s="86"/>
      <c r="AF86" s="86"/>
      <c r="AG86" s="86"/>
      <c r="AH86" s="86"/>
      <c r="BG86" s="86"/>
      <c r="BH86" s="86"/>
      <c r="BI86" s="86"/>
      <c r="BJ86" s="86"/>
      <c r="BK86" s="86"/>
      <c r="BL86" s="86"/>
      <c r="BM86" s="86"/>
      <c r="BN86" s="86"/>
      <c r="BO86" s="86"/>
      <c r="BP86" s="86"/>
      <c r="BQ86" s="86"/>
      <c r="BR86" s="86"/>
      <c r="BS86" s="86"/>
      <c r="BT86" s="86"/>
      <c r="BU86" s="86"/>
      <c r="BV86" s="86"/>
      <c r="BW86" s="86"/>
      <c r="BX86" s="86"/>
    </row>
    <row r="87" spans="1:76" s="28" customFormat="1" ht="19.5" customHeight="1">
      <c r="A87" s="86"/>
      <c r="B87" s="86"/>
      <c r="C87" s="86"/>
      <c r="D87" s="86"/>
      <c r="E87" s="86"/>
      <c r="F87" s="86"/>
      <c r="G87" s="277" t="s">
        <v>873</v>
      </c>
      <c r="H87" s="277"/>
      <c r="I87" s="277"/>
      <c r="J87" s="354">
        <v>0.38</v>
      </c>
      <c r="K87" s="354"/>
      <c r="L87" s="354"/>
      <c r="M87" s="354"/>
      <c r="N87" s="278" t="s">
        <v>956</v>
      </c>
      <c r="O87" s="278"/>
      <c r="P87" s="279">
        <v>24.5</v>
      </c>
      <c r="Q87" s="279"/>
      <c r="R87" s="279"/>
      <c r="S87" s="277" t="s">
        <v>915</v>
      </c>
      <c r="T87" s="277"/>
      <c r="U87" s="277"/>
      <c r="V87" s="277"/>
      <c r="W87" s="86" t="s">
        <v>958</v>
      </c>
      <c r="X87" s="276">
        <f t="shared" si="0"/>
        <v>9.31</v>
      </c>
      <c r="Y87" s="276"/>
      <c r="Z87" s="276"/>
      <c r="AA87" s="276"/>
      <c r="AB87" s="277" t="s">
        <v>179</v>
      </c>
      <c r="AC87" s="277"/>
      <c r="AD87" s="277"/>
      <c r="AE87" s="86"/>
      <c r="AF87" s="86"/>
      <c r="AG87" s="86"/>
      <c r="AH87" s="86"/>
      <c r="BG87" s="86"/>
      <c r="BH87" s="86"/>
      <c r="BI87" s="86"/>
      <c r="BJ87" s="86"/>
      <c r="BK87" s="86"/>
      <c r="BL87" s="86"/>
      <c r="BM87" s="86"/>
      <c r="BN87" s="86"/>
      <c r="BO87" s="86"/>
      <c r="BP87" s="86"/>
      <c r="BQ87" s="86"/>
      <c r="BR87" s="86"/>
      <c r="BS87" s="86"/>
      <c r="BT87" s="86"/>
      <c r="BU87" s="86"/>
      <c r="BV87" s="86"/>
      <c r="BW87" s="86"/>
      <c r="BX87" s="86"/>
    </row>
    <row r="88" spans="1:76" s="28" customFormat="1" ht="19.5" customHeight="1">
      <c r="A88" s="86"/>
      <c r="B88" s="86"/>
      <c r="C88" s="86"/>
      <c r="D88" s="86"/>
      <c r="E88" s="86"/>
      <c r="F88" s="86"/>
      <c r="G88" s="277" t="s">
        <v>1017</v>
      </c>
      <c r="H88" s="277"/>
      <c r="I88" s="277"/>
      <c r="J88" s="354">
        <v>0.38</v>
      </c>
      <c r="K88" s="354"/>
      <c r="L88" s="354"/>
      <c r="M88" s="354"/>
      <c r="N88" s="278" t="s">
        <v>956</v>
      </c>
      <c r="O88" s="278"/>
      <c r="P88" s="279">
        <v>24.5</v>
      </c>
      <c r="Q88" s="279"/>
      <c r="R88" s="279"/>
      <c r="S88" s="277" t="s">
        <v>915</v>
      </c>
      <c r="T88" s="277"/>
      <c r="U88" s="277"/>
      <c r="V88" s="277"/>
      <c r="W88" s="86" t="s">
        <v>958</v>
      </c>
      <c r="X88" s="276">
        <f t="shared" si="0"/>
        <v>9.31</v>
      </c>
      <c r="Y88" s="276"/>
      <c r="Z88" s="276"/>
      <c r="AA88" s="276"/>
      <c r="AB88" s="277" t="s">
        <v>179</v>
      </c>
      <c r="AC88" s="277"/>
      <c r="AD88" s="277"/>
      <c r="AE88" s="86"/>
      <c r="AF88" s="86"/>
      <c r="AG88" s="86"/>
      <c r="AH88" s="86"/>
      <c r="BG88" s="86"/>
      <c r="BH88" s="86"/>
      <c r="BI88" s="86"/>
      <c r="BJ88" s="86"/>
      <c r="BK88" s="86"/>
      <c r="BL88" s="86"/>
      <c r="BM88" s="86"/>
      <c r="BN88" s="86"/>
      <c r="BO88" s="86"/>
      <c r="BP88" s="86"/>
      <c r="BQ88" s="86"/>
      <c r="BR88" s="86"/>
      <c r="BS88" s="86"/>
      <c r="BT88" s="86"/>
      <c r="BU88" s="86"/>
      <c r="BV88" s="86"/>
      <c r="BW88" s="86"/>
      <c r="BX88" s="86"/>
    </row>
    <row r="89" spans="1:76" s="28" customFormat="1" ht="19.5" customHeight="1">
      <c r="A89" s="86"/>
      <c r="B89" s="86"/>
      <c r="C89" s="86"/>
      <c r="D89" s="86"/>
      <c r="E89" s="86"/>
      <c r="F89" s="86"/>
      <c r="G89" s="277" t="s">
        <v>180</v>
      </c>
      <c r="H89" s="277"/>
      <c r="I89" s="277"/>
      <c r="J89" s="354">
        <v>0.38</v>
      </c>
      <c r="K89" s="354"/>
      <c r="L89" s="354"/>
      <c r="M89" s="354"/>
      <c r="N89" s="278" t="s">
        <v>956</v>
      </c>
      <c r="O89" s="278"/>
      <c r="P89" s="279">
        <v>24.5</v>
      </c>
      <c r="Q89" s="279"/>
      <c r="R89" s="279"/>
      <c r="S89" s="277" t="s">
        <v>915</v>
      </c>
      <c r="T89" s="277"/>
      <c r="U89" s="277"/>
      <c r="V89" s="277"/>
      <c r="W89" s="86" t="s">
        <v>958</v>
      </c>
      <c r="X89" s="276">
        <f t="shared" si="0"/>
        <v>9.31</v>
      </c>
      <c r="Y89" s="276"/>
      <c r="Z89" s="276"/>
      <c r="AA89" s="276"/>
      <c r="AB89" s="277" t="s">
        <v>179</v>
      </c>
      <c r="AC89" s="277"/>
      <c r="AD89" s="277"/>
      <c r="AE89" s="86"/>
      <c r="AF89" s="86"/>
      <c r="AG89" s="86"/>
      <c r="AH89" s="86"/>
      <c r="BG89" s="86"/>
      <c r="BH89" s="86"/>
      <c r="BI89" s="86"/>
      <c r="BJ89" s="86"/>
      <c r="BK89" s="86"/>
      <c r="BL89" s="86"/>
      <c r="BM89" s="86"/>
      <c r="BN89" s="86"/>
      <c r="BO89" s="86"/>
      <c r="BP89" s="86"/>
      <c r="BQ89" s="86"/>
      <c r="BR89" s="86"/>
      <c r="BS89" s="86"/>
      <c r="BT89" s="86"/>
      <c r="BU89" s="86"/>
      <c r="BV89" s="86"/>
      <c r="BW89" s="86"/>
      <c r="BX89" s="86"/>
    </row>
    <row r="90" spans="1:76" s="28" customFormat="1" ht="19.5" customHeight="1">
      <c r="A90" s="86"/>
      <c r="B90" s="86"/>
      <c r="C90" s="86"/>
      <c r="D90" s="86"/>
      <c r="E90" s="86"/>
      <c r="F90" s="86"/>
      <c r="G90" s="277" t="s">
        <v>181</v>
      </c>
      <c r="H90" s="277"/>
      <c r="I90" s="277"/>
      <c r="J90" s="354">
        <v>0.38</v>
      </c>
      <c r="K90" s="354"/>
      <c r="L90" s="354"/>
      <c r="M90" s="354"/>
      <c r="N90" s="278" t="s">
        <v>956</v>
      </c>
      <c r="O90" s="278"/>
      <c r="P90" s="279">
        <v>24.5</v>
      </c>
      <c r="Q90" s="279"/>
      <c r="R90" s="279"/>
      <c r="S90" s="277" t="s">
        <v>915</v>
      </c>
      <c r="T90" s="277"/>
      <c r="U90" s="277"/>
      <c r="V90" s="277"/>
      <c r="W90" s="86" t="s">
        <v>958</v>
      </c>
      <c r="X90" s="276">
        <f t="shared" si="0"/>
        <v>9.31</v>
      </c>
      <c r="Y90" s="276"/>
      <c r="Z90" s="276"/>
      <c r="AA90" s="276"/>
      <c r="AB90" s="277" t="s">
        <v>179</v>
      </c>
      <c r="AC90" s="277"/>
      <c r="AD90" s="277"/>
      <c r="AE90" s="86"/>
      <c r="AF90" s="86"/>
      <c r="AG90" s="86"/>
      <c r="AH90" s="86"/>
      <c r="BG90" s="86"/>
      <c r="BH90" s="86"/>
      <c r="BI90" s="86"/>
      <c r="BJ90" s="86"/>
      <c r="BK90" s="86"/>
      <c r="BL90" s="86"/>
      <c r="BM90" s="86"/>
      <c r="BN90" s="86"/>
      <c r="BO90" s="86"/>
      <c r="BP90" s="86"/>
      <c r="BQ90" s="86"/>
      <c r="BR90" s="86"/>
      <c r="BS90" s="86"/>
      <c r="BT90" s="86"/>
      <c r="BU90" s="86"/>
      <c r="BV90" s="86"/>
      <c r="BW90" s="86"/>
      <c r="BX90" s="86"/>
    </row>
    <row r="91" spans="1:76" s="28" customFormat="1" ht="19.5" customHeight="1">
      <c r="A91" s="86"/>
      <c r="B91" s="86"/>
      <c r="C91" s="86"/>
      <c r="D91" s="86"/>
      <c r="E91" s="86"/>
      <c r="F91" s="86"/>
      <c r="G91" s="277" t="s">
        <v>182</v>
      </c>
      <c r="H91" s="277"/>
      <c r="I91" s="277"/>
      <c r="J91" s="354">
        <v>0.25</v>
      </c>
      <c r="K91" s="354"/>
      <c r="L91" s="354"/>
      <c r="M91" s="354"/>
      <c r="N91" s="278" t="s">
        <v>956</v>
      </c>
      <c r="O91" s="278"/>
      <c r="P91" s="279">
        <v>24.5</v>
      </c>
      <c r="Q91" s="279"/>
      <c r="R91" s="279"/>
      <c r="S91" s="277" t="s">
        <v>915</v>
      </c>
      <c r="T91" s="277"/>
      <c r="U91" s="277"/>
      <c r="V91" s="277"/>
      <c r="W91" s="86" t="s">
        <v>958</v>
      </c>
      <c r="X91" s="276">
        <f t="shared" si="0"/>
        <v>6.125</v>
      </c>
      <c r="Y91" s="276"/>
      <c r="Z91" s="276"/>
      <c r="AA91" s="276"/>
      <c r="AB91" s="277" t="s">
        <v>179</v>
      </c>
      <c r="AC91" s="277"/>
      <c r="AD91" s="277"/>
      <c r="AE91" s="86"/>
      <c r="AF91" s="86"/>
      <c r="AG91" s="86"/>
      <c r="AH91" s="86"/>
      <c r="BG91" s="86"/>
      <c r="BH91" s="86"/>
      <c r="BI91" s="86"/>
      <c r="BJ91" s="86"/>
      <c r="BK91" s="86"/>
      <c r="BL91" s="86"/>
      <c r="BM91" s="86"/>
      <c r="BN91" s="86"/>
      <c r="BO91" s="86"/>
      <c r="BP91" s="86"/>
      <c r="BQ91" s="86"/>
      <c r="BR91" s="86"/>
      <c r="BS91" s="86"/>
      <c r="BT91" s="86"/>
      <c r="BU91" s="86"/>
      <c r="BV91" s="86"/>
      <c r="BW91" s="86"/>
      <c r="BX91" s="86"/>
    </row>
    <row r="92" spans="1:76" s="28" customFormat="1" ht="19.5" customHeight="1">
      <c r="A92" s="86"/>
      <c r="B92" s="86"/>
      <c r="C92" s="86"/>
      <c r="D92" s="86"/>
      <c r="E92" s="86"/>
      <c r="F92" s="86"/>
      <c r="G92" s="88"/>
      <c r="H92" s="88"/>
      <c r="I92" s="88"/>
      <c r="J92" s="166"/>
      <c r="K92" s="166"/>
      <c r="L92" s="166"/>
      <c r="M92" s="166"/>
      <c r="N92" s="116"/>
      <c r="O92" s="116"/>
      <c r="P92" s="167"/>
      <c r="Q92" s="167"/>
      <c r="R92" s="167"/>
      <c r="S92" s="88"/>
      <c r="T92" s="88"/>
      <c r="U92" s="88"/>
      <c r="V92" s="88"/>
      <c r="W92" s="86"/>
      <c r="X92" s="166"/>
      <c r="Y92" s="166"/>
      <c r="Z92" s="166"/>
      <c r="AA92" s="166"/>
      <c r="AB92" s="88"/>
      <c r="AC92" s="88"/>
      <c r="AD92" s="88"/>
      <c r="AE92" s="86"/>
      <c r="AF92" s="86"/>
      <c r="AG92" s="86"/>
      <c r="AH92" s="86"/>
      <c r="BG92" s="86"/>
      <c r="BH92" s="86"/>
      <c r="BI92" s="86"/>
      <c r="BJ92" s="86"/>
      <c r="BK92" s="86"/>
      <c r="BL92" s="86"/>
      <c r="BM92" s="86"/>
      <c r="BN92" s="86"/>
      <c r="BO92" s="86"/>
      <c r="BP92" s="86"/>
      <c r="BQ92" s="86"/>
      <c r="BR92" s="86"/>
      <c r="BS92" s="86"/>
      <c r="BT92" s="86"/>
      <c r="BU92" s="86"/>
      <c r="BV92" s="86"/>
      <c r="BW92" s="86"/>
      <c r="BX92" s="86"/>
    </row>
    <row r="93" spans="1:76" s="28" customFormat="1" ht="19.5" customHeight="1">
      <c r="A93" s="86"/>
      <c r="B93" s="86"/>
      <c r="C93" s="86"/>
      <c r="D93" s="86"/>
      <c r="E93" s="86"/>
      <c r="F93" s="86"/>
      <c r="G93" s="88"/>
      <c r="H93" s="88"/>
      <c r="I93" s="88"/>
      <c r="J93" s="166"/>
      <c r="K93" s="166"/>
      <c r="L93" s="166"/>
      <c r="M93" s="166"/>
      <c r="N93" s="116"/>
      <c r="O93" s="116"/>
      <c r="P93" s="167"/>
      <c r="Q93" s="167"/>
      <c r="R93" s="167"/>
      <c r="S93" s="88"/>
      <c r="T93" s="88"/>
      <c r="U93" s="88"/>
      <c r="V93" s="88"/>
      <c r="W93" s="86"/>
      <c r="X93" s="166"/>
      <c r="Y93" s="166"/>
      <c r="Z93" s="166"/>
      <c r="AA93" s="166"/>
      <c r="AB93" s="88"/>
      <c r="AC93" s="88"/>
      <c r="AD93" s="88"/>
      <c r="AE93" s="86"/>
      <c r="AF93" s="86"/>
      <c r="AG93" s="86"/>
      <c r="AH93" s="86"/>
      <c r="BG93" s="86"/>
      <c r="BH93" s="86"/>
      <c r="BI93" s="86"/>
      <c r="BJ93" s="86"/>
      <c r="BK93" s="86"/>
      <c r="BL93" s="86"/>
      <c r="BM93" s="86"/>
      <c r="BN93" s="86"/>
      <c r="BO93" s="86"/>
      <c r="BP93" s="86"/>
      <c r="BQ93" s="86"/>
      <c r="BR93" s="86"/>
      <c r="BS93" s="86"/>
      <c r="BT93" s="86"/>
      <c r="BU93" s="86"/>
      <c r="BV93" s="86"/>
      <c r="BW93" s="86"/>
      <c r="BX93" s="86"/>
    </row>
    <row r="94" spans="1:76" s="28" customFormat="1" ht="19.5" customHeight="1">
      <c r="A94" s="86"/>
      <c r="B94" s="86"/>
      <c r="C94" s="86"/>
      <c r="D94" s="86"/>
      <c r="E94" s="86"/>
      <c r="F94" s="86"/>
      <c r="G94" s="88"/>
      <c r="H94" s="88"/>
      <c r="I94" s="88"/>
      <c r="J94" s="166"/>
      <c r="K94" s="166"/>
      <c r="L94" s="166"/>
      <c r="M94" s="166"/>
      <c r="N94" s="116"/>
      <c r="O94" s="116"/>
      <c r="P94" s="167"/>
      <c r="Q94" s="167"/>
      <c r="R94" s="167"/>
      <c r="S94" s="88"/>
      <c r="T94" s="88"/>
      <c r="U94" s="88"/>
      <c r="V94" s="88"/>
      <c r="W94" s="86"/>
      <c r="X94" s="166"/>
      <c r="Y94" s="166"/>
      <c r="Z94" s="166"/>
      <c r="AA94" s="166"/>
      <c r="AB94" s="88"/>
      <c r="AC94" s="88"/>
      <c r="AD94" s="88"/>
      <c r="AE94" s="86"/>
      <c r="AF94" s="86"/>
      <c r="AG94" s="86"/>
      <c r="AH94" s="86"/>
      <c r="BG94" s="86"/>
      <c r="BH94" s="86"/>
      <c r="BI94" s="86"/>
      <c r="BJ94" s="86"/>
      <c r="BK94" s="86"/>
      <c r="BL94" s="86"/>
      <c r="BM94" s="86"/>
      <c r="BN94" s="86"/>
      <c r="BO94" s="86"/>
      <c r="BP94" s="86"/>
      <c r="BQ94" s="86"/>
      <c r="BR94" s="86"/>
      <c r="BS94" s="86"/>
      <c r="BT94" s="86"/>
      <c r="BU94" s="86"/>
      <c r="BV94" s="86"/>
      <c r="BW94" s="86"/>
      <c r="BX94" s="86"/>
    </row>
    <row r="95" spans="1:76" s="28" customFormat="1" ht="19.5" customHeight="1">
      <c r="A95" s="86"/>
      <c r="B95" s="86"/>
      <c r="C95" s="86"/>
      <c r="D95" s="86"/>
      <c r="E95" s="86"/>
      <c r="F95" s="86"/>
      <c r="G95" s="88"/>
      <c r="H95" s="88"/>
      <c r="I95" s="88"/>
      <c r="J95" s="166"/>
      <c r="K95" s="166"/>
      <c r="L95" s="166"/>
      <c r="M95" s="166"/>
      <c r="N95" s="116"/>
      <c r="O95" s="116"/>
      <c r="P95" s="167"/>
      <c r="Q95" s="167"/>
      <c r="R95" s="167"/>
      <c r="S95" s="88"/>
      <c r="T95" s="88"/>
      <c r="U95" s="88"/>
      <c r="V95" s="88"/>
      <c r="W95" s="86"/>
      <c r="X95" s="166"/>
      <c r="Y95" s="166"/>
      <c r="Z95" s="166"/>
      <c r="AA95" s="166"/>
      <c r="AB95" s="88"/>
      <c r="AC95" s="88"/>
      <c r="AD95" s="88"/>
      <c r="AE95" s="86"/>
      <c r="AF95" s="86"/>
      <c r="AG95" s="86"/>
      <c r="AH95" s="86"/>
      <c r="BG95" s="86"/>
      <c r="BH95" s="86"/>
      <c r="BI95" s="86"/>
      <c r="BJ95" s="86"/>
      <c r="BK95" s="86"/>
      <c r="BL95" s="86"/>
      <c r="BM95" s="86"/>
      <c r="BN95" s="86"/>
      <c r="BO95" s="86"/>
      <c r="BP95" s="86"/>
      <c r="BQ95" s="86"/>
      <c r="BR95" s="86"/>
      <c r="BS95" s="86"/>
      <c r="BT95" s="86"/>
      <c r="BU95" s="86"/>
      <c r="BV95" s="86"/>
      <c r="BW95" s="86"/>
      <c r="BX95" s="86"/>
    </row>
    <row r="96" spans="1:76" s="28" customFormat="1" ht="19.5" customHeight="1">
      <c r="A96" s="86"/>
      <c r="B96" s="86"/>
      <c r="C96" s="86"/>
      <c r="D96" s="86"/>
      <c r="E96" s="86"/>
      <c r="F96" s="86"/>
      <c r="G96" s="88"/>
      <c r="H96" s="88"/>
      <c r="I96" s="88"/>
      <c r="J96" s="166"/>
      <c r="K96" s="166"/>
      <c r="L96" s="166"/>
      <c r="M96" s="166"/>
      <c r="N96" s="116"/>
      <c r="O96" s="116"/>
      <c r="P96" s="167"/>
      <c r="Q96" s="167"/>
      <c r="R96" s="167"/>
      <c r="S96" s="88"/>
      <c r="T96" s="88"/>
      <c r="U96" s="88"/>
      <c r="V96" s="88"/>
      <c r="W96" s="86"/>
      <c r="X96" s="166"/>
      <c r="Y96" s="166"/>
      <c r="Z96" s="166"/>
      <c r="AA96" s="166"/>
      <c r="AB96" s="88"/>
      <c r="AC96" s="88"/>
      <c r="AD96" s="88"/>
      <c r="AE96" s="86"/>
      <c r="AF96" s="86"/>
      <c r="AG96" s="86"/>
      <c r="AH96" s="86"/>
      <c r="BG96" s="86"/>
      <c r="BH96" s="86"/>
      <c r="BI96" s="86"/>
      <c r="BJ96" s="86"/>
      <c r="BK96" s="86"/>
      <c r="BL96" s="86"/>
      <c r="BM96" s="86"/>
      <c r="BN96" s="86"/>
      <c r="BO96" s="86"/>
      <c r="BP96" s="86"/>
      <c r="BQ96" s="86"/>
      <c r="BR96" s="86"/>
      <c r="BS96" s="86"/>
      <c r="BT96" s="86"/>
      <c r="BU96" s="86"/>
      <c r="BV96" s="86"/>
      <c r="BW96" s="86"/>
      <c r="BX96" s="86"/>
    </row>
    <row r="97" spans="1:76" s="28" customFormat="1" ht="19.5" customHeight="1">
      <c r="A97" s="86"/>
      <c r="B97" s="86"/>
      <c r="C97" s="86"/>
      <c r="D97" s="86"/>
      <c r="E97" s="86"/>
      <c r="F97" s="86"/>
      <c r="G97" s="88"/>
      <c r="H97" s="88"/>
      <c r="I97" s="88"/>
      <c r="J97" s="166"/>
      <c r="K97" s="166"/>
      <c r="L97" s="166"/>
      <c r="M97" s="166"/>
      <c r="N97" s="116"/>
      <c r="O97" s="116"/>
      <c r="P97" s="167"/>
      <c r="Q97" s="167"/>
      <c r="R97" s="167"/>
      <c r="S97" s="88"/>
      <c r="T97" s="88"/>
      <c r="U97" s="88"/>
      <c r="V97" s="88"/>
      <c r="W97" s="86"/>
      <c r="X97" s="166"/>
      <c r="Y97" s="166"/>
      <c r="Z97" s="166"/>
      <c r="AA97" s="166"/>
      <c r="AB97" s="88"/>
      <c r="AC97" s="88"/>
      <c r="AD97" s="88"/>
      <c r="AE97" s="86"/>
      <c r="AF97" s="86"/>
      <c r="AG97" s="86"/>
      <c r="AH97" s="86"/>
      <c r="BG97" s="86"/>
      <c r="BH97" s="86"/>
      <c r="BI97" s="86"/>
      <c r="BJ97" s="86"/>
      <c r="BK97" s="86"/>
      <c r="BL97" s="86"/>
      <c r="BM97" s="86"/>
      <c r="BN97" s="86"/>
      <c r="BO97" s="86"/>
      <c r="BP97" s="86"/>
      <c r="BQ97" s="86"/>
      <c r="BR97" s="86"/>
      <c r="BS97" s="86"/>
      <c r="BT97" s="86"/>
      <c r="BU97" s="86"/>
      <c r="BV97" s="86"/>
      <c r="BW97" s="86"/>
      <c r="BX97" s="86"/>
    </row>
    <row r="98" spans="1:76" s="28" customFormat="1" ht="19.5" customHeight="1">
      <c r="A98" s="86"/>
      <c r="B98" s="86"/>
      <c r="C98" s="86"/>
      <c r="D98" s="86"/>
      <c r="E98" s="86"/>
      <c r="F98" s="86"/>
      <c r="G98" s="86"/>
      <c r="H98" s="86"/>
      <c r="I98" s="86"/>
      <c r="J98" s="86"/>
      <c r="K98" s="86"/>
      <c r="L98" s="86"/>
      <c r="M98" s="27"/>
      <c r="N98" s="27"/>
      <c r="O98" s="27"/>
      <c r="P98" s="27"/>
      <c r="Q98" s="27"/>
      <c r="R98" s="27"/>
      <c r="S98" s="27"/>
      <c r="T98" s="27"/>
      <c r="U98" s="27"/>
      <c r="V98" s="27"/>
      <c r="W98" s="27"/>
      <c r="X98" s="27"/>
      <c r="Y98" s="27"/>
      <c r="Z98" s="27"/>
      <c r="AA98" s="27"/>
      <c r="AB98" s="27"/>
      <c r="AC98" s="27"/>
      <c r="AD98" s="27"/>
      <c r="AE98" s="27"/>
      <c r="AF98" s="27"/>
      <c r="AG98" s="27"/>
      <c r="AH98" s="29"/>
      <c r="AI98" s="29"/>
      <c r="AJ98" s="29"/>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row>
    <row r="99" spans="1:76" s="28" customFormat="1" ht="19.5" customHeight="1">
      <c r="A99" s="86"/>
      <c r="B99" s="86"/>
      <c r="C99" s="86"/>
      <c r="D99" s="86"/>
      <c r="E99" s="86"/>
      <c r="F99" s="86"/>
      <c r="G99" s="86"/>
      <c r="H99" s="86"/>
      <c r="I99" s="86"/>
      <c r="J99" s="86"/>
      <c r="K99" s="86"/>
      <c r="L99" s="86"/>
      <c r="M99" s="27"/>
      <c r="N99" s="27"/>
      <c r="O99" s="27"/>
      <c r="P99" s="27"/>
      <c r="Q99" s="27"/>
      <c r="R99" s="27"/>
      <c r="S99" s="27"/>
      <c r="T99" s="27"/>
      <c r="U99" s="27"/>
      <c r="V99" s="27"/>
      <c r="W99" s="27"/>
      <c r="X99" s="27"/>
      <c r="Y99" s="27"/>
      <c r="Z99" s="27"/>
      <c r="AA99" s="27"/>
      <c r="AB99" s="27"/>
      <c r="AC99" s="27"/>
      <c r="AD99" s="27"/>
      <c r="AE99" s="27"/>
      <c r="AF99" s="27"/>
      <c r="AG99" s="27"/>
      <c r="AH99" s="29"/>
      <c r="AI99" s="29"/>
      <c r="AJ99" s="29"/>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row>
    <row r="100" spans="1:45" ht="19.5" customHeight="1">
      <c r="A100" s="4"/>
      <c r="B100" s="4"/>
      <c r="C100" s="4"/>
      <c r="D100" s="4"/>
      <c r="E100" s="30" t="s">
        <v>1254</v>
      </c>
      <c r="G100" s="4"/>
      <c r="H100" s="4"/>
      <c r="I100" s="4"/>
      <c r="J100" s="4"/>
      <c r="K100" s="4"/>
      <c r="L100" s="4"/>
      <c r="AS100" s="6"/>
    </row>
    <row r="101" spans="1:76" s="28" customFormat="1" ht="19.5" customHeight="1">
      <c r="A101" s="117"/>
      <c r="B101" s="86"/>
      <c r="C101" s="86"/>
      <c r="D101" s="86"/>
      <c r="E101" s="120"/>
      <c r="F101" s="120"/>
      <c r="G101" s="120"/>
      <c r="H101" s="120"/>
      <c r="I101" s="114"/>
      <c r="J101" s="86"/>
      <c r="K101" s="86"/>
      <c r="L101" s="86"/>
      <c r="M101" s="86"/>
      <c r="N101" s="111"/>
      <c r="O101" s="111"/>
      <c r="P101" s="111"/>
      <c r="Q101" s="111"/>
      <c r="R101" s="111"/>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row>
    <row r="102" spans="1:76" s="28" customFormat="1" ht="19.5" customHeight="1">
      <c r="A102" s="117"/>
      <c r="B102" s="86"/>
      <c r="C102" s="86"/>
      <c r="D102" s="86"/>
      <c r="E102" s="88"/>
      <c r="F102" s="86"/>
      <c r="G102" s="86"/>
      <c r="H102" s="86"/>
      <c r="I102" s="86"/>
      <c r="J102" s="86"/>
      <c r="K102" s="86"/>
      <c r="L102" s="86"/>
      <c r="M102" s="86"/>
      <c r="N102" s="111"/>
      <c r="O102" s="111"/>
      <c r="P102" s="111"/>
      <c r="Q102" s="111"/>
      <c r="R102" s="111"/>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row>
    <row r="103" spans="1:76" s="28" customFormat="1" ht="19.5" customHeight="1">
      <c r="A103" s="117"/>
      <c r="B103" s="86"/>
      <c r="C103" s="86"/>
      <c r="D103" s="86"/>
      <c r="E103" s="86"/>
      <c r="F103" s="86"/>
      <c r="G103" s="86"/>
      <c r="H103" s="86"/>
      <c r="I103" s="86"/>
      <c r="J103" s="86"/>
      <c r="K103" s="86"/>
      <c r="L103" s="86"/>
      <c r="M103" s="86"/>
      <c r="N103" s="111"/>
      <c r="O103" s="111"/>
      <c r="P103" s="111"/>
      <c r="Q103" s="111"/>
      <c r="R103" s="111"/>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row>
    <row r="104" spans="1:76" s="28" customFormat="1" ht="19.5" customHeight="1">
      <c r="A104" s="117"/>
      <c r="B104" s="86"/>
      <c r="C104" s="86"/>
      <c r="D104" s="86"/>
      <c r="E104" s="86"/>
      <c r="F104" s="86"/>
      <c r="G104" s="86"/>
      <c r="H104" s="86"/>
      <c r="I104" s="118"/>
      <c r="J104" s="86"/>
      <c r="K104" s="86"/>
      <c r="L104" s="86"/>
      <c r="M104" s="86"/>
      <c r="N104" s="111"/>
      <c r="O104" s="111"/>
      <c r="P104" s="111"/>
      <c r="Q104" s="111"/>
      <c r="R104" s="111"/>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row>
    <row r="105" spans="1:76" s="28" customFormat="1" ht="19.5" customHeight="1">
      <c r="A105" s="117"/>
      <c r="B105" s="86"/>
      <c r="C105" s="86"/>
      <c r="D105" s="86"/>
      <c r="E105" s="86"/>
      <c r="F105" s="86"/>
      <c r="G105" s="86"/>
      <c r="H105" s="86"/>
      <c r="I105" s="86"/>
      <c r="J105" s="86"/>
      <c r="K105" s="86"/>
      <c r="L105" s="86"/>
      <c r="M105" s="86"/>
      <c r="N105" s="111"/>
      <c r="O105" s="111"/>
      <c r="P105" s="111"/>
      <c r="Q105" s="111"/>
      <c r="R105" s="111"/>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row>
    <row r="106" spans="1:76" s="28" customFormat="1" ht="19.5" customHeight="1">
      <c r="A106" s="117"/>
      <c r="B106" s="86"/>
      <c r="C106" s="86"/>
      <c r="D106" s="86"/>
      <c r="E106" s="86"/>
      <c r="F106" s="86"/>
      <c r="G106" s="86"/>
      <c r="H106" s="86"/>
      <c r="I106" s="86"/>
      <c r="J106" s="86"/>
      <c r="K106" s="86"/>
      <c r="L106" s="86"/>
      <c r="M106" s="86"/>
      <c r="N106" s="111"/>
      <c r="O106" s="111"/>
      <c r="P106" s="111"/>
      <c r="Q106" s="111"/>
      <c r="R106" s="111"/>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row>
    <row r="107" spans="1:76" s="28" customFormat="1" ht="19.5" customHeight="1">
      <c r="A107" s="117"/>
      <c r="B107" s="86"/>
      <c r="C107" s="115"/>
      <c r="D107" s="86"/>
      <c r="E107" s="114"/>
      <c r="F107" s="86"/>
      <c r="G107" s="114"/>
      <c r="H107" s="86"/>
      <c r="I107" s="86"/>
      <c r="J107" s="86"/>
      <c r="K107" s="88"/>
      <c r="L107" s="86"/>
      <c r="M107" s="88"/>
      <c r="N107" s="119"/>
      <c r="O107" s="111"/>
      <c r="P107" s="111"/>
      <c r="Q107" s="111"/>
      <c r="R107" s="111"/>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row>
    <row r="108" spans="1:76" s="28" customFormat="1" ht="19.5" customHeight="1">
      <c r="A108" s="117"/>
      <c r="B108" s="86"/>
      <c r="C108" s="86"/>
      <c r="D108" s="86"/>
      <c r="E108" s="115"/>
      <c r="F108" s="86"/>
      <c r="G108" s="86"/>
      <c r="H108" s="86"/>
      <c r="I108" s="86"/>
      <c r="J108" s="86"/>
      <c r="K108" s="86"/>
      <c r="L108" s="86"/>
      <c r="M108" s="86"/>
      <c r="N108" s="111"/>
      <c r="O108" s="111"/>
      <c r="P108" s="111"/>
      <c r="Q108" s="111"/>
      <c r="R108" s="111"/>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row>
    <row r="109" spans="1:76" s="28" customFormat="1" ht="19.5" customHeight="1">
      <c r="A109" s="117"/>
      <c r="B109" s="86"/>
      <c r="C109" s="86"/>
      <c r="D109" s="86"/>
      <c r="E109" s="86"/>
      <c r="F109" s="86"/>
      <c r="G109" s="86"/>
      <c r="H109" s="86"/>
      <c r="I109" s="86"/>
      <c r="J109" s="86"/>
      <c r="K109" s="86"/>
      <c r="L109" s="86"/>
      <c r="M109" s="86"/>
      <c r="N109" s="111"/>
      <c r="O109" s="111"/>
      <c r="P109" s="111"/>
      <c r="Q109" s="111"/>
      <c r="R109" s="111"/>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row>
    <row r="110" spans="1:76" s="28" customFormat="1" ht="19.5" customHeight="1">
      <c r="A110" s="117"/>
      <c r="B110" s="86"/>
      <c r="C110" s="86"/>
      <c r="D110" s="86"/>
      <c r="E110" s="86"/>
      <c r="F110" s="86"/>
      <c r="G110" s="86"/>
      <c r="H110" s="86"/>
      <c r="I110" s="86"/>
      <c r="J110" s="86"/>
      <c r="K110" s="86"/>
      <c r="L110" s="86"/>
      <c r="M110" s="86"/>
      <c r="N110" s="111"/>
      <c r="O110" s="111"/>
      <c r="P110" s="111"/>
      <c r="Q110" s="111"/>
      <c r="R110" s="111"/>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row>
    <row r="111" spans="1:76" s="28" customFormat="1" ht="19.5" customHeight="1">
      <c r="A111" s="117"/>
      <c r="B111" s="86"/>
      <c r="C111" s="86"/>
      <c r="D111" s="86"/>
      <c r="E111" s="86"/>
      <c r="F111" s="86"/>
      <c r="G111" s="86"/>
      <c r="H111" s="86"/>
      <c r="I111" s="86"/>
      <c r="J111" s="86"/>
      <c r="K111" s="86"/>
      <c r="L111" s="86"/>
      <c r="M111" s="86"/>
      <c r="N111" s="111"/>
      <c r="O111" s="111"/>
      <c r="P111" s="111"/>
      <c r="Q111" s="111"/>
      <c r="R111" s="111"/>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row>
    <row r="112" spans="1:76" s="28" customFormat="1" ht="19.5" customHeight="1">
      <c r="A112" s="117"/>
      <c r="B112" s="86"/>
      <c r="C112" s="86"/>
      <c r="D112" s="86"/>
      <c r="E112" s="86"/>
      <c r="F112" s="86"/>
      <c r="G112" s="88"/>
      <c r="H112" s="120"/>
      <c r="I112" s="86"/>
      <c r="J112" s="88"/>
      <c r="K112" s="86"/>
      <c r="L112" s="86"/>
      <c r="M112" s="115"/>
      <c r="N112" s="111"/>
      <c r="O112" s="111"/>
      <c r="P112" s="111"/>
      <c r="Q112" s="111"/>
      <c r="R112" s="111"/>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row>
    <row r="113" spans="1:76" s="28" customFormat="1" ht="19.5" customHeight="1">
      <c r="A113" s="86"/>
      <c r="B113" s="87"/>
      <c r="C113" s="87"/>
      <c r="D113" s="86"/>
      <c r="E113" s="87"/>
      <c r="F113" s="86" t="s">
        <v>1255</v>
      </c>
      <c r="G113" s="86"/>
      <c r="H113" s="87"/>
      <c r="I113" s="87"/>
      <c r="J113" s="87"/>
      <c r="K113" s="87"/>
      <c r="L113" s="354">
        <v>0.08</v>
      </c>
      <c r="M113" s="354"/>
      <c r="N113" s="354"/>
      <c r="O113" s="354"/>
      <c r="P113" s="86" t="s">
        <v>183</v>
      </c>
      <c r="Q113" s="278" t="s">
        <v>956</v>
      </c>
      <c r="R113" s="278"/>
      <c r="S113" s="355">
        <v>22.5</v>
      </c>
      <c r="T113" s="355"/>
      <c r="U113" s="355"/>
      <c r="V113" s="277" t="s">
        <v>184</v>
      </c>
      <c r="W113" s="277"/>
      <c r="X113" s="277"/>
      <c r="Y113" s="86"/>
      <c r="Z113" s="86"/>
      <c r="AA113" s="86"/>
      <c r="AB113" s="86"/>
      <c r="AC113" s="86" t="s">
        <v>958</v>
      </c>
      <c r="AD113" s="276">
        <f>L113*S113</f>
        <v>1.8</v>
      </c>
      <c r="AE113" s="276"/>
      <c r="AF113" s="276"/>
      <c r="AG113" s="276"/>
      <c r="AH113" s="277" t="s">
        <v>185</v>
      </c>
      <c r="AI113" s="277"/>
      <c r="AJ113" s="277"/>
      <c r="AK113" s="86"/>
      <c r="AL113" s="86"/>
      <c r="AM113" s="86"/>
      <c r="AN113" s="86"/>
      <c r="AO113" s="86"/>
      <c r="AP113" s="86"/>
      <c r="AQ113" s="86"/>
      <c r="AR113" s="86"/>
      <c r="AS113" s="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row>
    <row r="114" spans="1:76" s="28" customFormat="1" ht="19.5" customHeight="1">
      <c r="A114" s="86"/>
      <c r="B114" s="87"/>
      <c r="C114" s="87"/>
      <c r="D114" s="86"/>
      <c r="E114" s="87"/>
      <c r="F114" s="86"/>
      <c r="G114" s="86"/>
      <c r="H114" s="87"/>
      <c r="I114" s="87"/>
      <c r="J114" s="87"/>
      <c r="K114" s="87"/>
      <c r="L114" s="166"/>
      <c r="M114" s="166"/>
      <c r="N114" s="166"/>
      <c r="O114" s="166"/>
      <c r="P114" s="86"/>
      <c r="Q114" s="116"/>
      <c r="R114" s="116"/>
      <c r="S114" s="167"/>
      <c r="T114" s="167"/>
      <c r="U114" s="167"/>
      <c r="V114" s="88"/>
      <c r="W114" s="88"/>
      <c r="X114" s="88"/>
      <c r="Y114" s="86"/>
      <c r="Z114" s="86"/>
      <c r="AA114" s="86"/>
      <c r="AB114" s="86"/>
      <c r="AC114" s="86"/>
      <c r="AD114" s="166"/>
      <c r="AE114" s="166"/>
      <c r="AF114" s="166"/>
      <c r="AG114" s="166"/>
      <c r="AH114" s="88"/>
      <c r="AI114" s="88"/>
      <c r="AJ114" s="88"/>
      <c r="AK114" s="86"/>
      <c r="AL114" s="86"/>
      <c r="AM114" s="86"/>
      <c r="AN114" s="86"/>
      <c r="AO114" s="86"/>
      <c r="AP114" s="86"/>
      <c r="AQ114" s="86"/>
      <c r="AR114" s="86"/>
      <c r="AS114" s="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row>
    <row r="115" ht="19.5" customHeight="1"/>
    <row r="116" spans="1:76" s="28" customFormat="1" ht="19.5" customHeight="1">
      <c r="A116" s="86"/>
      <c r="B116" s="87"/>
      <c r="C116" s="87"/>
      <c r="D116" s="86"/>
      <c r="E116" s="30" t="s">
        <v>1256</v>
      </c>
      <c r="F116" s="86"/>
      <c r="G116" s="86"/>
      <c r="H116" s="87"/>
      <c r="I116" s="87"/>
      <c r="J116" s="87"/>
      <c r="K116" s="87"/>
      <c r="L116" s="87"/>
      <c r="M116" s="166"/>
      <c r="N116" s="166"/>
      <c r="O116" s="166"/>
      <c r="P116" s="166"/>
      <c r="Q116" s="86"/>
      <c r="R116" s="116"/>
      <c r="S116" s="116"/>
      <c r="T116" s="167"/>
      <c r="U116" s="167"/>
      <c r="V116" s="167"/>
      <c r="W116" s="88"/>
      <c r="X116" s="88"/>
      <c r="Y116" s="88"/>
      <c r="Z116" s="86"/>
      <c r="AA116" s="86"/>
      <c r="AB116" s="86"/>
      <c r="AC116" s="121"/>
      <c r="AD116" s="166"/>
      <c r="AE116" s="166"/>
      <c r="AF116" s="166"/>
      <c r="AG116" s="166"/>
      <c r="AH116" s="88"/>
      <c r="AI116" s="88"/>
      <c r="AJ116" s="88"/>
      <c r="AK116" s="86"/>
      <c r="AL116" s="86"/>
      <c r="AM116" s="86"/>
      <c r="AN116" s="86"/>
      <c r="AO116" s="86"/>
      <c r="AP116" s="86"/>
      <c r="AQ116" s="86"/>
      <c r="AR116" s="86"/>
      <c r="AS116" s="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row>
    <row r="117" spans="1:76" s="28" customFormat="1" ht="19.5" customHeight="1">
      <c r="A117" s="86"/>
      <c r="B117" s="87"/>
      <c r="C117" s="87"/>
      <c r="D117" s="86"/>
      <c r="E117" s="87"/>
      <c r="F117" s="356" t="s">
        <v>186</v>
      </c>
      <c r="G117" s="86"/>
      <c r="H117" s="87"/>
      <c r="I117" s="87"/>
      <c r="J117" s="87"/>
      <c r="K117" s="87"/>
      <c r="L117" s="87"/>
      <c r="M117" s="122"/>
      <c r="N117" s="120"/>
      <c r="P117" s="109"/>
      <c r="Q117" s="87"/>
      <c r="R117" s="87"/>
      <c r="S117" s="87"/>
      <c r="T117" s="87"/>
      <c r="U117" s="87"/>
      <c r="V117" s="87"/>
      <c r="W117" s="87"/>
      <c r="X117" s="87"/>
      <c r="Y117" s="87"/>
      <c r="Z117" s="87"/>
      <c r="AA117" s="87"/>
      <c r="AB117" s="121"/>
      <c r="AC117" s="121"/>
      <c r="AD117" s="166"/>
      <c r="AE117" s="166"/>
      <c r="AF117" s="166"/>
      <c r="AG117" s="166"/>
      <c r="AH117" s="88"/>
      <c r="AI117" s="88"/>
      <c r="AJ117" s="88"/>
      <c r="AK117" s="86"/>
      <c r="AL117" s="86"/>
      <c r="AM117" s="86"/>
      <c r="AN117" s="86"/>
      <c r="AO117" s="86"/>
      <c r="AP117" s="86"/>
      <c r="AQ117" s="86"/>
      <c r="AR117" s="93"/>
      <c r="AS117" s="86"/>
      <c r="AT117" s="86"/>
      <c r="AU117" s="86"/>
      <c r="AV117" s="86"/>
      <c r="AW117" s="86"/>
      <c r="AX117" s="86"/>
      <c r="AY117" s="86"/>
      <c r="AZ117" s="86"/>
      <c r="BA117" s="86"/>
      <c r="BB117" s="93"/>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row>
    <row r="118" spans="1:76" s="28" customFormat="1" ht="19.5" customHeight="1">
      <c r="A118" s="86"/>
      <c r="B118" s="87"/>
      <c r="C118" s="87"/>
      <c r="D118" s="86"/>
      <c r="E118" s="87"/>
      <c r="F118" s="86"/>
      <c r="G118" s="86"/>
      <c r="H118" s="87"/>
      <c r="I118" s="87"/>
      <c r="J118" s="87"/>
      <c r="K118" s="87"/>
      <c r="L118" s="87"/>
      <c r="M118" s="122"/>
      <c r="N118" s="120"/>
      <c r="O118" s="109"/>
      <c r="P118" s="109"/>
      <c r="Q118" s="87"/>
      <c r="R118" s="87"/>
      <c r="S118" s="87"/>
      <c r="T118" s="87"/>
      <c r="U118" s="87"/>
      <c r="V118" s="87"/>
      <c r="W118" s="87"/>
      <c r="X118" s="87"/>
      <c r="Y118" s="87"/>
      <c r="Z118" s="87"/>
      <c r="AA118" s="87"/>
      <c r="AB118" s="121"/>
      <c r="AC118" s="121"/>
      <c r="AD118" s="166"/>
      <c r="AE118" s="166"/>
      <c r="AF118" s="166"/>
      <c r="AG118" s="166"/>
      <c r="AH118" s="88"/>
      <c r="AI118" s="88"/>
      <c r="AJ118" s="88"/>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row>
    <row r="119" spans="1:76" s="28" customFormat="1" ht="19.5" customHeight="1">
      <c r="A119" s="86"/>
      <c r="B119" s="87"/>
      <c r="C119" s="87"/>
      <c r="D119" s="86"/>
      <c r="E119" s="87"/>
      <c r="F119" s="86"/>
      <c r="G119" s="86"/>
      <c r="H119" s="87"/>
      <c r="I119" s="87"/>
      <c r="J119" s="87"/>
      <c r="K119" s="87"/>
      <c r="L119" s="87"/>
      <c r="M119" s="122"/>
      <c r="N119" s="120"/>
      <c r="O119" s="109"/>
      <c r="P119" s="109"/>
      <c r="Q119" s="87"/>
      <c r="R119" s="87"/>
      <c r="S119" s="87"/>
      <c r="T119" s="87"/>
      <c r="U119" s="87"/>
      <c r="V119" s="87"/>
      <c r="W119" s="87"/>
      <c r="X119" s="87"/>
      <c r="Y119" s="87"/>
      <c r="Z119" s="87"/>
      <c r="AA119" s="87"/>
      <c r="AB119" s="121"/>
      <c r="AC119" s="121"/>
      <c r="AD119" s="166"/>
      <c r="AE119" s="166"/>
      <c r="AF119" s="166"/>
      <c r="AG119" s="166"/>
      <c r="AH119" s="88"/>
      <c r="AI119" s="88"/>
      <c r="AJ119" s="88"/>
      <c r="AK119" s="86"/>
      <c r="AL119" s="86"/>
      <c r="AM119" s="86"/>
      <c r="AN119" s="86"/>
      <c r="AO119" s="86"/>
      <c r="AP119" s="86"/>
      <c r="AQ119" s="86"/>
      <c r="AR119" s="93"/>
      <c r="AS119" s="86"/>
      <c r="AT119" s="86"/>
      <c r="AU119" s="86"/>
      <c r="AV119" s="86"/>
      <c r="AW119" s="86"/>
      <c r="AX119" s="86"/>
      <c r="AY119" s="86"/>
      <c r="AZ119" s="86"/>
      <c r="BA119" s="86"/>
      <c r="BB119" s="86"/>
      <c r="BC119" s="86"/>
      <c r="BD119" s="86"/>
      <c r="BE119" s="93"/>
      <c r="BF119" s="86"/>
      <c r="BG119" s="86"/>
      <c r="BH119" s="86"/>
      <c r="BI119" s="86"/>
      <c r="BJ119" s="86"/>
      <c r="BK119" s="86"/>
      <c r="BL119" s="86"/>
      <c r="BM119" s="86"/>
      <c r="BN119" s="86"/>
      <c r="BO119" s="86"/>
      <c r="BP119" s="86"/>
      <c r="BQ119" s="86"/>
      <c r="BR119" s="86"/>
      <c r="BS119" s="86"/>
      <c r="BT119" s="86"/>
      <c r="BU119" s="86"/>
      <c r="BV119" s="86"/>
      <c r="BW119" s="86"/>
      <c r="BX119" s="86"/>
    </row>
    <row r="120" spans="1:76" s="28" customFormat="1" ht="19.5" customHeight="1">
      <c r="A120" s="86"/>
      <c r="B120" s="87"/>
      <c r="C120" s="87"/>
      <c r="D120" s="86"/>
      <c r="E120" s="87"/>
      <c r="F120" s="86"/>
      <c r="G120" s="86"/>
      <c r="H120" s="87"/>
      <c r="I120" s="87"/>
      <c r="J120" s="87"/>
      <c r="K120" s="87"/>
      <c r="L120" s="87"/>
      <c r="M120" s="122"/>
      <c r="N120" s="120"/>
      <c r="O120" s="109"/>
      <c r="P120" s="109"/>
      <c r="Q120" s="87"/>
      <c r="R120" s="87"/>
      <c r="S120" s="87"/>
      <c r="T120" s="87"/>
      <c r="U120" s="87"/>
      <c r="V120" s="87"/>
      <c r="W120" s="87"/>
      <c r="X120" s="87"/>
      <c r="Y120" s="87"/>
      <c r="Z120" s="87"/>
      <c r="AA120" s="87"/>
      <c r="AB120" s="121"/>
      <c r="AC120" s="121"/>
      <c r="AD120" s="166"/>
      <c r="AE120" s="166"/>
      <c r="AF120" s="166"/>
      <c r="AG120" s="166"/>
      <c r="AH120" s="88"/>
      <c r="AI120" s="88"/>
      <c r="AJ120" s="88"/>
      <c r="AK120" s="86"/>
      <c r="AL120" s="86"/>
      <c r="AM120" s="86"/>
      <c r="AN120" s="86"/>
      <c r="AO120" s="86"/>
      <c r="AP120" s="86"/>
      <c r="AQ120" s="86"/>
      <c r="AR120" s="93"/>
      <c r="AS120" s="86"/>
      <c r="AT120" s="86"/>
      <c r="AU120" s="86"/>
      <c r="AV120" s="86"/>
      <c r="AW120" s="86"/>
      <c r="AX120" s="86"/>
      <c r="AY120" s="86"/>
      <c r="AZ120" s="86"/>
      <c r="BA120" s="86"/>
      <c r="BB120" s="86"/>
      <c r="BC120" s="86"/>
      <c r="BD120" s="86"/>
      <c r="BE120" s="93"/>
      <c r="BF120" s="86"/>
      <c r="BG120" s="86"/>
      <c r="BH120" s="86"/>
      <c r="BI120" s="86"/>
      <c r="BJ120" s="86"/>
      <c r="BK120" s="86"/>
      <c r="BL120" s="86"/>
      <c r="BM120" s="86"/>
      <c r="BN120" s="86"/>
      <c r="BO120" s="86"/>
      <c r="BP120" s="86"/>
      <c r="BQ120" s="86"/>
      <c r="BR120" s="86"/>
      <c r="BS120" s="86"/>
      <c r="BT120" s="86"/>
      <c r="BU120" s="86"/>
      <c r="BV120" s="86"/>
      <c r="BW120" s="86"/>
      <c r="BX120" s="86"/>
    </row>
    <row r="121" spans="1:76" s="28" customFormat="1" ht="19.5" customHeight="1">
      <c r="A121" s="86"/>
      <c r="B121" s="87"/>
      <c r="C121" s="87"/>
      <c r="D121" s="86"/>
      <c r="E121" s="87"/>
      <c r="F121" s="86"/>
      <c r="G121" s="86"/>
      <c r="H121" s="87"/>
      <c r="I121" s="87"/>
      <c r="J121" s="87"/>
      <c r="K121" s="87"/>
      <c r="L121" s="87"/>
      <c r="M121" s="122"/>
      <c r="N121" s="120"/>
      <c r="O121" s="109"/>
      <c r="P121" s="109"/>
      <c r="Q121" s="87"/>
      <c r="R121" s="87"/>
      <c r="S121" s="87"/>
      <c r="T121" s="87"/>
      <c r="U121" s="87"/>
      <c r="V121" s="87"/>
      <c r="W121" s="87"/>
      <c r="X121" s="87"/>
      <c r="Y121" s="87"/>
      <c r="Z121" s="87"/>
      <c r="AA121" s="87"/>
      <c r="AB121" s="121"/>
      <c r="AC121" s="121"/>
      <c r="AD121" s="166"/>
      <c r="AE121" s="166"/>
      <c r="AF121" s="166"/>
      <c r="AG121" s="166"/>
      <c r="AH121" s="88"/>
      <c r="AI121" s="88"/>
      <c r="AJ121" s="88"/>
      <c r="AK121" s="86"/>
      <c r="AL121" s="86"/>
      <c r="AM121" s="86"/>
      <c r="AN121" s="86"/>
      <c r="AO121" s="86"/>
      <c r="AP121" s="86"/>
      <c r="AQ121" s="86"/>
      <c r="AR121" s="93"/>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row>
    <row r="122" spans="1:76" s="28" customFormat="1" ht="19.5" customHeight="1">
      <c r="A122" s="86"/>
      <c r="B122" s="87"/>
      <c r="C122" s="87"/>
      <c r="D122" s="86"/>
      <c r="E122" s="87"/>
      <c r="F122" s="86"/>
      <c r="G122" s="86"/>
      <c r="H122" s="87"/>
      <c r="I122" s="87"/>
      <c r="J122" s="87"/>
      <c r="K122" s="87"/>
      <c r="L122" s="87"/>
      <c r="M122" s="122"/>
      <c r="N122" s="120"/>
      <c r="O122" s="109"/>
      <c r="P122" s="109"/>
      <c r="Q122" s="87"/>
      <c r="R122" s="87"/>
      <c r="S122" s="87"/>
      <c r="T122" s="87"/>
      <c r="U122" s="87"/>
      <c r="V122" s="87"/>
      <c r="W122" s="87"/>
      <c r="X122" s="87"/>
      <c r="Y122" s="87"/>
      <c r="Z122" s="87"/>
      <c r="AA122" s="87"/>
      <c r="AB122" s="121"/>
      <c r="AC122" s="121"/>
      <c r="AD122" s="166"/>
      <c r="AE122" s="166"/>
      <c r="AF122" s="166"/>
      <c r="AG122" s="166"/>
      <c r="AH122" s="88"/>
      <c r="AI122" s="88"/>
      <c r="AJ122" s="88"/>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row>
    <row r="123" spans="1:76" s="28" customFormat="1" ht="19.5" customHeight="1">
      <c r="A123" s="86"/>
      <c r="B123" s="87"/>
      <c r="C123" s="87"/>
      <c r="D123" s="86"/>
      <c r="E123" s="87"/>
      <c r="F123" s="86"/>
      <c r="G123" s="86"/>
      <c r="H123" s="87"/>
      <c r="I123" s="87"/>
      <c r="J123" s="87"/>
      <c r="K123" s="87"/>
      <c r="L123" s="87"/>
      <c r="M123" s="122"/>
      <c r="N123" s="120"/>
      <c r="O123" s="109"/>
      <c r="P123" s="109"/>
      <c r="Q123" s="87"/>
      <c r="R123" s="87"/>
      <c r="S123" s="87"/>
      <c r="T123" s="87"/>
      <c r="U123" s="87"/>
      <c r="V123" s="87"/>
      <c r="W123" s="87"/>
      <c r="X123" s="87"/>
      <c r="Y123" s="87"/>
      <c r="Z123" s="87"/>
      <c r="AA123" s="87"/>
      <c r="AB123" s="121"/>
      <c r="AC123" s="121"/>
      <c r="AD123" s="166"/>
      <c r="AE123" s="166"/>
      <c r="AF123" s="166"/>
      <c r="AG123" s="166"/>
      <c r="AH123" s="88"/>
      <c r="AI123" s="88"/>
      <c r="AJ123" s="88"/>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row>
    <row r="124" spans="1:76" s="28" customFormat="1" ht="19.5" customHeight="1">
      <c r="A124" s="86"/>
      <c r="B124" s="87"/>
      <c r="C124" s="87"/>
      <c r="D124" s="86"/>
      <c r="E124" s="87"/>
      <c r="F124" s="86"/>
      <c r="G124" s="86"/>
      <c r="H124" s="87"/>
      <c r="I124" s="87"/>
      <c r="J124" s="87"/>
      <c r="K124" s="87"/>
      <c r="L124" s="87"/>
      <c r="M124" s="122"/>
      <c r="N124" s="120"/>
      <c r="O124" s="109"/>
      <c r="P124" s="109"/>
      <c r="Q124" s="87"/>
      <c r="R124" s="87"/>
      <c r="S124" s="87"/>
      <c r="T124" s="87"/>
      <c r="U124" s="87"/>
      <c r="V124" s="87"/>
      <c r="W124" s="87"/>
      <c r="X124" s="87"/>
      <c r="Y124" s="87"/>
      <c r="Z124" s="87"/>
      <c r="AA124" s="87"/>
      <c r="AB124" s="121"/>
      <c r="AC124" s="121"/>
      <c r="AD124" s="166"/>
      <c r="AE124" s="166"/>
      <c r="AF124" s="166"/>
      <c r="AG124" s="166"/>
      <c r="AH124" s="88"/>
      <c r="AI124" s="88"/>
      <c r="AJ124" s="88"/>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row>
    <row r="125" spans="1:76" s="28" customFormat="1" ht="19.5" customHeight="1">
      <c r="A125" s="86"/>
      <c r="B125" s="87"/>
      <c r="C125" s="87"/>
      <c r="D125" s="86"/>
      <c r="E125" s="87"/>
      <c r="F125" s="86"/>
      <c r="G125" s="86"/>
      <c r="H125" s="87"/>
      <c r="I125" s="87"/>
      <c r="J125" s="87"/>
      <c r="K125" s="87"/>
      <c r="L125" s="87"/>
      <c r="M125" s="122"/>
      <c r="N125" s="120"/>
      <c r="O125" s="109"/>
      <c r="P125" s="109"/>
      <c r="Q125" s="87"/>
      <c r="R125" s="87"/>
      <c r="S125" s="87"/>
      <c r="T125" s="87"/>
      <c r="U125" s="87"/>
      <c r="V125" s="87"/>
      <c r="W125" s="87"/>
      <c r="X125" s="87"/>
      <c r="Y125" s="87"/>
      <c r="Z125" s="87"/>
      <c r="AA125" s="87"/>
      <c r="AB125" s="121"/>
      <c r="AC125" s="121"/>
      <c r="AD125" s="166"/>
      <c r="AE125" s="109" t="s">
        <v>1257</v>
      </c>
      <c r="AF125" s="166"/>
      <c r="AG125" s="166"/>
      <c r="AH125" s="88"/>
      <c r="AI125" s="88"/>
      <c r="AJ125" s="88"/>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row>
    <row r="126" spans="1:76" s="28" customFormat="1" ht="19.5" customHeight="1" thickBot="1">
      <c r="A126" s="86"/>
      <c r="B126" s="87"/>
      <c r="C126" s="87"/>
      <c r="D126" s="86"/>
      <c r="E126" s="87"/>
      <c r="F126" s="86"/>
      <c r="G126" s="87"/>
      <c r="H126" s="186" t="s">
        <v>957</v>
      </c>
      <c r="I126" s="187"/>
      <c r="J126" s="187"/>
      <c r="K126" s="187"/>
      <c r="L126" s="188"/>
      <c r="M126" s="186" t="s">
        <v>1339</v>
      </c>
      <c r="N126" s="187"/>
      <c r="O126" s="187"/>
      <c r="P126" s="187"/>
      <c r="Q126" s="187"/>
      <c r="R126" s="187"/>
      <c r="S126" s="187"/>
      <c r="T126" s="187"/>
      <c r="U126" s="187"/>
      <c r="V126" s="187"/>
      <c r="W126" s="187"/>
      <c r="X126" s="187"/>
      <c r="Y126" s="187"/>
      <c r="Z126" s="187"/>
      <c r="AA126" s="187"/>
      <c r="AB126" s="187"/>
      <c r="AC126" s="187"/>
      <c r="AD126" s="188"/>
      <c r="AE126" s="186" t="s">
        <v>1258</v>
      </c>
      <c r="AF126" s="187"/>
      <c r="AG126" s="187"/>
      <c r="AH126" s="188"/>
      <c r="AI126" s="186" t="s">
        <v>187</v>
      </c>
      <c r="AJ126" s="187"/>
      <c r="AK126" s="187"/>
      <c r="AL126" s="187"/>
      <c r="AM126" s="187"/>
      <c r="AN126" s="188"/>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row>
    <row r="127" spans="1:76" s="28" customFormat="1" ht="19.5" customHeight="1" thickBot="1" thickTop="1">
      <c r="A127" s="86"/>
      <c r="B127" s="87"/>
      <c r="C127" s="87"/>
      <c r="D127" s="86"/>
      <c r="E127" s="87"/>
      <c r="F127" s="86"/>
      <c r="G127" s="87"/>
      <c r="H127" s="194">
        <v>1</v>
      </c>
      <c r="I127" s="195"/>
      <c r="J127" s="195"/>
      <c r="K127" s="195"/>
      <c r="L127" s="185"/>
      <c r="M127" s="357" t="str">
        <f>" "&amp;ROUND(0.6,3)&amp;" × "&amp;ROUND(0.33,3)&amp;" × "&amp;ROUND(24.5,3)</f>
        <v> 0.6 × 0.33 × 24.5</v>
      </c>
      <c r="N127" s="123"/>
      <c r="O127" s="123"/>
      <c r="P127" s="123"/>
      <c r="Q127" s="123"/>
      <c r="R127" s="123"/>
      <c r="S127" s="124"/>
      <c r="T127" s="124"/>
      <c r="U127" s="124"/>
      <c r="V127" s="124"/>
      <c r="W127" s="124"/>
      <c r="X127" s="124"/>
      <c r="Y127" s="124"/>
      <c r="Z127" s="125" t="s">
        <v>958</v>
      </c>
      <c r="AA127" s="192">
        <f>ROUND(0.6*0.33*24.5,3)</f>
        <v>4.851</v>
      </c>
      <c r="AB127" s="358"/>
      <c r="AC127" s="358"/>
      <c r="AD127" s="359"/>
      <c r="AE127" s="191">
        <v>0.3</v>
      </c>
      <c r="AF127" s="358"/>
      <c r="AG127" s="358"/>
      <c r="AH127" s="359"/>
      <c r="AI127" s="128">
        <f>AA127*AE127</f>
        <v>1.4553</v>
      </c>
      <c r="AJ127" s="126"/>
      <c r="AK127" s="126"/>
      <c r="AL127" s="126"/>
      <c r="AM127" s="127"/>
      <c r="AN127" s="129"/>
      <c r="AO127" s="86"/>
      <c r="AP127" s="86"/>
      <c r="AQ127" s="86"/>
      <c r="AR127" s="93"/>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row>
    <row r="128" spans="1:88" s="28" customFormat="1" ht="19.5" customHeight="1" thickTop="1">
      <c r="A128" s="86"/>
      <c r="B128" s="87"/>
      <c r="C128" s="87"/>
      <c r="D128" s="86"/>
      <c r="E128" s="87"/>
      <c r="F128" s="86"/>
      <c r="G128" s="87"/>
      <c r="H128" s="191" t="s">
        <v>188</v>
      </c>
      <c r="I128" s="192"/>
      <c r="J128" s="192"/>
      <c r="K128" s="192"/>
      <c r="L128" s="193"/>
      <c r="M128" s="132"/>
      <c r="N128" s="123"/>
      <c r="O128" s="123"/>
      <c r="P128" s="123"/>
      <c r="Q128" s="123"/>
      <c r="R128" s="123"/>
      <c r="S128" s="124"/>
      <c r="T128" s="124"/>
      <c r="U128" s="124"/>
      <c r="V128" s="124"/>
      <c r="W128" s="124"/>
      <c r="X128" s="124"/>
      <c r="Y128" s="124"/>
      <c r="Z128" s="125"/>
      <c r="AA128" s="126">
        <f>SUM(AA127:AA127)</f>
        <v>4.851</v>
      </c>
      <c r="AB128" s="126"/>
      <c r="AC128" s="125"/>
      <c r="AD128" s="127"/>
      <c r="AE128" s="128">
        <f>AI128/AA128</f>
        <v>0.3</v>
      </c>
      <c r="AF128" s="126"/>
      <c r="AG128" s="126"/>
      <c r="AH128" s="127"/>
      <c r="AI128" s="128">
        <f>SUM(AI127:AI127)</f>
        <v>1.4553</v>
      </c>
      <c r="AJ128" s="126"/>
      <c r="AK128" s="126"/>
      <c r="AL128" s="126"/>
      <c r="AM128" s="127"/>
      <c r="AN128" s="129"/>
      <c r="AO128" s="86"/>
      <c r="AP128" s="86"/>
      <c r="AQ128" s="86"/>
      <c r="AR128" s="86"/>
      <c r="AS128" s="86"/>
      <c r="AT128" s="86"/>
      <c r="AU128" s="86"/>
      <c r="AV128" s="86"/>
      <c r="AW128" s="86"/>
      <c r="AX128" s="86"/>
      <c r="AY128" s="86"/>
      <c r="AZ128" s="86"/>
      <c r="BA128" s="86"/>
      <c r="BB128" s="6"/>
      <c r="BC128" s="86"/>
      <c r="BD128" s="96"/>
      <c r="BE128" s="96"/>
      <c r="BF128" s="96"/>
      <c r="BG128" s="96"/>
      <c r="BH128" s="96"/>
      <c r="BI128" s="89"/>
      <c r="BJ128" s="89"/>
      <c r="BK128" s="89"/>
      <c r="BL128" s="89"/>
      <c r="BM128" s="89"/>
      <c r="BN128" s="89"/>
      <c r="BO128" s="58"/>
      <c r="BP128" s="58"/>
      <c r="BQ128" s="58"/>
      <c r="BR128" s="58"/>
      <c r="BS128" s="58"/>
      <c r="BT128" s="58"/>
      <c r="BU128" s="58"/>
      <c r="BV128" s="105"/>
      <c r="BW128" s="91"/>
      <c r="BX128" s="91"/>
      <c r="BY128" s="10"/>
      <c r="BZ128" s="18"/>
      <c r="CA128" s="16"/>
      <c r="CB128" s="16"/>
      <c r="CC128" s="16"/>
      <c r="CD128" s="18"/>
      <c r="CE128" s="16"/>
      <c r="CF128" s="16"/>
      <c r="CG128" s="16"/>
      <c r="CH128" s="16"/>
      <c r="CI128" s="18"/>
      <c r="CJ128" s="18"/>
    </row>
    <row r="129" spans="1:89" s="28" customFormat="1" ht="19.5" customHeight="1">
      <c r="A129" s="86"/>
      <c r="B129" s="87"/>
      <c r="C129" s="87"/>
      <c r="D129" s="86"/>
      <c r="E129" s="87"/>
      <c r="F129" s="87"/>
      <c r="G129" s="86"/>
      <c r="H129" s="87"/>
      <c r="I129" s="96"/>
      <c r="J129" s="96"/>
      <c r="K129" s="96"/>
      <c r="L129" s="96"/>
      <c r="M129" s="96"/>
      <c r="N129" s="89"/>
      <c r="O129" s="89" t="s">
        <v>1259</v>
      </c>
      <c r="P129" s="89"/>
      <c r="Q129" s="89"/>
      <c r="R129" s="89"/>
      <c r="S129" s="89"/>
      <c r="T129" s="58" t="s">
        <v>1246</v>
      </c>
      <c r="U129" s="58"/>
      <c r="V129" s="360">
        <v>1</v>
      </c>
      <c r="W129" s="361"/>
      <c r="X129" s="58" t="s">
        <v>189</v>
      </c>
      <c r="Y129" s="58"/>
      <c r="Z129" s="58"/>
      <c r="AA129" s="362">
        <v>0.3</v>
      </c>
      <c r="AB129" s="362"/>
      <c r="AC129" s="362"/>
      <c r="AD129" s="92" t="s">
        <v>1260</v>
      </c>
      <c r="AE129" s="90"/>
      <c r="AF129" s="91"/>
      <c r="AG129" s="91"/>
      <c r="AH129" s="91"/>
      <c r="AI129" s="90"/>
      <c r="AJ129" s="91"/>
      <c r="AK129" s="91"/>
      <c r="AL129" s="91"/>
      <c r="AM129" s="91"/>
      <c r="AN129" s="90"/>
      <c r="AO129" s="90"/>
      <c r="AP129" s="86"/>
      <c r="AQ129" s="86"/>
      <c r="AR129" s="86"/>
      <c r="AS129" s="86"/>
      <c r="AT129" s="86"/>
      <c r="AU129" s="86"/>
      <c r="AV129" s="86"/>
      <c r="AW129" s="86"/>
      <c r="AX129" s="86"/>
      <c r="AY129" s="86"/>
      <c r="AZ129" s="86"/>
      <c r="BA129" s="86"/>
      <c r="BB129" s="86"/>
      <c r="BC129" s="6"/>
      <c r="BD129" s="86"/>
      <c r="BE129" s="96"/>
      <c r="BF129" s="96"/>
      <c r="BG129" s="96"/>
      <c r="BH129" s="96"/>
      <c r="BI129" s="96"/>
      <c r="BJ129" s="89"/>
      <c r="BK129" s="89"/>
      <c r="BL129" s="89"/>
      <c r="BM129" s="89"/>
      <c r="BN129" s="89"/>
      <c r="BO129" s="89"/>
      <c r="BP129" s="58"/>
      <c r="BQ129" s="58"/>
      <c r="BR129" s="58"/>
      <c r="BS129" s="58"/>
      <c r="BT129" s="58"/>
      <c r="BU129" s="58"/>
      <c r="BV129" s="58"/>
      <c r="BW129" s="105"/>
      <c r="BX129" s="91"/>
      <c r="BY129" s="16"/>
      <c r="BZ129" s="10"/>
      <c r="CA129" s="18"/>
      <c r="CB129" s="16"/>
      <c r="CC129" s="16"/>
      <c r="CD129" s="16"/>
      <c r="CE129" s="18"/>
      <c r="CF129" s="16"/>
      <c r="CG129" s="16"/>
      <c r="CH129" s="16"/>
      <c r="CI129" s="16"/>
      <c r="CJ129" s="18"/>
      <c r="CK129" s="18"/>
    </row>
    <row r="130" spans="1:89" s="28" customFormat="1" ht="19.5" customHeight="1">
      <c r="A130" s="86"/>
      <c r="B130" s="87"/>
      <c r="C130" s="87"/>
      <c r="D130" s="86"/>
      <c r="E130" s="87"/>
      <c r="F130" s="87"/>
      <c r="G130" s="86"/>
      <c r="H130" s="87"/>
      <c r="I130" s="96"/>
      <c r="J130" s="96"/>
      <c r="K130" s="96"/>
      <c r="L130" s="96"/>
      <c r="M130" s="96"/>
      <c r="N130" s="89"/>
      <c r="O130" s="89"/>
      <c r="P130" s="89"/>
      <c r="Q130" s="89"/>
      <c r="R130" s="89"/>
      <c r="S130" s="89"/>
      <c r="T130" s="58"/>
      <c r="U130" s="58"/>
      <c r="V130" s="90"/>
      <c r="W130" s="90"/>
      <c r="X130" s="58"/>
      <c r="Y130" s="58"/>
      <c r="Z130" s="58"/>
      <c r="AA130" s="91"/>
      <c r="AB130" s="91"/>
      <c r="AC130" s="91"/>
      <c r="AD130" s="92"/>
      <c r="AE130" s="90"/>
      <c r="AF130" s="91"/>
      <c r="AG130" s="91"/>
      <c r="AH130" s="91"/>
      <c r="AI130" s="90"/>
      <c r="AJ130" s="91"/>
      <c r="AK130" s="91"/>
      <c r="AL130" s="91"/>
      <c r="AM130" s="91"/>
      <c r="AN130" s="90"/>
      <c r="AO130" s="90"/>
      <c r="AP130" s="86"/>
      <c r="AQ130" s="86"/>
      <c r="AR130" s="86"/>
      <c r="AS130" s="86"/>
      <c r="AT130" s="86"/>
      <c r="AU130" s="86"/>
      <c r="AV130" s="86"/>
      <c r="AW130" s="86"/>
      <c r="AX130" s="86"/>
      <c r="AY130" s="86"/>
      <c r="AZ130" s="86"/>
      <c r="BA130" s="86"/>
      <c r="BB130" s="86"/>
      <c r="BC130" s="6"/>
      <c r="BD130" s="86"/>
      <c r="BE130" s="96"/>
      <c r="BF130" s="96"/>
      <c r="BG130" s="96"/>
      <c r="BH130" s="96"/>
      <c r="BI130" s="96"/>
      <c r="BJ130" s="89"/>
      <c r="BK130" s="89"/>
      <c r="BL130" s="89"/>
      <c r="BM130" s="89"/>
      <c r="BN130" s="89"/>
      <c r="BO130" s="89"/>
      <c r="BP130" s="58"/>
      <c r="BQ130" s="58"/>
      <c r="BR130" s="58"/>
      <c r="BS130" s="58"/>
      <c r="BT130" s="58"/>
      <c r="BU130" s="58"/>
      <c r="BV130" s="58"/>
      <c r="BW130" s="105"/>
      <c r="BX130" s="91"/>
      <c r="BY130" s="16"/>
      <c r="BZ130" s="10"/>
      <c r="CA130" s="18"/>
      <c r="CB130" s="16"/>
      <c r="CC130" s="16"/>
      <c r="CD130" s="16"/>
      <c r="CE130" s="18"/>
      <c r="CF130" s="16"/>
      <c r="CG130" s="16"/>
      <c r="CH130" s="16"/>
      <c r="CI130" s="16"/>
      <c r="CJ130" s="18"/>
      <c r="CK130" s="18"/>
    </row>
    <row r="131" spans="1:76" s="28" customFormat="1" ht="19.5" customHeight="1">
      <c r="A131" s="86"/>
      <c r="B131" s="87"/>
      <c r="C131" s="87"/>
      <c r="D131" s="86"/>
      <c r="E131" s="86"/>
      <c r="F131" s="356" t="s">
        <v>190</v>
      </c>
      <c r="G131" s="86"/>
      <c r="H131" s="87"/>
      <c r="I131" s="87"/>
      <c r="J131" s="87"/>
      <c r="K131" s="87"/>
      <c r="L131" s="87"/>
      <c r="M131" s="86"/>
      <c r="N131" s="120"/>
      <c r="P131" s="109"/>
      <c r="Q131" s="87"/>
      <c r="R131" s="87"/>
      <c r="S131" s="87"/>
      <c r="T131" s="87"/>
      <c r="U131" s="87"/>
      <c r="V131" s="87"/>
      <c r="W131" s="87"/>
      <c r="X131" s="87"/>
      <c r="Y131" s="87"/>
      <c r="Z131" s="87"/>
      <c r="AA131" s="87"/>
      <c r="AB131" s="121"/>
      <c r="AC131" s="121"/>
      <c r="AD131" s="166"/>
      <c r="AE131" s="166"/>
      <c r="AF131" s="166"/>
      <c r="AG131" s="166"/>
      <c r="AH131" s="88"/>
      <c r="AI131" s="88"/>
      <c r="AJ131" s="88"/>
      <c r="AK131" s="86"/>
      <c r="AL131" s="86"/>
      <c r="AM131" s="86"/>
      <c r="AN131" s="86"/>
      <c r="AO131" s="86"/>
      <c r="AP131" s="86"/>
      <c r="AQ131" s="86"/>
      <c r="AR131" s="93"/>
      <c r="AS131" s="86"/>
      <c r="AT131" s="86"/>
      <c r="AU131" s="86"/>
      <c r="AV131" s="86"/>
      <c r="AW131" s="86"/>
      <c r="AX131" s="86"/>
      <c r="AY131" s="86"/>
      <c r="AZ131" s="86"/>
      <c r="BA131" s="86"/>
      <c r="BB131" s="93"/>
      <c r="BC131" s="6"/>
      <c r="BD131" s="86"/>
      <c r="BE131" s="86"/>
      <c r="BF131" s="86"/>
      <c r="BG131" s="86"/>
      <c r="BH131" s="86"/>
      <c r="BI131" s="86"/>
      <c r="BJ131" s="86"/>
      <c r="BK131" s="86"/>
      <c r="BL131" s="86"/>
      <c r="BM131" s="86"/>
      <c r="BN131" s="86"/>
      <c r="BO131" s="86"/>
      <c r="BP131" s="86"/>
      <c r="BQ131" s="86"/>
      <c r="BR131" s="86"/>
      <c r="BS131" s="86"/>
      <c r="BT131" s="86"/>
      <c r="BU131" s="86"/>
      <c r="BV131" s="86"/>
      <c r="BW131" s="86"/>
      <c r="BX131" s="86"/>
    </row>
    <row r="132" spans="1:76" s="28" customFormat="1" ht="19.5" customHeight="1">
      <c r="A132" s="86"/>
      <c r="B132" s="87"/>
      <c r="C132" s="87"/>
      <c r="D132" s="86"/>
      <c r="E132" s="87"/>
      <c r="F132" s="86"/>
      <c r="G132" s="86"/>
      <c r="H132" s="87"/>
      <c r="I132" s="87"/>
      <c r="J132" s="87"/>
      <c r="K132" s="87"/>
      <c r="L132" s="87"/>
      <c r="M132" s="122"/>
      <c r="N132" s="120"/>
      <c r="O132" s="109"/>
      <c r="P132" s="109"/>
      <c r="Q132" s="87"/>
      <c r="R132" s="87"/>
      <c r="S132" s="87"/>
      <c r="T132" s="87"/>
      <c r="U132" s="87"/>
      <c r="V132" s="87"/>
      <c r="W132" s="87"/>
      <c r="X132" s="87"/>
      <c r="Y132" s="87"/>
      <c r="Z132" s="87"/>
      <c r="AA132" s="87"/>
      <c r="AB132" s="121"/>
      <c r="AC132" s="121"/>
      <c r="AD132" s="166"/>
      <c r="AE132" s="166"/>
      <c r="AF132" s="166"/>
      <c r="AG132" s="166"/>
      <c r="AH132" s="88"/>
      <c r="AI132" s="88"/>
      <c r="AJ132" s="88"/>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row>
    <row r="133" spans="1:76" s="28" customFormat="1" ht="19.5" customHeight="1">
      <c r="A133" s="86"/>
      <c r="B133" s="87"/>
      <c r="C133" s="87"/>
      <c r="D133" s="86"/>
      <c r="E133" s="87"/>
      <c r="F133" s="86"/>
      <c r="G133" s="86"/>
      <c r="H133" s="87"/>
      <c r="I133" s="87"/>
      <c r="J133" s="87"/>
      <c r="K133" s="87"/>
      <c r="L133" s="87"/>
      <c r="M133" s="122"/>
      <c r="N133" s="120"/>
      <c r="O133" s="109"/>
      <c r="P133" s="109"/>
      <c r="Q133" s="87"/>
      <c r="R133" s="87"/>
      <c r="S133" s="87"/>
      <c r="T133" s="87"/>
      <c r="U133" s="87"/>
      <c r="V133" s="87"/>
      <c r="W133" s="87"/>
      <c r="X133" s="87"/>
      <c r="Y133" s="87"/>
      <c r="Z133" s="87"/>
      <c r="AA133" s="87"/>
      <c r="AB133" s="121"/>
      <c r="AC133" s="121"/>
      <c r="AD133" s="166"/>
      <c r="AE133" s="166"/>
      <c r="AF133" s="166"/>
      <c r="AG133" s="166"/>
      <c r="AH133" s="88"/>
      <c r="AI133" s="88"/>
      <c r="AJ133" s="88"/>
      <c r="AK133" s="86"/>
      <c r="AL133" s="86"/>
      <c r="AM133" s="86"/>
      <c r="AN133" s="86"/>
      <c r="AO133" s="86"/>
      <c r="AP133" s="86"/>
      <c r="AQ133" s="86"/>
      <c r="AR133" s="93"/>
      <c r="AS133" s="86"/>
      <c r="AT133" s="86"/>
      <c r="AU133" s="86"/>
      <c r="AV133" s="86"/>
      <c r="AW133" s="86"/>
      <c r="AX133" s="86"/>
      <c r="AY133" s="86"/>
      <c r="AZ133" s="86"/>
      <c r="BA133" s="86"/>
      <c r="BB133" s="86"/>
      <c r="BC133" s="86"/>
      <c r="BD133" s="86"/>
      <c r="BE133" s="93"/>
      <c r="BF133" s="86"/>
      <c r="BG133" s="86"/>
      <c r="BH133" s="86"/>
      <c r="BI133" s="86"/>
      <c r="BJ133" s="86"/>
      <c r="BK133" s="86"/>
      <c r="BL133" s="86"/>
      <c r="BM133" s="86"/>
      <c r="BN133" s="86"/>
      <c r="BO133" s="86"/>
      <c r="BP133" s="86"/>
      <c r="BQ133" s="86"/>
      <c r="BR133" s="86"/>
      <c r="BS133" s="86"/>
      <c r="BT133" s="86"/>
      <c r="BU133" s="86"/>
      <c r="BV133" s="86"/>
      <c r="BW133" s="86"/>
      <c r="BX133" s="86"/>
    </row>
    <row r="134" spans="1:76" s="28" customFormat="1" ht="19.5" customHeight="1">
      <c r="A134" s="86"/>
      <c r="B134" s="87"/>
      <c r="C134" s="87"/>
      <c r="D134" s="86"/>
      <c r="E134" s="87"/>
      <c r="F134" s="86"/>
      <c r="G134" s="86"/>
      <c r="H134" s="87"/>
      <c r="I134" s="87"/>
      <c r="J134" s="87"/>
      <c r="K134" s="87"/>
      <c r="L134" s="87"/>
      <c r="M134" s="122"/>
      <c r="N134" s="120"/>
      <c r="O134" s="109"/>
      <c r="P134" s="109"/>
      <c r="Q134" s="87"/>
      <c r="R134" s="87"/>
      <c r="S134" s="87"/>
      <c r="T134" s="87"/>
      <c r="U134" s="87"/>
      <c r="V134" s="87"/>
      <c r="W134" s="87"/>
      <c r="X134" s="87"/>
      <c r="Y134" s="87"/>
      <c r="Z134" s="87"/>
      <c r="AA134" s="87"/>
      <c r="AB134" s="121"/>
      <c r="AC134" s="121"/>
      <c r="AD134" s="166"/>
      <c r="AE134" s="166"/>
      <c r="AF134" s="166"/>
      <c r="AG134" s="166"/>
      <c r="AH134" s="88"/>
      <c r="AI134" s="88"/>
      <c r="AJ134" s="88"/>
      <c r="AK134" s="86"/>
      <c r="AL134" s="86"/>
      <c r="AM134" s="86"/>
      <c r="AN134" s="86"/>
      <c r="AO134" s="86"/>
      <c r="AP134" s="86"/>
      <c r="AQ134" s="86"/>
      <c r="AR134" s="93"/>
      <c r="AS134" s="86"/>
      <c r="AT134" s="86"/>
      <c r="AU134" s="86"/>
      <c r="AV134" s="86"/>
      <c r="AW134" s="86"/>
      <c r="AX134" s="86"/>
      <c r="AY134" s="86"/>
      <c r="AZ134" s="86"/>
      <c r="BA134" s="86"/>
      <c r="BB134" s="86"/>
      <c r="BC134" s="86"/>
      <c r="BD134" s="86"/>
      <c r="BE134" s="93"/>
      <c r="BF134" s="86"/>
      <c r="BG134" s="86"/>
      <c r="BH134" s="86"/>
      <c r="BI134" s="86"/>
      <c r="BJ134" s="86"/>
      <c r="BK134" s="86"/>
      <c r="BL134" s="86"/>
      <c r="BM134" s="86"/>
      <c r="BN134" s="86"/>
      <c r="BO134" s="86"/>
      <c r="BP134" s="86"/>
      <c r="BQ134" s="86"/>
      <c r="BR134" s="86"/>
      <c r="BS134" s="86"/>
      <c r="BT134" s="86"/>
      <c r="BU134" s="86"/>
      <c r="BV134" s="86"/>
      <c r="BW134" s="86"/>
      <c r="BX134" s="86"/>
    </row>
    <row r="135" spans="1:76" s="28" customFormat="1" ht="19.5" customHeight="1">
      <c r="A135" s="86"/>
      <c r="B135" s="87"/>
      <c r="C135" s="87"/>
      <c r="D135" s="86"/>
      <c r="E135" s="87"/>
      <c r="F135" s="86"/>
      <c r="G135" s="86"/>
      <c r="H135" s="87"/>
      <c r="I135" s="87"/>
      <c r="J135" s="87"/>
      <c r="K135" s="87"/>
      <c r="L135" s="87"/>
      <c r="M135" s="122"/>
      <c r="N135" s="120"/>
      <c r="O135" s="109"/>
      <c r="P135" s="109"/>
      <c r="Q135" s="87"/>
      <c r="R135" s="87"/>
      <c r="S135" s="87"/>
      <c r="T135" s="87"/>
      <c r="U135" s="87"/>
      <c r="V135" s="87"/>
      <c r="W135" s="87"/>
      <c r="X135" s="87"/>
      <c r="Y135" s="87"/>
      <c r="Z135" s="87"/>
      <c r="AA135" s="87"/>
      <c r="AB135" s="121"/>
      <c r="AC135" s="121"/>
      <c r="AD135" s="166"/>
      <c r="AE135" s="166"/>
      <c r="AF135" s="166"/>
      <c r="AG135" s="166"/>
      <c r="AH135" s="88"/>
      <c r="AI135" s="88"/>
      <c r="AJ135" s="88"/>
      <c r="AK135" s="86"/>
      <c r="AL135" s="86"/>
      <c r="AM135" s="86"/>
      <c r="AN135" s="86"/>
      <c r="AO135" s="86"/>
      <c r="AP135" s="86"/>
      <c r="AQ135" s="86"/>
      <c r="AR135" s="93"/>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row>
    <row r="136" spans="1:76" s="28" customFormat="1" ht="19.5" customHeight="1">
      <c r="A136" s="86"/>
      <c r="B136" s="87"/>
      <c r="C136" s="87"/>
      <c r="D136" s="86"/>
      <c r="E136" s="87"/>
      <c r="F136" s="86"/>
      <c r="G136" s="86"/>
      <c r="H136" s="87"/>
      <c r="I136" s="87"/>
      <c r="J136" s="87"/>
      <c r="K136" s="87"/>
      <c r="L136" s="87"/>
      <c r="M136" s="122"/>
      <c r="N136" s="120"/>
      <c r="O136" s="109"/>
      <c r="P136" s="109"/>
      <c r="Q136" s="87"/>
      <c r="R136" s="87"/>
      <c r="S136" s="87"/>
      <c r="T136" s="87"/>
      <c r="U136" s="87"/>
      <c r="V136" s="87"/>
      <c r="W136" s="87"/>
      <c r="X136" s="87"/>
      <c r="Y136" s="87"/>
      <c r="Z136" s="87"/>
      <c r="AA136" s="87"/>
      <c r="AB136" s="121"/>
      <c r="AC136" s="121"/>
      <c r="AD136" s="166"/>
      <c r="AE136" s="166"/>
      <c r="AF136" s="166"/>
      <c r="AG136" s="166"/>
      <c r="AH136" s="88"/>
      <c r="AI136" s="88"/>
      <c r="AJ136" s="88"/>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row>
    <row r="137" spans="1:76" s="28" customFormat="1" ht="19.5" customHeight="1">
      <c r="A137" s="86"/>
      <c r="B137" s="87"/>
      <c r="C137" s="87"/>
      <c r="D137" s="86"/>
      <c r="E137" s="87"/>
      <c r="F137" s="86"/>
      <c r="G137" s="86"/>
      <c r="H137" s="87"/>
      <c r="I137" s="87"/>
      <c r="J137" s="87"/>
      <c r="K137" s="87"/>
      <c r="L137" s="87"/>
      <c r="M137" s="122"/>
      <c r="N137" s="120"/>
      <c r="O137" s="109"/>
      <c r="P137" s="109"/>
      <c r="Q137" s="87"/>
      <c r="R137" s="87"/>
      <c r="S137" s="87"/>
      <c r="T137" s="87"/>
      <c r="U137" s="87"/>
      <c r="V137" s="87"/>
      <c r="W137" s="87"/>
      <c r="X137" s="87"/>
      <c r="Y137" s="87"/>
      <c r="Z137" s="87"/>
      <c r="AA137" s="87"/>
      <c r="AB137" s="121"/>
      <c r="AC137" s="121"/>
      <c r="AD137" s="166"/>
      <c r="AE137" s="166"/>
      <c r="AF137" s="166"/>
      <c r="AG137" s="166"/>
      <c r="AH137" s="88"/>
      <c r="AI137" s="88"/>
      <c r="AJ137" s="88"/>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row>
    <row r="138" spans="1:76" s="28" customFormat="1" ht="19.5" customHeight="1">
      <c r="A138" s="86"/>
      <c r="B138" s="87"/>
      <c r="C138" s="87"/>
      <c r="D138" s="86"/>
      <c r="E138" s="87"/>
      <c r="F138" s="86"/>
      <c r="G138" s="86"/>
      <c r="H138" s="87"/>
      <c r="I138" s="87"/>
      <c r="J138" s="87"/>
      <c r="K138" s="87"/>
      <c r="L138" s="87"/>
      <c r="M138" s="122"/>
      <c r="N138" s="120"/>
      <c r="O138" s="109"/>
      <c r="P138" s="109"/>
      <c r="Q138" s="87"/>
      <c r="R138" s="87"/>
      <c r="S138" s="87"/>
      <c r="T138" s="87"/>
      <c r="U138" s="87"/>
      <c r="V138" s="87"/>
      <c r="W138" s="87"/>
      <c r="X138" s="87"/>
      <c r="Y138" s="87"/>
      <c r="Z138" s="87"/>
      <c r="AA138" s="87"/>
      <c r="AB138" s="121"/>
      <c r="AC138" s="121"/>
      <c r="AD138" s="166"/>
      <c r="AE138" s="166"/>
      <c r="AF138" s="166"/>
      <c r="AG138" s="166"/>
      <c r="AH138" s="88"/>
      <c r="AI138" s="88"/>
      <c r="AJ138" s="88"/>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row>
    <row r="139" spans="1:76" s="28" customFormat="1" ht="19.5" customHeight="1">
      <c r="A139" s="86"/>
      <c r="B139" s="87"/>
      <c r="C139" s="87"/>
      <c r="D139" s="86"/>
      <c r="E139" s="87"/>
      <c r="F139" s="86"/>
      <c r="G139" s="86"/>
      <c r="H139" s="87"/>
      <c r="I139" s="87"/>
      <c r="J139" s="87"/>
      <c r="K139" s="87"/>
      <c r="L139" s="87"/>
      <c r="M139" s="122"/>
      <c r="N139" s="120"/>
      <c r="O139" s="109"/>
      <c r="P139" s="109"/>
      <c r="Q139" s="87"/>
      <c r="R139" s="87"/>
      <c r="S139" s="87"/>
      <c r="T139" s="87"/>
      <c r="U139" s="87"/>
      <c r="V139" s="87"/>
      <c r="W139" s="87"/>
      <c r="X139" s="87"/>
      <c r="Y139" s="87"/>
      <c r="Z139" s="87"/>
      <c r="AA139" s="87"/>
      <c r="AB139" s="121"/>
      <c r="AC139" s="121"/>
      <c r="AD139" s="166"/>
      <c r="AE139" s="109" t="s">
        <v>1261</v>
      </c>
      <c r="AF139" s="166"/>
      <c r="AG139" s="166"/>
      <c r="AH139" s="88"/>
      <c r="AI139" s="88"/>
      <c r="AJ139" s="88"/>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row>
    <row r="140" spans="1:76" s="28" customFormat="1" ht="19.5" customHeight="1" thickBot="1">
      <c r="A140" s="86"/>
      <c r="B140" s="87"/>
      <c r="C140" s="87"/>
      <c r="D140" s="86"/>
      <c r="E140" s="87"/>
      <c r="F140" s="86"/>
      <c r="G140" s="87"/>
      <c r="H140" s="186" t="s">
        <v>957</v>
      </c>
      <c r="I140" s="187"/>
      <c r="J140" s="187"/>
      <c r="K140" s="187"/>
      <c r="L140" s="188"/>
      <c r="M140" s="186" t="s">
        <v>1339</v>
      </c>
      <c r="N140" s="187"/>
      <c r="O140" s="187"/>
      <c r="P140" s="187"/>
      <c r="Q140" s="187"/>
      <c r="R140" s="187"/>
      <c r="S140" s="187"/>
      <c r="T140" s="187"/>
      <c r="U140" s="187"/>
      <c r="V140" s="187"/>
      <c r="W140" s="187"/>
      <c r="X140" s="187"/>
      <c r="Y140" s="187"/>
      <c r="Z140" s="187"/>
      <c r="AA140" s="187"/>
      <c r="AB140" s="187"/>
      <c r="AC140" s="187"/>
      <c r="AD140" s="188"/>
      <c r="AE140" s="186" t="s">
        <v>1258</v>
      </c>
      <c r="AF140" s="187"/>
      <c r="AG140" s="187"/>
      <c r="AH140" s="188"/>
      <c r="AI140" s="186" t="s">
        <v>187</v>
      </c>
      <c r="AJ140" s="187"/>
      <c r="AK140" s="187"/>
      <c r="AL140" s="187"/>
      <c r="AM140" s="187"/>
      <c r="AN140" s="188"/>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row>
    <row r="141" spans="1:76" s="28" customFormat="1" ht="19.5" customHeight="1" thickBot="1" thickTop="1">
      <c r="A141" s="86"/>
      <c r="B141" s="87"/>
      <c r="C141" s="87"/>
      <c r="D141" s="86"/>
      <c r="E141" s="87"/>
      <c r="F141" s="86"/>
      <c r="G141" s="87"/>
      <c r="H141" s="194">
        <v>1</v>
      </c>
      <c r="I141" s="195"/>
      <c r="J141" s="195"/>
      <c r="K141" s="195"/>
      <c r="L141" s="185"/>
      <c r="M141" s="357" t="str">
        <f>" "&amp;ROUND(0.6,3)&amp;" × "&amp;ROUND(0.33,3)&amp;" × "&amp;ROUND(24.5,3)</f>
        <v> 0.6 × 0.33 × 24.5</v>
      </c>
      <c r="N141" s="123"/>
      <c r="O141" s="123"/>
      <c r="P141" s="123"/>
      <c r="Q141" s="123"/>
      <c r="R141" s="123"/>
      <c r="S141" s="124"/>
      <c r="T141" s="124"/>
      <c r="U141" s="124"/>
      <c r="V141" s="124"/>
      <c r="W141" s="124"/>
      <c r="X141" s="124"/>
      <c r="Y141" s="124"/>
      <c r="Z141" s="125" t="s">
        <v>958</v>
      </c>
      <c r="AA141" s="192">
        <f>ROUND(0.6*0.33*24.5,3)</f>
        <v>4.851</v>
      </c>
      <c r="AB141" s="358"/>
      <c r="AC141" s="358"/>
      <c r="AD141" s="359"/>
      <c r="AE141" s="191">
        <v>0.3</v>
      </c>
      <c r="AF141" s="358"/>
      <c r="AG141" s="358"/>
      <c r="AH141" s="359"/>
      <c r="AI141" s="128">
        <f>AA141*AE141</f>
        <v>1.4553</v>
      </c>
      <c r="AJ141" s="126"/>
      <c r="AK141" s="126"/>
      <c r="AL141" s="126"/>
      <c r="AM141" s="127"/>
      <c r="AN141" s="129"/>
      <c r="AO141" s="86"/>
      <c r="AP141" s="86"/>
      <c r="AQ141" s="86"/>
      <c r="AR141" s="93"/>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row>
    <row r="142" spans="1:88" s="28" customFormat="1" ht="19.5" customHeight="1" thickTop="1">
      <c r="A142" s="86"/>
      <c r="B142" s="87"/>
      <c r="C142" s="87"/>
      <c r="D142" s="86"/>
      <c r="E142" s="87"/>
      <c r="F142" s="86"/>
      <c r="G142" s="87"/>
      <c r="H142" s="191" t="s">
        <v>188</v>
      </c>
      <c r="I142" s="192"/>
      <c r="J142" s="192"/>
      <c r="K142" s="192"/>
      <c r="L142" s="193"/>
      <c r="M142" s="132"/>
      <c r="N142" s="123"/>
      <c r="O142" s="123"/>
      <c r="P142" s="123"/>
      <c r="Q142" s="123"/>
      <c r="R142" s="123"/>
      <c r="S142" s="124"/>
      <c r="T142" s="124"/>
      <c r="U142" s="124"/>
      <c r="V142" s="124"/>
      <c r="W142" s="124"/>
      <c r="X142" s="124"/>
      <c r="Y142" s="124"/>
      <c r="Z142" s="125"/>
      <c r="AA142" s="126">
        <f>SUM(AA141:AA141)</f>
        <v>4.851</v>
      </c>
      <c r="AB142" s="126"/>
      <c r="AC142" s="125"/>
      <c r="AD142" s="127"/>
      <c r="AE142" s="128">
        <f>AI142/AA142</f>
        <v>0.3</v>
      </c>
      <c r="AF142" s="126"/>
      <c r="AG142" s="126"/>
      <c r="AH142" s="127"/>
      <c r="AI142" s="128">
        <f>SUM(AI141:AI141)</f>
        <v>1.4553</v>
      </c>
      <c r="AJ142" s="126"/>
      <c r="AK142" s="126"/>
      <c r="AL142" s="126"/>
      <c r="AM142" s="127"/>
      <c r="AN142" s="129"/>
      <c r="AO142" s="86"/>
      <c r="AP142" s="86"/>
      <c r="AQ142" s="86"/>
      <c r="AR142" s="86"/>
      <c r="AS142" s="86"/>
      <c r="AT142" s="86"/>
      <c r="AU142" s="86"/>
      <c r="AV142" s="86"/>
      <c r="AW142" s="86"/>
      <c r="AX142" s="86"/>
      <c r="AY142" s="86"/>
      <c r="AZ142" s="86"/>
      <c r="BA142" s="86"/>
      <c r="BB142" s="6"/>
      <c r="BC142" s="86"/>
      <c r="BD142" s="96"/>
      <c r="BE142" s="96"/>
      <c r="BF142" s="96"/>
      <c r="BG142" s="96"/>
      <c r="BH142" s="96"/>
      <c r="BI142" s="89"/>
      <c r="BJ142" s="89"/>
      <c r="BK142" s="89"/>
      <c r="BL142" s="89"/>
      <c r="BM142" s="89"/>
      <c r="BN142" s="89"/>
      <c r="BO142" s="58"/>
      <c r="BP142" s="58"/>
      <c r="BQ142" s="58"/>
      <c r="BR142" s="58"/>
      <c r="BS142" s="58"/>
      <c r="BT142" s="58"/>
      <c r="BU142" s="58"/>
      <c r="BV142" s="105"/>
      <c r="BW142" s="91"/>
      <c r="BX142" s="91"/>
      <c r="BY142" s="10"/>
      <c r="BZ142" s="18"/>
      <c r="CA142" s="16"/>
      <c r="CB142" s="16"/>
      <c r="CC142" s="16"/>
      <c r="CD142" s="18"/>
      <c r="CE142" s="16"/>
      <c r="CF142" s="16"/>
      <c r="CG142" s="16"/>
      <c r="CH142" s="16"/>
      <c r="CI142" s="18"/>
      <c r="CJ142" s="18"/>
    </row>
    <row r="143" spans="1:76" s="28" customFormat="1" ht="19.5" customHeight="1">
      <c r="A143" s="86"/>
      <c r="B143" s="87"/>
      <c r="C143" s="87"/>
      <c r="D143" s="86"/>
      <c r="E143" s="86"/>
      <c r="F143" s="86"/>
      <c r="G143" s="86"/>
      <c r="H143" s="87"/>
      <c r="I143" s="87"/>
      <c r="J143" s="87"/>
      <c r="K143" s="87"/>
      <c r="L143" s="87"/>
      <c r="M143" s="86"/>
      <c r="N143" s="109"/>
      <c r="O143" s="89" t="s">
        <v>1259</v>
      </c>
      <c r="P143" s="89"/>
      <c r="Q143" s="89"/>
      <c r="R143" s="89"/>
      <c r="S143" s="89"/>
      <c r="T143" s="58" t="s">
        <v>1235</v>
      </c>
      <c r="U143" s="58"/>
      <c r="V143" s="360">
        <v>14</v>
      </c>
      <c r="W143" s="361"/>
      <c r="X143" s="58" t="s">
        <v>191</v>
      </c>
      <c r="Y143" s="58"/>
      <c r="Z143" s="58"/>
      <c r="AA143" s="362">
        <v>1.9</v>
      </c>
      <c r="AB143" s="362"/>
      <c r="AC143" s="362"/>
      <c r="AD143" s="92" t="s">
        <v>192</v>
      </c>
      <c r="AE143" s="90"/>
      <c r="AF143" s="91"/>
      <c r="AG143" s="166"/>
      <c r="AH143" s="88"/>
      <c r="AI143" s="88"/>
      <c r="AJ143" s="88"/>
      <c r="AK143" s="86"/>
      <c r="AL143" s="86"/>
      <c r="AM143" s="86"/>
      <c r="AN143" s="86"/>
      <c r="AO143" s="86"/>
      <c r="AP143" s="86"/>
      <c r="AQ143" s="86"/>
      <c r="AR143" s="86"/>
      <c r="AS143" s="86"/>
      <c r="AT143" s="86"/>
      <c r="AU143" s="86"/>
      <c r="AV143" s="86"/>
      <c r="AW143" s="86"/>
      <c r="AX143" s="86"/>
      <c r="AY143" s="86"/>
      <c r="AZ143" s="86"/>
      <c r="BA143" s="86"/>
      <c r="BB143" s="86"/>
      <c r="BC143" s="6"/>
      <c r="BD143" s="86"/>
      <c r="BE143" s="86"/>
      <c r="BF143" s="86"/>
      <c r="BG143" s="86"/>
      <c r="BH143" s="86"/>
      <c r="BI143" s="86"/>
      <c r="BJ143" s="86"/>
      <c r="BK143" s="86"/>
      <c r="BL143" s="86"/>
      <c r="BM143" s="86"/>
      <c r="BN143" s="86"/>
      <c r="BO143" s="86"/>
      <c r="BP143" s="86"/>
      <c r="BQ143" s="86"/>
      <c r="BR143" s="86"/>
      <c r="BS143" s="86"/>
      <c r="BT143" s="86"/>
      <c r="BU143" s="86"/>
      <c r="BV143" s="86"/>
      <c r="BW143" s="86"/>
      <c r="BX143" s="86"/>
    </row>
    <row r="144" spans="1:76" s="28" customFormat="1" ht="19.5" customHeight="1">
      <c r="A144" s="86"/>
      <c r="B144" s="87"/>
      <c r="C144" s="87"/>
      <c r="D144" s="86"/>
      <c r="E144" s="86"/>
      <c r="F144" s="86"/>
      <c r="G144" s="86"/>
      <c r="H144" s="87"/>
      <c r="I144" s="87"/>
      <c r="J144" s="87"/>
      <c r="K144" s="87"/>
      <c r="L144" s="87"/>
      <c r="M144" s="86"/>
      <c r="N144" s="109"/>
      <c r="O144" s="89"/>
      <c r="P144" s="89"/>
      <c r="Q144" s="89"/>
      <c r="R144" s="89"/>
      <c r="S144" s="89"/>
      <c r="T144" s="58"/>
      <c r="U144" s="58"/>
      <c r="V144" s="90"/>
      <c r="W144" s="90"/>
      <c r="X144" s="58"/>
      <c r="Y144" s="58"/>
      <c r="Z144" s="58"/>
      <c r="AA144" s="91"/>
      <c r="AB144" s="91"/>
      <c r="AC144" s="91"/>
      <c r="AD144" s="92"/>
      <c r="AE144" s="90"/>
      <c r="AF144" s="91"/>
      <c r="AG144" s="166"/>
      <c r="AH144" s="88"/>
      <c r="AI144" s="88"/>
      <c r="AJ144" s="88"/>
      <c r="AK144" s="86"/>
      <c r="AL144" s="86"/>
      <c r="AM144" s="86"/>
      <c r="AN144" s="86"/>
      <c r="AO144" s="86"/>
      <c r="AP144" s="86"/>
      <c r="AQ144" s="86"/>
      <c r="AR144" s="86"/>
      <c r="AS144" s="86"/>
      <c r="AT144" s="86"/>
      <c r="AU144" s="86"/>
      <c r="AV144" s="86"/>
      <c r="AW144" s="86"/>
      <c r="AX144" s="86"/>
      <c r="AY144" s="86"/>
      <c r="AZ144" s="86"/>
      <c r="BA144" s="86"/>
      <c r="BB144" s="86"/>
      <c r="BC144" s="6"/>
      <c r="BD144" s="86"/>
      <c r="BE144" s="86"/>
      <c r="BF144" s="86"/>
      <c r="BG144" s="86"/>
      <c r="BH144" s="86"/>
      <c r="BI144" s="86"/>
      <c r="BJ144" s="86"/>
      <c r="BK144" s="86"/>
      <c r="BL144" s="86"/>
      <c r="BM144" s="86"/>
      <c r="BN144" s="86"/>
      <c r="BO144" s="86"/>
      <c r="BP144" s="86"/>
      <c r="BQ144" s="86"/>
      <c r="BR144" s="86"/>
      <c r="BS144" s="86"/>
      <c r="BT144" s="86"/>
      <c r="BU144" s="86"/>
      <c r="BV144" s="86"/>
      <c r="BW144" s="86"/>
      <c r="BX144" s="86"/>
    </row>
    <row r="145" spans="1:76" s="28" customFormat="1" ht="19.5" customHeight="1">
      <c r="A145" s="86"/>
      <c r="B145" s="87"/>
      <c r="C145" s="86"/>
      <c r="D145" s="86"/>
      <c r="E145" s="86"/>
      <c r="F145" s="86" t="s">
        <v>965</v>
      </c>
      <c r="G145" s="87"/>
      <c r="H145" s="87"/>
      <c r="I145" s="87"/>
      <c r="J145" s="87"/>
      <c r="K145" s="87"/>
      <c r="L145" s="87"/>
      <c r="M145" s="354">
        <v>1</v>
      </c>
      <c r="N145" s="354"/>
      <c r="O145" s="354"/>
      <c r="P145" s="354"/>
      <c r="Q145" s="277" t="s">
        <v>193</v>
      </c>
      <c r="R145" s="277"/>
      <c r="S145" s="277"/>
      <c r="T145" s="87"/>
      <c r="U145" s="87"/>
      <c r="V145" s="89" t="s">
        <v>963</v>
      </c>
      <c r="W145" s="89"/>
      <c r="X145" s="89"/>
      <c r="Y145" s="89"/>
      <c r="Z145" s="89"/>
      <c r="AA145" s="58" t="s">
        <v>1235</v>
      </c>
      <c r="AB145" s="58"/>
      <c r="AC145" s="363">
        <v>1</v>
      </c>
      <c r="AD145" s="331"/>
      <c r="AE145" s="58" t="s">
        <v>194</v>
      </c>
      <c r="AF145" s="58"/>
      <c r="AG145" s="58"/>
      <c r="AH145" s="364">
        <v>0.3</v>
      </c>
      <c r="AI145" s="333"/>
      <c r="AJ145" s="333"/>
      <c r="AK145" s="92" t="s">
        <v>195</v>
      </c>
      <c r="AL145" s="90"/>
      <c r="AM145" s="91"/>
      <c r="AN145" s="86"/>
      <c r="AO145" s="86"/>
      <c r="AP145" s="86"/>
      <c r="AQ145" s="86"/>
      <c r="AR145" s="93"/>
      <c r="AS145" s="86"/>
      <c r="AT145" s="86"/>
      <c r="AU145" s="86"/>
      <c r="AV145" s="86"/>
      <c r="AW145" s="86"/>
      <c r="AX145" s="86"/>
      <c r="AY145" s="86"/>
      <c r="AZ145" s="86"/>
      <c r="BA145" s="86"/>
      <c r="BB145" s="93"/>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row>
    <row r="146" spans="1:76" s="28" customFormat="1" ht="19.5" customHeight="1">
      <c r="A146" s="86"/>
      <c r="B146" s="87"/>
      <c r="C146" s="86"/>
      <c r="D146" s="86"/>
      <c r="E146" s="86"/>
      <c r="F146" s="86" t="s">
        <v>966</v>
      </c>
      <c r="G146" s="87"/>
      <c r="H146" s="87"/>
      <c r="I146" s="87"/>
      <c r="J146" s="87"/>
      <c r="K146" s="87"/>
      <c r="L146" s="87"/>
      <c r="M146" s="354">
        <v>1</v>
      </c>
      <c r="N146" s="354"/>
      <c r="O146" s="354"/>
      <c r="P146" s="354"/>
      <c r="Q146" s="277" t="s">
        <v>196</v>
      </c>
      <c r="R146" s="277"/>
      <c r="S146" s="277"/>
      <c r="T146" s="87"/>
      <c r="U146" s="87"/>
      <c r="V146" s="89" t="s">
        <v>963</v>
      </c>
      <c r="W146" s="89"/>
      <c r="X146" s="89"/>
      <c r="Y146" s="89"/>
      <c r="Z146" s="89"/>
      <c r="AA146" s="58" t="s">
        <v>1235</v>
      </c>
      <c r="AB146" s="58"/>
      <c r="AC146" s="363">
        <v>14</v>
      </c>
      <c r="AD146" s="331"/>
      <c r="AE146" s="58" t="s">
        <v>194</v>
      </c>
      <c r="AF146" s="58"/>
      <c r="AG146" s="58"/>
      <c r="AH146" s="364">
        <v>1.9</v>
      </c>
      <c r="AI146" s="333"/>
      <c r="AJ146" s="333"/>
      <c r="AK146" s="92" t="s">
        <v>195</v>
      </c>
      <c r="AL146" s="90"/>
      <c r="AM146" s="91"/>
      <c r="AN146" s="86"/>
      <c r="AO146" s="86"/>
      <c r="AP146" s="86"/>
      <c r="AQ146" s="86"/>
      <c r="AR146" s="93"/>
      <c r="AS146" s="86"/>
      <c r="AT146" s="86"/>
      <c r="AU146" s="86"/>
      <c r="AV146" s="86"/>
      <c r="AW146" s="86"/>
      <c r="AX146" s="86"/>
      <c r="AY146" s="86"/>
      <c r="AZ146" s="86"/>
      <c r="BA146" s="86"/>
      <c r="BB146" s="93"/>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row>
    <row r="147" spans="2:54" s="86" customFormat="1" ht="19.5" customHeight="1">
      <c r="B147" s="87"/>
      <c r="G147" s="87"/>
      <c r="H147" s="87"/>
      <c r="I147" s="87"/>
      <c r="J147" s="87"/>
      <c r="K147" s="87"/>
      <c r="L147" s="87"/>
      <c r="M147" s="166"/>
      <c r="N147" s="166"/>
      <c r="O147" s="166"/>
      <c r="P147" s="166"/>
      <c r="Q147" s="88"/>
      <c r="R147" s="88"/>
      <c r="S147" s="88"/>
      <c r="T147" s="87"/>
      <c r="U147" s="87"/>
      <c r="V147" s="89"/>
      <c r="W147" s="89"/>
      <c r="X147" s="89"/>
      <c r="Y147" s="89"/>
      <c r="Z147" s="89"/>
      <c r="AA147" s="58"/>
      <c r="AB147" s="58"/>
      <c r="AC147" s="90"/>
      <c r="AD147" s="90"/>
      <c r="AE147" s="58"/>
      <c r="AF147" s="58"/>
      <c r="AG147" s="58"/>
      <c r="AH147" s="91"/>
      <c r="AI147" s="91"/>
      <c r="AJ147" s="91"/>
      <c r="AK147" s="92"/>
      <c r="AL147" s="90"/>
      <c r="AM147" s="91"/>
      <c r="AR147" s="93"/>
      <c r="BB147" s="93"/>
    </row>
    <row r="148" spans="1:12" ht="19.5" customHeight="1">
      <c r="A148" s="4"/>
      <c r="B148" s="4"/>
      <c r="C148" s="4"/>
      <c r="D148" s="4"/>
      <c r="E148" s="4"/>
      <c r="F148" s="4"/>
      <c r="G148" s="4"/>
      <c r="H148" s="4"/>
      <c r="I148" s="4"/>
      <c r="J148" s="4"/>
      <c r="K148" s="4"/>
      <c r="L148" s="4"/>
    </row>
    <row r="149" spans="1:44" ht="19.5" customHeight="1">
      <c r="A149" s="4"/>
      <c r="B149" s="4"/>
      <c r="C149" s="4"/>
      <c r="D149" s="4"/>
      <c r="E149" s="30" t="s">
        <v>1414</v>
      </c>
      <c r="G149" s="4"/>
      <c r="H149" s="4"/>
      <c r="I149" s="4"/>
      <c r="J149" s="4"/>
      <c r="K149" s="4"/>
      <c r="L149" s="4"/>
      <c r="AR149" s="36"/>
    </row>
    <row r="150" spans="1:42" ht="19.5" customHeight="1">
      <c r="A150" s="4"/>
      <c r="B150" s="4"/>
      <c r="C150" s="4"/>
      <c r="D150" s="4"/>
      <c r="E150" s="4"/>
      <c r="F150" s="4" t="s">
        <v>1262</v>
      </c>
      <c r="G150" s="4"/>
      <c r="H150" s="4"/>
      <c r="I150" s="4"/>
      <c r="J150" s="4"/>
      <c r="K150" s="4"/>
      <c r="L150" s="4"/>
      <c r="M150" s="4"/>
      <c r="N150" s="4"/>
      <c r="O150" s="4"/>
      <c r="P150" s="4"/>
      <c r="Q150" s="4"/>
      <c r="R150" s="133">
        <v>2.5</v>
      </c>
      <c r="S150" s="133"/>
      <c r="T150" s="133"/>
      <c r="U150" s="4" t="s">
        <v>197</v>
      </c>
      <c r="V150" s="4"/>
      <c r="W150" s="4"/>
      <c r="AG150" s="29"/>
      <c r="AP150" s="27"/>
    </row>
    <row r="151" spans="1:44" ht="19.5" customHeight="1">
      <c r="A151" s="4"/>
      <c r="B151" s="4"/>
      <c r="C151" s="4"/>
      <c r="D151" s="4"/>
      <c r="E151" s="4"/>
      <c r="F151" s="4" t="s">
        <v>1263</v>
      </c>
      <c r="G151" s="4"/>
      <c r="H151" s="4"/>
      <c r="I151" s="4"/>
      <c r="J151" s="4"/>
      <c r="K151" s="4"/>
      <c r="L151" s="4"/>
      <c r="M151" s="19">
        <v>1.1</v>
      </c>
      <c r="N151" s="19"/>
      <c r="O151" s="19"/>
      <c r="P151" s="4" t="s">
        <v>198</v>
      </c>
      <c r="Q151" s="365">
        <v>0.08</v>
      </c>
      <c r="R151" s="333"/>
      <c r="S151" s="333"/>
      <c r="T151" s="4" t="s">
        <v>198</v>
      </c>
      <c r="U151" s="365">
        <v>0.25</v>
      </c>
      <c r="V151" s="333"/>
      <c r="W151" s="333"/>
      <c r="X151" s="30" t="s">
        <v>199</v>
      </c>
      <c r="Y151" s="33">
        <v>2</v>
      </c>
      <c r="Z151" s="4" t="s">
        <v>200</v>
      </c>
      <c r="AA151" s="19">
        <f>M151+Q151+U151/2</f>
        <v>1.3050000000000002</v>
      </c>
      <c r="AB151" s="19"/>
      <c r="AC151" s="19"/>
      <c r="AD151" s="4" t="s">
        <v>201</v>
      </c>
      <c r="AG151" s="29"/>
      <c r="AP151" s="27"/>
      <c r="AR151" s="36"/>
    </row>
    <row r="152" spans="1:42" ht="19.5" customHeight="1">
      <c r="A152" s="4"/>
      <c r="B152" s="4"/>
      <c r="C152" s="4"/>
      <c r="D152" s="4"/>
      <c r="E152" s="4"/>
      <c r="F152" s="4" t="s">
        <v>202</v>
      </c>
      <c r="G152" s="4"/>
      <c r="H152" s="4"/>
      <c r="I152" s="133">
        <f>-R150</f>
        <v>-2.5</v>
      </c>
      <c r="J152" s="133"/>
      <c r="K152" s="133"/>
      <c r="L152" s="6" t="s">
        <v>203</v>
      </c>
      <c r="M152" s="19">
        <f>AA151</f>
        <v>1.3050000000000002</v>
      </c>
      <c r="N152" s="19"/>
      <c r="O152" s="19"/>
      <c r="P152" s="4" t="s">
        <v>200</v>
      </c>
      <c r="Q152" s="19">
        <f>I152*M152</f>
        <v>-3.2625</v>
      </c>
      <c r="R152" s="19"/>
      <c r="S152" s="19"/>
      <c r="T152" s="19"/>
      <c r="U152" s="4" t="s">
        <v>204</v>
      </c>
      <c r="V152" s="4"/>
      <c r="W152" s="4"/>
      <c r="AG152" s="29"/>
      <c r="AP152" s="27"/>
    </row>
    <row r="153" spans="1:42" ht="19.5" customHeight="1">
      <c r="A153" s="4"/>
      <c r="B153" s="4"/>
      <c r="C153" s="4"/>
      <c r="D153" s="4"/>
      <c r="E153" s="4"/>
      <c r="F153" s="4"/>
      <c r="G153" s="4"/>
      <c r="H153" s="4"/>
      <c r="I153" s="133"/>
      <c r="J153" s="133"/>
      <c r="K153" s="133"/>
      <c r="L153" s="6"/>
      <c r="M153" s="19"/>
      <c r="N153" s="19"/>
      <c r="O153" s="19"/>
      <c r="P153" s="4"/>
      <c r="Q153" s="19"/>
      <c r="R153" s="19"/>
      <c r="S153" s="19"/>
      <c r="T153" s="19"/>
      <c r="U153" s="4"/>
      <c r="V153" s="4"/>
      <c r="W153" s="4"/>
      <c r="AG153" s="29"/>
      <c r="AP153" s="27"/>
    </row>
    <row r="154" spans="1:44" ht="19.5" customHeight="1">
      <c r="A154" s="4"/>
      <c r="B154" s="4"/>
      <c r="C154" s="4"/>
      <c r="D154" s="4"/>
      <c r="E154" s="30" t="s">
        <v>1416</v>
      </c>
      <c r="G154" s="4"/>
      <c r="H154" s="4"/>
      <c r="I154" s="4"/>
      <c r="J154" s="4"/>
      <c r="K154" s="4"/>
      <c r="L154" s="4"/>
      <c r="AR154" s="36"/>
    </row>
    <row r="155" spans="1:42" ht="19.5" customHeight="1">
      <c r="A155" s="4"/>
      <c r="B155" s="4"/>
      <c r="C155" s="4"/>
      <c r="D155" s="4"/>
      <c r="E155" s="4"/>
      <c r="F155" s="4" t="s">
        <v>1262</v>
      </c>
      <c r="G155" s="4"/>
      <c r="H155" s="4"/>
      <c r="I155" s="4"/>
      <c r="J155" s="4"/>
      <c r="K155" s="4"/>
      <c r="L155" s="4"/>
      <c r="M155" s="4"/>
      <c r="N155" s="4"/>
      <c r="O155" s="4"/>
      <c r="P155" s="4"/>
      <c r="Q155" s="4"/>
      <c r="R155" s="133">
        <v>2.5</v>
      </c>
      <c r="S155" s="133"/>
      <c r="T155" s="133"/>
      <c r="U155" s="4" t="s">
        <v>197</v>
      </c>
      <c r="V155" s="4"/>
      <c r="W155" s="4"/>
      <c r="AG155" s="29"/>
      <c r="AP155" s="27"/>
    </row>
    <row r="156" spans="1:44" ht="19.5" customHeight="1">
      <c r="A156" s="4"/>
      <c r="B156" s="4"/>
      <c r="C156" s="4"/>
      <c r="D156" s="4"/>
      <c r="E156" s="4"/>
      <c r="F156" s="4" t="s">
        <v>1263</v>
      </c>
      <c r="G156" s="4"/>
      <c r="H156" s="4"/>
      <c r="I156" s="4"/>
      <c r="J156" s="4"/>
      <c r="K156" s="4"/>
      <c r="L156" s="4"/>
      <c r="M156" s="19">
        <v>1.1</v>
      </c>
      <c r="N156" s="19"/>
      <c r="O156" s="19"/>
      <c r="P156" s="4" t="s">
        <v>198</v>
      </c>
      <c r="Q156" s="365">
        <v>0.08</v>
      </c>
      <c r="R156" s="333"/>
      <c r="S156" s="333"/>
      <c r="T156" s="4" t="s">
        <v>198</v>
      </c>
      <c r="U156" s="365">
        <v>0.25</v>
      </c>
      <c r="V156" s="333"/>
      <c r="W156" s="333"/>
      <c r="X156" s="30" t="s">
        <v>199</v>
      </c>
      <c r="Y156" s="33">
        <v>2</v>
      </c>
      <c r="Z156" s="4" t="s">
        <v>200</v>
      </c>
      <c r="AA156" s="19">
        <f>M156+Q156+U156/2</f>
        <v>1.3050000000000002</v>
      </c>
      <c r="AB156" s="19"/>
      <c r="AC156" s="19"/>
      <c r="AD156" s="4" t="s">
        <v>201</v>
      </c>
      <c r="AG156" s="29"/>
      <c r="AP156" s="27"/>
      <c r="AR156" s="36"/>
    </row>
    <row r="157" spans="1:42" ht="19.5" customHeight="1">
      <c r="A157" s="4"/>
      <c r="B157" s="4"/>
      <c r="C157" s="4"/>
      <c r="D157" s="4"/>
      <c r="E157" s="4"/>
      <c r="F157" s="4" t="s">
        <v>202</v>
      </c>
      <c r="G157" s="4"/>
      <c r="H157" s="4"/>
      <c r="I157" s="133">
        <f>-R155</f>
        <v>-2.5</v>
      </c>
      <c r="J157" s="133"/>
      <c r="K157" s="133"/>
      <c r="L157" s="6" t="s">
        <v>203</v>
      </c>
      <c r="M157" s="19">
        <f>AA156</f>
        <v>1.3050000000000002</v>
      </c>
      <c r="N157" s="19"/>
      <c r="O157" s="19"/>
      <c r="P157" s="4" t="s">
        <v>200</v>
      </c>
      <c r="Q157" s="19">
        <f>I157*M157</f>
        <v>-3.2625</v>
      </c>
      <c r="R157" s="19"/>
      <c r="S157" s="19"/>
      <c r="T157" s="19"/>
      <c r="U157" s="4" t="s">
        <v>204</v>
      </c>
      <c r="V157" s="4"/>
      <c r="W157" s="4"/>
      <c r="AG157" s="29"/>
      <c r="AP157" s="27"/>
    </row>
    <row r="158" spans="1:42" ht="19.5" customHeight="1">
      <c r="A158" s="4"/>
      <c r="B158" s="4"/>
      <c r="C158" s="4"/>
      <c r="D158" s="4"/>
      <c r="E158" s="4"/>
      <c r="F158" s="4"/>
      <c r="G158" s="4"/>
      <c r="H158" s="4"/>
      <c r="I158" s="133"/>
      <c r="J158" s="133"/>
      <c r="K158" s="133"/>
      <c r="L158" s="6"/>
      <c r="M158" s="19"/>
      <c r="N158" s="19"/>
      <c r="O158" s="19"/>
      <c r="P158" s="4"/>
      <c r="Q158" s="19"/>
      <c r="R158" s="19"/>
      <c r="S158" s="19"/>
      <c r="T158" s="19"/>
      <c r="U158" s="4"/>
      <c r="V158" s="4"/>
      <c r="W158" s="4"/>
      <c r="AG158" s="29"/>
      <c r="AP158" s="27"/>
    </row>
    <row r="159" spans="1:24" ht="19.5" customHeight="1">
      <c r="A159" s="4"/>
      <c r="B159" s="4"/>
      <c r="C159" s="4"/>
      <c r="E159" s="30" t="s">
        <v>1415</v>
      </c>
      <c r="F159" s="4"/>
      <c r="G159" s="4"/>
      <c r="H159" s="4"/>
      <c r="I159" s="4"/>
      <c r="J159" s="4"/>
      <c r="K159" s="4"/>
      <c r="L159" s="4"/>
      <c r="M159" s="4"/>
      <c r="N159" s="4"/>
      <c r="O159" s="4"/>
      <c r="P159" s="4"/>
      <c r="Q159" s="4"/>
      <c r="R159" s="4"/>
      <c r="S159" s="133"/>
      <c r="T159" s="133"/>
      <c r="U159" s="133"/>
      <c r="V159" s="4"/>
      <c r="W159" s="4"/>
      <c r="X159" s="4"/>
    </row>
    <row r="160" spans="1:76" s="2" customFormat="1" ht="19.5" customHeight="1">
      <c r="A160" s="4"/>
      <c r="B160" s="4"/>
      <c r="C160" s="4"/>
      <c r="D160" s="4"/>
      <c r="E160" s="4"/>
      <c r="F160" s="4" t="s">
        <v>1264</v>
      </c>
      <c r="G160" s="4"/>
      <c r="H160" s="4"/>
      <c r="I160" s="4"/>
      <c r="J160" s="4"/>
      <c r="K160" s="4"/>
      <c r="L160" s="4"/>
      <c r="M160" s="4"/>
      <c r="N160" s="4"/>
      <c r="O160" s="4"/>
      <c r="P160" s="366">
        <v>0</v>
      </c>
      <c r="Q160" s="366"/>
      <c r="R160" s="366"/>
      <c r="S160" s="6" t="s">
        <v>992</v>
      </c>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row>
    <row r="161" spans="1:76" s="2" customFormat="1" ht="19.5" customHeight="1">
      <c r="A161" s="4"/>
      <c r="B161" s="4"/>
      <c r="C161" s="4"/>
      <c r="D161" s="4"/>
      <c r="E161" s="4"/>
      <c r="F161" s="4" t="s">
        <v>205</v>
      </c>
      <c r="G161" s="4"/>
      <c r="H161" s="4"/>
      <c r="I161" s="4"/>
      <c r="J161" s="4"/>
      <c r="K161" s="4"/>
      <c r="L161" s="4"/>
      <c r="M161" s="365">
        <v>0.9</v>
      </c>
      <c r="N161" s="365"/>
      <c r="O161" s="365"/>
      <c r="P161" s="4" t="s">
        <v>206</v>
      </c>
      <c r="Q161" s="365">
        <v>0.08</v>
      </c>
      <c r="R161" s="333"/>
      <c r="S161" s="333"/>
      <c r="T161" s="4" t="s">
        <v>206</v>
      </c>
      <c r="U161" s="365">
        <v>0.25</v>
      </c>
      <c r="V161" s="333"/>
      <c r="W161" s="333"/>
      <c r="X161" s="30" t="s">
        <v>207</v>
      </c>
      <c r="Y161" s="33">
        <v>2</v>
      </c>
      <c r="Z161" s="4" t="s">
        <v>993</v>
      </c>
      <c r="AA161" s="19">
        <f>M161+Q161+U161/2</f>
        <v>1.105</v>
      </c>
      <c r="AB161" s="19"/>
      <c r="AC161" s="19"/>
      <c r="AD161" s="4" t="s">
        <v>208</v>
      </c>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row>
    <row r="162" spans="1:76" s="2" customFormat="1" ht="19.5" customHeight="1">
      <c r="A162" s="4"/>
      <c r="B162" s="4"/>
      <c r="C162" s="4"/>
      <c r="D162" s="4"/>
      <c r="E162" s="4"/>
      <c r="F162" s="4" t="s">
        <v>1265</v>
      </c>
      <c r="G162" s="4"/>
      <c r="H162" s="4"/>
      <c r="I162" s="4"/>
      <c r="J162" s="4"/>
      <c r="K162" s="4"/>
      <c r="L162" s="4"/>
      <c r="M162" s="365">
        <v>2</v>
      </c>
      <c r="N162" s="365"/>
      <c r="O162" s="365"/>
      <c r="P162" s="4" t="s">
        <v>209</v>
      </c>
      <c r="Q162" s="19"/>
      <c r="R162" s="19"/>
      <c r="S162" s="19"/>
      <c r="T162" s="4"/>
      <c r="U162" s="19"/>
      <c r="V162" s="19"/>
      <c r="W162" s="19"/>
      <c r="X162" s="30"/>
      <c r="Y162" s="33"/>
      <c r="Z162" s="4"/>
      <c r="AA162" s="19"/>
      <c r="AB162" s="19"/>
      <c r="AC162" s="19"/>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row>
    <row r="163" spans="1:76" s="2" customFormat="1" ht="19.5" customHeight="1">
      <c r="A163" s="4"/>
      <c r="B163" s="4"/>
      <c r="C163" s="4"/>
      <c r="D163" s="4"/>
      <c r="E163" s="4"/>
      <c r="F163" s="4" t="s">
        <v>210</v>
      </c>
      <c r="G163" s="4"/>
      <c r="H163" s="4"/>
      <c r="I163" s="4"/>
      <c r="J163" s="4"/>
      <c r="K163" s="4"/>
      <c r="L163" s="4"/>
      <c r="M163" s="4"/>
      <c r="N163" s="4"/>
      <c r="O163" s="4"/>
      <c r="P163" s="33" t="s">
        <v>211</v>
      </c>
      <c r="Q163" s="133">
        <v>0.5</v>
      </c>
      <c r="R163" s="133"/>
      <c r="S163" s="133"/>
      <c r="T163" s="6" t="s">
        <v>1349</v>
      </c>
      <c r="U163" s="19">
        <f>P160</f>
        <v>0</v>
      </c>
      <c r="V163" s="19"/>
      <c r="W163" s="19"/>
      <c r="X163" s="6" t="s">
        <v>1349</v>
      </c>
      <c r="Y163" s="19">
        <f>AA161</f>
        <v>1.105</v>
      </c>
      <c r="Z163" s="19"/>
      <c r="AA163" s="19"/>
      <c r="AB163" s="30" t="s">
        <v>212</v>
      </c>
      <c r="AC163" s="19">
        <f>M162</f>
        <v>2</v>
      </c>
      <c r="AD163" s="19"/>
      <c r="AE163" s="19"/>
      <c r="AF163" s="4" t="s">
        <v>1350</v>
      </c>
      <c r="AG163" s="19">
        <f>-Q163*U163*Y163/AC163</f>
        <v>0</v>
      </c>
      <c r="AH163" s="19"/>
      <c r="AI163" s="19"/>
      <c r="AJ163" s="19"/>
      <c r="AK163" s="4" t="s">
        <v>959</v>
      </c>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row>
    <row r="164" spans="1:76" s="2" customFormat="1" ht="19.5" customHeight="1">
      <c r="A164" s="4"/>
      <c r="B164" s="4"/>
      <c r="C164" s="4"/>
      <c r="D164" s="4"/>
      <c r="E164" s="4"/>
      <c r="F164" s="4"/>
      <c r="G164" s="4" t="s">
        <v>213</v>
      </c>
      <c r="H164" s="4"/>
      <c r="I164" s="4"/>
      <c r="J164" s="4"/>
      <c r="K164" s="4" t="s">
        <v>1266</v>
      </c>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row>
    <row r="165" spans="1:76" s="2" customFormat="1" ht="19.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row>
    <row r="166" spans="1:24" ht="19.5" customHeight="1">
      <c r="A166" s="4"/>
      <c r="B166" s="4"/>
      <c r="C166" s="4"/>
      <c r="E166" s="30" t="s">
        <v>1417</v>
      </c>
      <c r="F166" s="4"/>
      <c r="G166" s="4"/>
      <c r="H166" s="4"/>
      <c r="I166" s="4"/>
      <c r="J166" s="4"/>
      <c r="K166" s="4"/>
      <c r="L166" s="4"/>
      <c r="M166" s="4"/>
      <c r="N166" s="4"/>
      <c r="O166" s="4"/>
      <c r="P166" s="4"/>
      <c r="Q166" s="4"/>
      <c r="R166" s="4"/>
      <c r="S166" s="133"/>
      <c r="T166" s="133"/>
      <c r="U166" s="133"/>
      <c r="V166" s="4"/>
      <c r="W166" s="4"/>
      <c r="X166" s="4"/>
    </row>
    <row r="167" spans="1:76" s="2" customFormat="1" ht="19.5" customHeight="1">
      <c r="A167" s="4"/>
      <c r="B167" s="4"/>
      <c r="C167" s="4"/>
      <c r="D167" s="4"/>
      <c r="E167" s="4"/>
      <c r="F167" s="4" t="s">
        <v>1264</v>
      </c>
      <c r="G167" s="4"/>
      <c r="H167" s="4"/>
      <c r="I167" s="4"/>
      <c r="J167" s="4"/>
      <c r="K167" s="4"/>
      <c r="L167" s="4"/>
      <c r="M167" s="4"/>
      <c r="N167" s="4"/>
      <c r="O167" s="4"/>
      <c r="P167" s="366">
        <v>0</v>
      </c>
      <c r="Q167" s="366"/>
      <c r="R167" s="366"/>
      <c r="S167" s="6" t="s">
        <v>992</v>
      </c>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row>
    <row r="168" spans="1:76" s="2" customFormat="1" ht="19.5" customHeight="1">
      <c r="A168" s="4"/>
      <c r="B168" s="4"/>
      <c r="C168" s="4"/>
      <c r="D168" s="4"/>
      <c r="E168" s="4"/>
      <c r="F168" s="4" t="s">
        <v>205</v>
      </c>
      <c r="G168" s="4"/>
      <c r="H168" s="4"/>
      <c r="I168" s="4"/>
      <c r="J168" s="4"/>
      <c r="K168" s="4"/>
      <c r="L168" s="4"/>
      <c r="M168" s="365">
        <v>0.9</v>
      </c>
      <c r="N168" s="365"/>
      <c r="O168" s="365"/>
      <c r="P168" s="4" t="s">
        <v>206</v>
      </c>
      <c r="Q168" s="365">
        <v>0.08</v>
      </c>
      <c r="R168" s="333"/>
      <c r="S168" s="333"/>
      <c r="T168" s="4" t="s">
        <v>206</v>
      </c>
      <c r="U168" s="365">
        <v>0.25</v>
      </c>
      <c r="V168" s="333"/>
      <c r="W168" s="333"/>
      <c r="X168" s="30" t="s">
        <v>207</v>
      </c>
      <c r="Y168" s="33">
        <v>2</v>
      </c>
      <c r="Z168" s="4" t="s">
        <v>993</v>
      </c>
      <c r="AA168" s="19">
        <f>M168+Q168+U168/2</f>
        <v>1.105</v>
      </c>
      <c r="AB168" s="19"/>
      <c r="AC168" s="19"/>
      <c r="AD168" s="4" t="s">
        <v>208</v>
      </c>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row>
    <row r="169" spans="1:76" s="2" customFormat="1" ht="19.5" customHeight="1">
      <c r="A169" s="4"/>
      <c r="B169" s="4"/>
      <c r="C169" s="4"/>
      <c r="D169" s="4"/>
      <c r="E169" s="4"/>
      <c r="F169" s="4" t="s">
        <v>1265</v>
      </c>
      <c r="G169" s="4"/>
      <c r="H169" s="4"/>
      <c r="I169" s="4"/>
      <c r="J169" s="4"/>
      <c r="K169" s="4"/>
      <c r="L169" s="4"/>
      <c r="M169" s="365">
        <v>2</v>
      </c>
      <c r="N169" s="365"/>
      <c r="O169" s="365"/>
      <c r="P169" s="4" t="s">
        <v>209</v>
      </c>
      <c r="Q169" s="19"/>
      <c r="R169" s="19"/>
      <c r="S169" s="19"/>
      <c r="T169" s="4"/>
      <c r="U169" s="19"/>
      <c r="V169" s="19"/>
      <c r="W169" s="19"/>
      <c r="X169" s="30"/>
      <c r="Y169" s="33"/>
      <c r="Z169" s="4"/>
      <c r="AA169" s="19"/>
      <c r="AB169" s="19"/>
      <c r="AC169" s="19"/>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row>
    <row r="170" spans="1:76" s="2" customFormat="1" ht="19.5" customHeight="1">
      <c r="A170" s="4"/>
      <c r="B170" s="4"/>
      <c r="C170" s="4"/>
      <c r="D170" s="4"/>
      <c r="E170" s="4"/>
      <c r="F170" s="4" t="s">
        <v>210</v>
      </c>
      <c r="G170" s="4"/>
      <c r="H170" s="4"/>
      <c r="I170" s="4"/>
      <c r="J170" s="4"/>
      <c r="K170" s="4"/>
      <c r="L170" s="4"/>
      <c r="M170" s="4"/>
      <c r="N170" s="4"/>
      <c r="O170" s="4"/>
      <c r="P170" s="33" t="s">
        <v>211</v>
      </c>
      <c r="Q170" s="133">
        <v>0.5</v>
      </c>
      <c r="R170" s="133"/>
      <c r="S170" s="133"/>
      <c r="T170" s="6" t="s">
        <v>1349</v>
      </c>
      <c r="U170" s="19">
        <f>P167</f>
        <v>0</v>
      </c>
      <c r="V170" s="19"/>
      <c r="W170" s="19"/>
      <c r="X170" s="6" t="s">
        <v>1349</v>
      </c>
      <c r="Y170" s="19">
        <f>AA168</f>
        <v>1.105</v>
      </c>
      <c r="Z170" s="19"/>
      <c r="AA170" s="19"/>
      <c r="AB170" s="30" t="s">
        <v>212</v>
      </c>
      <c r="AC170" s="19">
        <f>M169</f>
        <v>2</v>
      </c>
      <c r="AD170" s="19"/>
      <c r="AE170" s="19"/>
      <c r="AF170" s="4" t="s">
        <v>1350</v>
      </c>
      <c r="AG170" s="19">
        <f>-Q170*U170*Y170/AC170</f>
        <v>0</v>
      </c>
      <c r="AH170" s="19"/>
      <c r="AI170" s="19"/>
      <c r="AJ170" s="19"/>
      <c r="AK170" s="4" t="s">
        <v>959</v>
      </c>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row>
    <row r="171" spans="1:76" s="2" customFormat="1" ht="19.5" customHeight="1">
      <c r="A171" s="4"/>
      <c r="B171" s="4"/>
      <c r="C171" s="4"/>
      <c r="D171" s="4"/>
      <c r="E171" s="4"/>
      <c r="F171" s="4"/>
      <c r="G171" s="4" t="s">
        <v>213</v>
      </c>
      <c r="H171" s="4"/>
      <c r="I171" s="4"/>
      <c r="J171" s="4"/>
      <c r="K171" s="4" t="s">
        <v>1266</v>
      </c>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row>
    <row r="172" spans="1:76" s="2" customFormat="1" ht="19.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row>
    <row r="173" spans="1:76" s="2" customFormat="1" ht="19.5" customHeight="1">
      <c r="A173" s="4"/>
      <c r="B173" s="4"/>
      <c r="C173" s="4"/>
      <c r="D173" s="4"/>
      <c r="E173" s="30" t="s">
        <v>1267</v>
      </c>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row>
    <row r="174" spans="1:76" s="2" customFormat="1" ht="19.5" customHeight="1">
      <c r="A174" s="4"/>
      <c r="B174" s="4"/>
      <c r="C174" s="4"/>
      <c r="D174" s="4"/>
      <c r="E174" s="4"/>
      <c r="F174" s="4" t="s">
        <v>1268</v>
      </c>
      <c r="G174" s="4"/>
      <c r="H174" s="4"/>
      <c r="I174" s="4"/>
      <c r="J174" s="4"/>
      <c r="K174" s="4"/>
      <c r="L174" s="133">
        <v>3</v>
      </c>
      <c r="M174" s="133"/>
      <c r="N174" s="133"/>
      <c r="O174" s="4" t="s">
        <v>214</v>
      </c>
      <c r="P174" s="4"/>
      <c r="Q174" s="4"/>
      <c r="R174" s="4"/>
      <c r="S174" s="4" t="s">
        <v>1269</v>
      </c>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row>
    <row r="175" spans="1:76" s="2" customFormat="1" ht="19.5" customHeight="1">
      <c r="A175" s="4"/>
      <c r="B175" s="4"/>
      <c r="C175" s="4"/>
      <c r="D175" s="4"/>
      <c r="E175" s="4"/>
      <c r="F175" s="4" t="s">
        <v>215</v>
      </c>
      <c r="G175" s="4"/>
      <c r="H175" s="4"/>
      <c r="I175" s="4"/>
      <c r="J175" s="4"/>
      <c r="K175" s="4"/>
      <c r="L175" s="4"/>
      <c r="M175" s="365">
        <f>0.33+0.4</f>
        <v>0.73</v>
      </c>
      <c r="N175" s="365"/>
      <c r="O175" s="365"/>
      <c r="P175" s="30" t="s">
        <v>212</v>
      </c>
      <c r="Q175" s="33">
        <v>2</v>
      </c>
      <c r="R175" s="4" t="s">
        <v>216</v>
      </c>
      <c r="S175" s="365">
        <v>0.08</v>
      </c>
      <c r="T175" s="333"/>
      <c r="U175" s="333"/>
      <c r="V175" s="4" t="s">
        <v>216</v>
      </c>
      <c r="W175" s="365">
        <v>0.25</v>
      </c>
      <c r="X175" s="333"/>
      <c r="Y175" s="333"/>
      <c r="Z175" s="30" t="s">
        <v>212</v>
      </c>
      <c r="AA175" s="33">
        <v>2</v>
      </c>
      <c r="AB175" s="4" t="s">
        <v>1350</v>
      </c>
      <c r="AC175" s="19">
        <f>M175/2+S175+W175/2</f>
        <v>0.5700000000000001</v>
      </c>
      <c r="AD175" s="19"/>
      <c r="AE175" s="19"/>
      <c r="AF175" s="4" t="s">
        <v>209</v>
      </c>
      <c r="AG175" s="4"/>
      <c r="AH175" s="4"/>
      <c r="AI175" s="4"/>
      <c r="AJ175" s="4"/>
      <c r="AK175" s="4"/>
      <c r="AL175" s="4"/>
      <c r="AM175" s="4"/>
      <c r="AN175" s="4"/>
      <c r="AO175" s="4"/>
      <c r="AP175" s="4"/>
      <c r="AQ175" s="4"/>
      <c r="AR175" s="106"/>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row>
    <row r="176" spans="1:76" s="2" customFormat="1" ht="19.5" customHeight="1">
      <c r="A176" s="4"/>
      <c r="B176" s="4"/>
      <c r="C176" s="4"/>
      <c r="D176" s="4"/>
      <c r="E176" s="4"/>
      <c r="F176" s="4" t="s">
        <v>217</v>
      </c>
      <c r="G176" s="4"/>
      <c r="H176" s="133">
        <f>-L174</f>
        <v>-3</v>
      </c>
      <c r="I176" s="133"/>
      <c r="J176" s="133"/>
      <c r="K176" s="6" t="s">
        <v>1349</v>
      </c>
      <c r="L176" s="19">
        <f>M175</f>
        <v>0.73</v>
      </c>
      <c r="M176" s="104"/>
      <c r="N176" s="19"/>
      <c r="O176" s="19"/>
      <c r="P176" s="6" t="s">
        <v>1349</v>
      </c>
      <c r="Q176" s="19">
        <f>AC175</f>
        <v>0.5700000000000001</v>
      </c>
      <c r="R176" s="19"/>
      <c r="S176" s="19"/>
      <c r="T176" s="4" t="s">
        <v>1350</v>
      </c>
      <c r="U176" s="19">
        <f>H176*L176*Q176</f>
        <v>-1.2483000000000002</v>
      </c>
      <c r="V176" s="19"/>
      <c r="W176" s="19"/>
      <c r="X176" s="4" t="s">
        <v>1351</v>
      </c>
      <c r="Y176" s="4"/>
      <c r="Z176" s="4"/>
      <c r="AA176" s="4"/>
      <c r="AB176" s="4"/>
      <c r="AC176" s="4"/>
      <c r="AD176" s="4"/>
      <c r="AE176" s="4"/>
      <c r="AF176" s="4"/>
      <c r="AG176" s="4"/>
      <c r="AH176" s="4"/>
      <c r="AI176" s="4"/>
      <c r="AJ176" s="4"/>
      <c r="AK176" s="4"/>
      <c r="AL176" s="4"/>
      <c r="AM176" s="4"/>
      <c r="AN176" s="4"/>
      <c r="AO176" s="4"/>
      <c r="AP176" s="4"/>
      <c r="AQ176" s="4"/>
      <c r="AR176" s="106"/>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row>
    <row r="177" spans="1:76" s="2" customFormat="1" ht="19.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row>
    <row r="178" spans="1:76" s="2" customFormat="1" ht="19.5" customHeight="1">
      <c r="A178" s="4"/>
      <c r="B178" s="4"/>
      <c r="C178" s="4"/>
      <c r="D178" s="4"/>
      <c r="E178" s="30" t="s">
        <v>1270</v>
      </c>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row>
    <row r="179" spans="1:76" s="2" customFormat="1" ht="19.5" customHeight="1">
      <c r="A179" s="4"/>
      <c r="B179" s="4"/>
      <c r="C179" s="4"/>
      <c r="D179" s="4"/>
      <c r="E179" s="4"/>
      <c r="F179" s="4" t="s">
        <v>1268</v>
      </c>
      <c r="G179" s="4"/>
      <c r="H179" s="4"/>
      <c r="I179" s="4"/>
      <c r="J179" s="4"/>
      <c r="K179" s="4"/>
      <c r="L179" s="133">
        <v>3</v>
      </c>
      <c r="M179" s="133"/>
      <c r="N179" s="133"/>
      <c r="O179" s="4" t="s">
        <v>214</v>
      </c>
      <c r="P179" s="4"/>
      <c r="Q179" s="4"/>
      <c r="R179" s="4"/>
      <c r="S179" s="4" t="s">
        <v>1269</v>
      </c>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36"/>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row>
    <row r="180" spans="1:76" s="2" customFormat="1" ht="19.5" customHeight="1">
      <c r="A180" s="4"/>
      <c r="B180" s="4"/>
      <c r="C180" s="4"/>
      <c r="D180" s="4"/>
      <c r="E180" s="4"/>
      <c r="F180" s="4" t="s">
        <v>215</v>
      </c>
      <c r="G180" s="4"/>
      <c r="H180" s="4"/>
      <c r="I180" s="4"/>
      <c r="J180" s="4"/>
      <c r="K180" s="4"/>
      <c r="L180" s="4"/>
      <c r="M180" s="365">
        <f>0.33+0.4</f>
        <v>0.73</v>
      </c>
      <c r="N180" s="365"/>
      <c r="O180" s="365"/>
      <c r="P180" s="30" t="s">
        <v>212</v>
      </c>
      <c r="Q180" s="33">
        <v>2</v>
      </c>
      <c r="R180" s="4" t="s">
        <v>216</v>
      </c>
      <c r="S180" s="365">
        <v>0.08</v>
      </c>
      <c r="T180" s="333"/>
      <c r="U180" s="333"/>
      <c r="V180" s="4" t="s">
        <v>216</v>
      </c>
      <c r="W180" s="365">
        <v>0.25</v>
      </c>
      <c r="X180" s="333"/>
      <c r="Y180" s="333"/>
      <c r="Z180" s="30" t="s">
        <v>212</v>
      </c>
      <c r="AA180" s="33">
        <v>2</v>
      </c>
      <c r="AB180" s="4" t="s">
        <v>1350</v>
      </c>
      <c r="AC180" s="19">
        <f>M180/2+S180+W180/2</f>
        <v>0.5700000000000001</v>
      </c>
      <c r="AD180" s="19"/>
      <c r="AE180" s="19"/>
      <c r="AF180" s="4" t="s">
        <v>209</v>
      </c>
      <c r="AG180" s="4"/>
      <c r="AH180" s="4"/>
      <c r="AI180" s="4"/>
      <c r="AJ180" s="4"/>
      <c r="AK180" s="4"/>
      <c r="AL180" s="4"/>
      <c r="AM180" s="4"/>
      <c r="AN180" s="4"/>
      <c r="AO180" s="4"/>
      <c r="AP180" s="4"/>
      <c r="AQ180" s="4"/>
      <c r="AR180" s="106"/>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row>
    <row r="181" spans="1:76" s="2" customFormat="1" ht="19.5" customHeight="1">
      <c r="A181" s="4"/>
      <c r="B181" s="4"/>
      <c r="C181" s="4"/>
      <c r="D181" s="4"/>
      <c r="E181" s="4"/>
      <c r="F181" s="4" t="s">
        <v>217</v>
      </c>
      <c r="G181" s="4"/>
      <c r="H181" s="133">
        <f>-L179</f>
        <v>-3</v>
      </c>
      <c r="I181" s="133"/>
      <c r="J181" s="133"/>
      <c r="K181" s="6" t="s">
        <v>1349</v>
      </c>
      <c r="L181" s="19">
        <f>M180</f>
        <v>0.73</v>
      </c>
      <c r="M181" s="104"/>
      <c r="N181" s="19"/>
      <c r="O181" s="19"/>
      <c r="P181" s="6" t="s">
        <v>1349</v>
      </c>
      <c r="Q181" s="19">
        <f>AC180</f>
        <v>0.5700000000000001</v>
      </c>
      <c r="R181" s="19"/>
      <c r="S181" s="19"/>
      <c r="T181" s="4" t="s">
        <v>1350</v>
      </c>
      <c r="U181" s="19">
        <f>H181*L181*Q181</f>
        <v>-1.2483000000000002</v>
      </c>
      <c r="V181" s="19"/>
      <c r="W181" s="19"/>
      <c r="X181" s="4" t="s">
        <v>1351</v>
      </c>
      <c r="Y181" s="4"/>
      <c r="Z181" s="4"/>
      <c r="AA181" s="4"/>
      <c r="AB181" s="4"/>
      <c r="AC181" s="4"/>
      <c r="AD181" s="4"/>
      <c r="AE181" s="4"/>
      <c r="AF181" s="4"/>
      <c r="AG181" s="4"/>
      <c r="AH181" s="4"/>
      <c r="AI181" s="4"/>
      <c r="AJ181" s="4"/>
      <c r="AK181" s="4"/>
      <c r="AL181" s="4"/>
      <c r="AM181" s="4"/>
      <c r="AN181" s="4"/>
      <c r="AO181" s="4"/>
      <c r="AP181" s="4"/>
      <c r="AQ181" s="4"/>
      <c r="AR181" s="106"/>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row>
    <row r="182" spans="1:76" s="2" customFormat="1" ht="19.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row>
    <row r="183" spans="1:12" ht="19.5" customHeight="1">
      <c r="A183" s="4" t="s">
        <v>991</v>
      </c>
      <c r="B183" s="4"/>
      <c r="C183" s="4"/>
      <c r="D183" s="4"/>
      <c r="E183" s="4"/>
      <c r="F183" s="4"/>
      <c r="G183" s="4"/>
      <c r="H183" s="4"/>
      <c r="I183" s="4"/>
      <c r="J183" s="4"/>
      <c r="K183" s="4"/>
      <c r="L183" s="4"/>
    </row>
    <row r="184" spans="1:32" ht="19.5" customHeight="1">
      <c r="A184" s="4"/>
      <c r="D184" s="4" t="s">
        <v>1271</v>
      </c>
      <c r="E184" s="4"/>
      <c r="F184" s="4"/>
      <c r="G184" s="4"/>
      <c r="H184" s="4"/>
      <c r="I184" s="4"/>
      <c r="J184" s="4"/>
      <c r="K184" s="4"/>
      <c r="L184" s="4"/>
      <c r="AF184" s="92" t="s">
        <v>933</v>
      </c>
    </row>
    <row r="185" spans="1:44" ht="19.5" customHeight="1">
      <c r="A185" s="4"/>
      <c r="C185" s="4"/>
      <c r="D185" s="4"/>
      <c r="E185" s="4" t="s">
        <v>1367</v>
      </c>
      <c r="F185" s="4"/>
      <c r="G185" s="4"/>
      <c r="H185" s="4"/>
      <c r="I185" s="4"/>
      <c r="J185" s="4"/>
      <c r="K185" s="367" t="s">
        <v>218</v>
      </c>
      <c r="L185" s="4" t="s">
        <v>967</v>
      </c>
      <c r="P185" s="6" t="s">
        <v>1352</v>
      </c>
      <c r="Q185" s="4"/>
      <c r="R185" s="4"/>
      <c r="S185" s="6"/>
      <c r="T185" s="6"/>
      <c r="U185" s="6"/>
      <c r="V185" s="6"/>
      <c r="W185" s="4"/>
      <c r="X185" s="368">
        <v>100</v>
      </c>
      <c r="Y185" s="368"/>
      <c r="Z185" s="368"/>
      <c r="AA185" s="6" t="s">
        <v>219</v>
      </c>
      <c r="AH185" s="27"/>
      <c r="AR185" s="36"/>
    </row>
    <row r="186" spans="1:44" ht="19.5" customHeight="1">
      <c r="A186" s="4" t="s">
        <v>991</v>
      </c>
      <c r="B186" s="4"/>
      <c r="D186" s="4" t="s">
        <v>1024</v>
      </c>
      <c r="E186" s="4"/>
      <c r="F186" s="4"/>
      <c r="G186" s="4"/>
      <c r="H186" s="4"/>
      <c r="I186" s="4"/>
      <c r="J186" s="4"/>
      <c r="L186" s="4" t="str">
        <f>IF(Y186&lt;=1.5,"L ≤ 1.5 m",IF(Y186&lt;=3,"1.5 m ＜ L ≤ 3.0 m","ERROR"))</f>
        <v>1.5 m ＜ L ≤ 3.0 m</v>
      </c>
      <c r="M186" s="4"/>
      <c r="W186" s="27" t="s">
        <v>220</v>
      </c>
      <c r="Y186" s="332">
        <v>1.547</v>
      </c>
      <c r="Z186" s="332"/>
      <c r="AA186" s="332"/>
      <c r="AB186" s="27" t="s">
        <v>209</v>
      </c>
      <c r="AR186" s="36"/>
    </row>
    <row r="187" spans="1:17" ht="19.5" customHeight="1">
      <c r="A187" s="4"/>
      <c r="B187" s="4"/>
      <c r="D187" s="4" t="s">
        <v>991</v>
      </c>
      <c r="E187" s="100" t="s">
        <v>1368</v>
      </c>
      <c r="F187" s="4"/>
      <c r="G187" s="4"/>
      <c r="H187" s="4"/>
      <c r="I187" s="4"/>
      <c r="J187" s="4"/>
      <c r="K187" s="4"/>
      <c r="L187" s="4"/>
      <c r="M187" s="4"/>
      <c r="N187" s="27" t="s">
        <v>221</v>
      </c>
      <c r="Q187" s="27" t="str">
        <f>IF(Y186&lt;=1.5,"1.0",IF(Y186&lt;=3,"1.0 + ( L - 1.5 ) / 25 = "&amp;ROUND(1+(Y186-1.5)/25,4),"ERROR"))</f>
        <v>1.0 + ( L - 1.5 ) / 25 = 1.0019</v>
      </c>
    </row>
    <row r="188" spans="1:13" ht="19.5" customHeight="1">
      <c r="A188" s="4"/>
      <c r="B188" s="4"/>
      <c r="D188" s="4" t="s">
        <v>222</v>
      </c>
      <c r="E188" s="4" t="s">
        <v>223</v>
      </c>
      <c r="F188" s="4"/>
      <c r="G188" s="4" t="str">
        <f>IF(K185="B",IF(Y186&lt;=1.5,"α1 × - PL / ( 1.30L + 0.25 ) ",IF(Y186&lt;=3,"α1 × - ( 0.6L - 0.22 ) P ","ERROR")),IF(K185="A",IF(Y186&lt;=1.5,"α1 × - PL / ( 1.30L + 0.25 ) × 0.8",IF(Y186&lt;=3,"α1 × - ( 0.6L - 0.22 ) P × 0.8","ERROR"))))</f>
        <v>α1 × - ( 0.6L - 0.22 ) P </v>
      </c>
      <c r="H188" s="4"/>
      <c r="I188" s="4"/>
      <c r="J188" s="4"/>
      <c r="K188" s="4"/>
      <c r="L188" s="4"/>
      <c r="M188" s="4"/>
    </row>
    <row r="189" spans="1:13" ht="19.5" customHeight="1">
      <c r="A189" s="4"/>
      <c r="B189" s="4"/>
      <c r="D189" s="4"/>
      <c r="E189" s="4" t="s">
        <v>222</v>
      </c>
      <c r="F189" s="4" t="s">
        <v>224</v>
      </c>
      <c r="G189" s="42">
        <f>IF(Y186&lt;=1.5,1,IF(Y186&lt;=3,ROUND(1+(Y186-1.5)/25,4),"ERROR"))</f>
        <v>1.0019</v>
      </c>
      <c r="H189" s="42"/>
      <c r="I189" s="42"/>
      <c r="J189" s="4" t="str">
        <f>IF(K185="B",IF(Y186&lt;=1.5," × - "&amp;X185&amp;" × "&amp;Y186&amp;" / ( 1.30 × "&amp;Y186&amp;" + 0.25 ) ",IF(Y186&lt;=3," × - ( 0.6 × "&amp;Y186&amp;" - 0.22 ) × "&amp;X185,"ERROR")),IF(K185="A",IF(Y186&lt;=1.5," × - "&amp;X185&amp;" × "&amp;Y186&amp;" / ( 1.30 × "&amp;Y186&amp;" + 0.25 ) × 0.8",IF(Y186&lt;=3," × - ( 0.6 × "&amp;Y186&amp;" - 0.22 ) × "&amp;X185&amp;" × 0.8","ERROR"))))</f>
        <v> × - ( 0.6 × 1.547 - 0.22 ) × 100</v>
      </c>
      <c r="K189" s="4"/>
      <c r="L189" s="4"/>
      <c r="M189" s="4"/>
    </row>
    <row r="190" spans="1:13" ht="19.5" customHeight="1">
      <c r="A190" s="4"/>
      <c r="B190" s="4"/>
      <c r="D190" s="4"/>
      <c r="E190" s="4"/>
      <c r="F190" s="4" t="s">
        <v>224</v>
      </c>
      <c r="G190" s="266">
        <f>IF(K185="B",IF(Y186&lt;=1.5,G189*-X185*Y186/(1.3*Y186+0.25),IF(Y186&lt;=3,G189*-(0.6*Y186-0.22)*X185,"ERROR")),IF(K185="A",IF(Y186&lt;=1.5,0.8*G189*-X185*Y186/(1.3*Y186*0.25),IF(Y186&lt;=3,0.8*G189*-(0.6*Y186-0.22)*X185,"ERROR"))))</f>
        <v>-70.95455799999999</v>
      </c>
      <c r="H190" s="266"/>
      <c r="I190" s="266"/>
      <c r="J190" s="266"/>
      <c r="K190" s="4" t="s">
        <v>225</v>
      </c>
      <c r="L190" s="4"/>
      <c r="M190" s="4"/>
    </row>
    <row r="191" spans="1:44" ht="19.5" customHeight="1">
      <c r="A191" s="4" t="s">
        <v>222</v>
      </c>
      <c r="B191" s="4"/>
      <c r="D191" s="4" t="s">
        <v>1025</v>
      </c>
      <c r="E191" s="4"/>
      <c r="F191" s="4"/>
      <c r="G191" s="4"/>
      <c r="H191" s="4"/>
      <c r="I191" s="4"/>
      <c r="J191" s="4"/>
      <c r="L191" s="4" t="str">
        <f>IF(Y191&lt;=1.5,"L ≤ 1.5 m",IF(Y191&lt;=3,"1.5 m ＜ L ≤ 3.0 m","ERROR"))</f>
        <v>1.5 m ＜ L ≤ 3.0 m</v>
      </c>
      <c r="M191" s="4"/>
      <c r="W191" s="27" t="s">
        <v>220</v>
      </c>
      <c r="Y191" s="332">
        <v>1.547</v>
      </c>
      <c r="Z191" s="332"/>
      <c r="AA191" s="332"/>
      <c r="AB191" s="27" t="s">
        <v>209</v>
      </c>
      <c r="AR191" s="36"/>
    </row>
    <row r="192" spans="1:17" ht="19.5" customHeight="1">
      <c r="A192" s="4"/>
      <c r="B192" s="4"/>
      <c r="D192" s="4" t="s">
        <v>991</v>
      </c>
      <c r="E192" s="100" t="s">
        <v>1368</v>
      </c>
      <c r="F192" s="4"/>
      <c r="G192" s="4"/>
      <c r="H192" s="4"/>
      <c r="I192" s="4"/>
      <c r="J192" s="4"/>
      <c r="K192" s="4"/>
      <c r="L192" s="4"/>
      <c r="M192" s="4"/>
      <c r="N192" s="27" t="s">
        <v>221</v>
      </c>
      <c r="Q192" s="27" t="str">
        <f>IF(Y191&lt;=1.5,"1.0",IF(Y191&lt;=3,"1.0 + ( L - 1.5 ) / 25 = "&amp;ROUND(1+(Y191-1.5)/25,4),"ERROR"))</f>
        <v>1.0 + ( L - 1.5 ) / 25 = 1.0019</v>
      </c>
    </row>
    <row r="193" spans="1:13" ht="19.5" customHeight="1">
      <c r="A193" s="4"/>
      <c r="B193" s="4"/>
      <c r="D193" s="4" t="s">
        <v>222</v>
      </c>
      <c r="E193" s="4" t="s">
        <v>223</v>
      </c>
      <c r="F193" s="4"/>
      <c r="G193" s="4" t="str">
        <f>IF(K185="B",IF(Y191&lt;=1.5,"α1 × - PL / ( 1.30L + 0.25 ) ",IF(Y191&lt;=3,"α1 × - ( 0.6L - 0.22 ) P ","ERROR")),IF(K185="A",IF(Y191&lt;=1.5,"α1 × - PL / ( 1.30L + 0.25 ) × 0.8",IF(Y191&lt;=3,"α1 × - ( 0.6L - 0.22 ) P × 0.8","ERROR"))))</f>
        <v>α1 × - ( 0.6L - 0.22 ) P </v>
      </c>
      <c r="H193" s="4"/>
      <c r="I193" s="4"/>
      <c r="J193" s="4"/>
      <c r="K193" s="4"/>
      <c r="L193" s="4"/>
      <c r="M193" s="4"/>
    </row>
    <row r="194" spans="1:13" ht="19.5" customHeight="1">
      <c r="A194" s="4"/>
      <c r="B194" s="4"/>
      <c r="D194" s="4"/>
      <c r="E194" s="4" t="s">
        <v>222</v>
      </c>
      <c r="F194" s="4" t="s">
        <v>224</v>
      </c>
      <c r="G194" s="42">
        <f>IF(Y191&lt;=1.5,1,IF(Y191&lt;=3,ROUND(1+(Y191-1.5)/25,4),"ERROR"))</f>
        <v>1.0019</v>
      </c>
      <c r="H194" s="42"/>
      <c r="I194" s="42"/>
      <c r="J194" s="4" t="str">
        <f>IF(K185="B",IF(Y191&lt;=1.5," × - "&amp;X185&amp;" × "&amp;Y191&amp;" / ( 1.30 × "&amp;Y191&amp;" + 0.25 ) ",IF(Y191&lt;=3," × - ( 0.6 × "&amp;Y191&amp;" - 0.22 ) × "&amp;X185,"ERROR")),IF(K185="A",IF(Y191&lt;=1.5," × - "&amp;X185&amp;" × "&amp;Y191&amp;" / ( 1.30 × "&amp;Y191&amp;" + 0.25 ) × 0.8",IF(Y191&lt;=3," × - ( 0.6 × "&amp;Y191&amp;" - 0.22 ) × "&amp;X185&amp;" × 0.8","ERROR"))))</f>
        <v> × - ( 0.6 × 1.547 - 0.22 ) × 100</v>
      </c>
      <c r="K194" s="4"/>
      <c r="L194" s="4"/>
      <c r="M194" s="4"/>
    </row>
    <row r="195" spans="1:13" ht="19.5" customHeight="1">
      <c r="A195" s="4"/>
      <c r="B195" s="4"/>
      <c r="D195" s="4"/>
      <c r="E195" s="4"/>
      <c r="F195" s="4" t="s">
        <v>224</v>
      </c>
      <c r="G195" s="266">
        <f>IF(K185="B",IF(Y191&lt;=1.5,G194*-X185*Y191/(1.3*Y191+0.25),IF(Y191&lt;=3,G194*-(0.6*Y191-0.22)*X185,"ERROR")),IF(K185="A",IF(Y191&lt;=1.5,0.8*G194*-X185*Y191/(1.3*Y191*0.25),IF(Y191&lt;=3,0.8*G194*-(0.6*Y191-0.22)*X185,"ERROR"))))</f>
        <v>-70.95455799999999</v>
      </c>
      <c r="H195" s="266"/>
      <c r="I195" s="266"/>
      <c r="J195" s="266"/>
      <c r="K195" s="4" t="s">
        <v>225</v>
      </c>
      <c r="L195" s="4"/>
      <c r="M195" s="4"/>
    </row>
    <row r="196" spans="1:44" ht="19.5" customHeight="1">
      <c r="A196" s="4"/>
      <c r="B196" s="4"/>
      <c r="D196" s="4" t="s">
        <v>1107</v>
      </c>
      <c r="E196" s="4"/>
      <c r="F196" s="4"/>
      <c r="G196" s="4"/>
      <c r="H196" s="4"/>
      <c r="I196" s="4"/>
      <c r="J196" s="4"/>
      <c r="L196" s="4" t="str">
        <f>IF(Y196&lt;=2.5,"L ≤ 1.5 m",IF(Y196&lt;=4,"1.5 m ＜ L ≤ 4.0 m",IF(Y196&lt;=6,"4.0 m ＜ L ≤ 6.0 m","ERROR")))</f>
        <v>4.0 m ＜ L ≤ 6.0 m</v>
      </c>
      <c r="M196" s="4"/>
      <c r="W196" s="27" t="s">
        <v>226</v>
      </c>
      <c r="Y196" s="332">
        <v>5</v>
      </c>
      <c r="Z196" s="332"/>
      <c r="AA196" s="332"/>
      <c r="AB196" s="27" t="s">
        <v>227</v>
      </c>
      <c r="AR196" s="36"/>
    </row>
    <row r="197" spans="1:17" ht="19.5" customHeight="1">
      <c r="A197" s="4"/>
      <c r="B197" s="4"/>
      <c r="C197" s="4" t="s">
        <v>1109</v>
      </c>
      <c r="D197" s="4"/>
      <c r="E197" s="100" t="s">
        <v>1369</v>
      </c>
      <c r="F197" s="4"/>
      <c r="G197" s="4"/>
      <c r="H197" s="4"/>
      <c r="I197" s="4"/>
      <c r="J197" s="4"/>
      <c r="K197" s="4"/>
      <c r="L197" s="4"/>
      <c r="M197" s="4"/>
      <c r="N197" s="27" t="s">
        <v>228</v>
      </c>
      <c r="Q197" s="27" t="str">
        <f>IF(Y196&lt;=2.5,"1.0",IF(Y196&lt;=4,"1.0 + ( L -2.5 ) / 12 = "&amp;ROUND(1+(Y196-2.5)/12,4),IF(Y196&lt;=6,"1.125 + (L -4.0 ) / 26 = "&amp;ROUND(1.125+(Y196-4)/26,4),"ERROR")))</f>
        <v>1.125 + (L -4.0 ) / 26 = 1.1635</v>
      </c>
    </row>
    <row r="198" spans="1:12" ht="19.5" customHeight="1">
      <c r="A198" s="4"/>
      <c r="B198" s="4"/>
      <c r="C198" s="4" t="s">
        <v>877</v>
      </c>
      <c r="D198" s="4"/>
      <c r="E198" s="4" t="s">
        <v>229</v>
      </c>
      <c r="F198" s="4"/>
      <c r="G198" s="4" t="str">
        <f>IF(K185="B",IF(Y196&lt;=6,"α2 × ( 0.12L + 0.07 ) P","ERROR"),IF(K185="A",IF(Y196&lt;=6,"α2 × ( 0.12L + 0.07 ) P × 0.8","ERROR")))</f>
        <v>α2 × ( 0.12L + 0.07 ) P</v>
      </c>
      <c r="H198" s="4"/>
      <c r="I198" s="4"/>
      <c r="J198" s="4"/>
      <c r="K198" s="4"/>
      <c r="L198" s="4"/>
    </row>
    <row r="199" spans="1:21" ht="19.5" customHeight="1">
      <c r="A199" s="4"/>
      <c r="B199" s="4" t="s">
        <v>877</v>
      </c>
      <c r="C199" s="4"/>
      <c r="D199" s="4"/>
      <c r="E199" s="4"/>
      <c r="F199" s="4" t="s">
        <v>993</v>
      </c>
      <c r="G199" s="42">
        <f>IF(Y196&lt;=2.5,1,IF(Y196&lt;=4,ROUND(1+(Y196-2.5)/12,4),IF(Y196&lt;=6,ROUND(1.125+(Y196-4)/26,4),"ERROR")))</f>
        <v>1.1635</v>
      </c>
      <c r="H199" s="42"/>
      <c r="I199" s="42"/>
      <c r="J199" s="4" t="str">
        <f>IF(K185="B",IF(Y196&lt;=6," × ( 0.12 × "&amp;Y196&amp;" + 0.07 ) × "&amp;X185,"ERROR"),IF(K185="A",IF(Y196&lt;=6," × ( 0.12 × "&amp;Y196&amp;" + 0.07 ) × "&amp;X185&amp;" × 0.8","ERROR")))</f>
        <v> × ( 0.12 × 5 + 0.07 ) × 100</v>
      </c>
      <c r="M199" s="29"/>
      <c r="N199" s="29"/>
      <c r="O199" s="29"/>
      <c r="P199" s="29"/>
      <c r="Q199" s="29"/>
      <c r="R199" s="29"/>
      <c r="S199" s="29"/>
      <c r="T199" s="29"/>
      <c r="U199" s="29"/>
    </row>
    <row r="200" spans="1:12" ht="19.5" customHeight="1">
      <c r="A200" s="4"/>
      <c r="B200" s="4"/>
      <c r="C200" s="4" t="s">
        <v>877</v>
      </c>
      <c r="D200" s="4"/>
      <c r="E200" s="4"/>
      <c r="F200" s="4" t="s">
        <v>993</v>
      </c>
      <c r="G200" s="266">
        <f>IF(K185="B",IF(Y196&lt;=6,G199*(0.12*Y196+0.07)*X185,"ERROR"),IF(K185="A",IF(Y196&lt;=6,0.8*G199*(0.12*Y196+0.07)*X185,"ERROR")))</f>
        <v>77.9545</v>
      </c>
      <c r="H200" s="266"/>
      <c r="I200" s="266"/>
      <c r="J200" s="266"/>
      <c r="K200" s="4" t="s">
        <v>230</v>
      </c>
      <c r="L200" s="4"/>
    </row>
    <row r="201" spans="1:12" ht="19.5" customHeight="1">
      <c r="A201" s="4"/>
      <c r="B201" s="4"/>
      <c r="C201" s="4"/>
      <c r="D201" s="4"/>
      <c r="E201" s="4"/>
      <c r="F201" s="4"/>
      <c r="G201" s="101"/>
      <c r="H201" s="101"/>
      <c r="I201" s="101"/>
      <c r="J201" s="101"/>
      <c r="K201" s="4"/>
      <c r="L201" s="4"/>
    </row>
    <row r="202" spans="1:12" ht="19.5" customHeight="1">
      <c r="A202" s="4"/>
      <c r="B202" s="4"/>
      <c r="C202" s="4"/>
      <c r="D202" s="4" t="s">
        <v>1370</v>
      </c>
      <c r="E202" s="4"/>
      <c r="F202" s="4"/>
      <c r="G202" s="4"/>
      <c r="H202" s="4"/>
      <c r="I202" s="4"/>
      <c r="J202" s="4"/>
      <c r="K202" s="4"/>
      <c r="L202" s="4"/>
    </row>
    <row r="203" spans="1:12" ht="19.5" customHeight="1">
      <c r="A203" s="4"/>
      <c r="D203" s="4" t="s">
        <v>1371</v>
      </c>
      <c r="E203" s="4"/>
      <c r="F203" s="4"/>
      <c r="G203" s="4"/>
      <c r="H203" s="4"/>
      <c r="I203" s="4"/>
      <c r="J203" s="4"/>
      <c r="K203" s="4"/>
      <c r="L203" s="4"/>
    </row>
    <row r="204" spans="1:39" ht="19.5" customHeight="1">
      <c r="A204" s="4"/>
      <c r="B204" s="4"/>
      <c r="D204" s="221" t="s">
        <v>1372</v>
      </c>
      <c r="E204" s="222"/>
      <c r="F204" s="222"/>
      <c r="G204" s="222"/>
      <c r="H204" s="222"/>
      <c r="I204" s="222"/>
      <c r="J204" s="222"/>
      <c r="K204" s="222"/>
      <c r="L204" s="222"/>
      <c r="M204" s="222"/>
      <c r="N204" s="222"/>
      <c r="O204" s="222"/>
      <c r="P204" s="222"/>
      <c r="Q204" s="222"/>
      <c r="R204" s="222"/>
      <c r="S204" s="223"/>
      <c r="T204" s="183" t="s">
        <v>1004</v>
      </c>
      <c r="U204" s="183"/>
      <c r="V204" s="183"/>
      <c r="W204" s="183"/>
      <c r="X204" s="183" t="s">
        <v>1005</v>
      </c>
      <c r="Y204" s="183"/>
      <c r="Z204" s="183"/>
      <c r="AA204" s="183"/>
      <c r="AB204" s="183" t="s">
        <v>1006</v>
      </c>
      <c r="AC204" s="183"/>
      <c r="AD204" s="183"/>
      <c r="AE204" s="183"/>
      <c r="AF204" s="49"/>
      <c r="AG204" s="49"/>
      <c r="AH204" s="49"/>
      <c r="AI204" s="49"/>
      <c r="AJ204" s="49"/>
      <c r="AK204" s="49"/>
      <c r="AL204" s="49"/>
      <c r="AM204" s="49"/>
    </row>
    <row r="205" spans="1:39" ht="19.5" customHeight="1">
      <c r="A205" s="4"/>
      <c r="B205" s="4"/>
      <c r="C205" s="4" t="s">
        <v>877</v>
      </c>
      <c r="D205" s="224"/>
      <c r="E205" s="225"/>
      <c r="F205" s="225"/>
      <c r="G205" s="225"/>
      <c r="H205" s="225"/>
      <c r="I205" s="225"/>
      <c r="J205" s="225"/>
      <c r="K205" s="225"/>
      <c r="L205" s="225"/>
      <c r="M205" s="225"/>
      <c r="N205" s="225"/>
      <c r="O205" s="225"/>
      <c r="P205" s="225"/>
      <c r="Q205" s="225"/>
      <c r="R205" s="225"/>
      <c r="S205" s="226"/>
      <c r="T205" s="204" t="s">
        <v>231</v>
      </c>
      <c r="U205" s="204"/>
      <c r="V205" s="204"/>
      <c r="W205" s="204"/>
      <c r="X205" s="204" t="s">
        <v>231</v>
      </c>
      <c r="Y205" s="204"/>
      <c r="Z205" s="204"/>
      <c r="AA205" s="204"/>
      <c r="AB205" s="204" t="s">
        <v>231</v>
      </c>
      <c r="AC205" s="204"/>
      <c r="AD205" s="204"/>
      <c r="AE205" s="204"/>
      <c r="AF205" s="45"/>
      <c r="AG205" s="45"/>
      <c r="AH205" s="45"/>
      <c r="AI205" s="45"/>
      <c r="AJ205" s="45"/>
      <c r="AK205" s="45"/>
      <c r="AL205" s="45"/>
      <c r="AM205" s="45"/>
    </row>
    <row r="206" spans="1:57" ht="19.5" customHeight="1">
      <c r="A206" s="4"/>
      <c r="D206" s="97" t="s">
        <v>1373</v>
      </c>
      <c r="E206" s="98"/>
      <c r="F206" s="98"/>
      <c r="G206" s="98"/>
      <c r="H206" s="98"/>
      <c r="I206" s="98"/>
      <c r="J206" s="98"/>
      <c r="K206" s="65"/>
      <c r="L206" s="66"/>
      <c r="M206" s="65"/>
      <c r="N206" s="65"/>
      <c r="O206" s="65"/>
      <c r="P206" s="65"/>
      <c r="Q206" s="65"/>
      <c r="R206" s="65"/>
      <c r="S206" s="67"/>
      <c r="T206" s="254">
        <v>-24.897</v>
      </c>
      <c r="U206" s="254"/>
      <c r="V206" s="254"/>
      <c r="W206" s="254"/>
      <c r="X206" s="254">
        <v>9.875</v>
      </c>
      <c r="Y206" s="254"/>
      <c r="Z206" s="254"/>
      <c r="AA206" s="254"/>
      <c r="AB206" s="254">
        <v>-24.897</v>
      </c>
      <c r="AC206" s="254"/>
      <c r="AD206" s="254"/>
      <c r="AE206" s="254"/>
      <c r="AH206" s="27"/>
      <c r="BE206" s="4"/>
    </row>
    <row r="207" spans="1:57" ht="19.5" customHeight="1">
      <c r="A207" s="4"/>
      <c r="D207" s="94" t="s">
        <v>1003</v>
      </c>
      <c r="E207" s="95"/>
      <c r="F207" s="95"/>
      <c r="G207" s="95"/>
      <c r="H207" s="95"/>
      <c r="I207" s="95"/>
      <c r="J207" s="95"/>
      <c r="K207" s="134"/>
      <c r="L207" s="130"/>
      <c r="M207" s="134"/>
      <c r="N207" s="134"/>
      <c r="O207" s="134"/>
      <c r="P207" s="134"/>
      <c r="Q207" s="134"/>
      <c r="R207" s="134"/>
      <c r="S207" s="135"/>
      <c r="T207" s="254">
        <v>-3.594</v>
      </c>
      <c r="U207" s="254"/>
      <c r="V207" s="254"/>
      <c r="W207" s="254"/>
      <c r="X207" s="254">
        <v>2.411</v>
      </c>
      <c r="Y207" s="254"/>
      <c r="Z207" s="254"/>
      <c r="AA207" s="254"/>
      <c r="AB207" s="254">
        <v>-3.594</v>
      </c>
      <c r="AC207" s="254"/>
      <c r="AD207" s="254"/>
      <c r="AE207" s="254"/>
      <c r="AH207" s="27"/>
      <c r="BE207" s="4"/>
    </row>
    <row r="208" spans="1:57" ht="19.5" customHeight="1">
      <c r="A208" s="4"/>
      <c r="D208" s="70" t="s">
        <v>1374</v>
      </c>
      <c r="E208" s="62"/>
      <c r="F208" s="62"/>
      <c r="G208" s="62"/>
      <c r="H208" s="62"/>
      <c r="I208" s="62"/>
      <c r="J208" s="62"/>
      <c r="K208" s="29"/>
      <c r="L208" s="58"/>
      <c r="M208" s="29"/>
      <c r="N208" s="29"/>
      <c r="O208" s="29"/>
      <c r="P208" s="29"/>
      <c r="Q208" s="29"/>
      <c r="R208" s="29"/>
      <c r="S208" s="59"/>
      <c r="T208" s="254">
        <v>-13.457</v>
      </c>
      <c r="U208" s="254"/>
      <c r="V208" s="254"/>
      <c r="W208" s="254"/>
      <c r="X208" s="254">
        <v>0</v>
      </c>
      <c r="Y208" s="254"/>
      <c r="Z208" s="254"/>
      <c r="AA208" s="254"/>
      <c r="AB208" s="254">
        <v>-13.457</v>
      </c>
      <c r="AC208" s="254"/>
      <c r="AD208" s="254"/>
      <c r="AE208" s="254"/>
      <c r="AH208" s="27"/>
      <c r="AR208" s="36"/>
      <c r="BE208" s="4"/>
    </row>
    <row r="209" spans="1:57" ht="19.5" customHeight="1">
      <c r="A209" s="4"/>
      <c r="D209" s="94" t="s">
        <v>968</v>
      </c>
      <c r="E209" s="95"/>
      <c r="F209" s="95"/>
      <c r="G209" s="95"/>
      <c r="H209" s="95"/>
      <c r="I209" s="95"/>
      <c r="J209" s="95"/>
      <c r="K209" s="134"/>
      <c r="L209" s="130"/>
      <c r="M209" s="134"/>
      <c r="N209" s="134"/>
      <c r="O209" s="134"/>
      <c r="P209" s="134"/>
      <c r="Q209" s="134"/>
      <c r="R209" s="134"/>
      <c r="S209" s="135"/>
      <c r="T209" s="254">
        <f>G190</f>
        <v>-70.95455799999999</v>
      </c>
      <c r="U209" s="254"/>
      <c r="V209" s="254"/>
      <c r="W209" s="254"/>
      <c r="X209" s="254">
        <f>G200</f>
        <v>77.9545</v>
      </c>
      <c r="Y209" s="254"/>
      <c r="Z209" s="254"/>
      <c r="AA209" s="254"/>
      <c r="AB209" s="254">
        <f>G195</f>
        <v>-70.95455799999999</v>
      </c>
      <c r="AC209" s="254"/>
      <c r="AD209" s="254"/>
      <c r="AE209" s="254"/>
      <c r="AH209" s="27"/>
      <c r="BE209" s="4"/>
    </row>
    <row r="210" spans="1:57" ht="19.5" customHeight="1">
      <c r="A210" s="4"/>
      <c r="D210" s="70" t="s">
        <v>1375</v>
      </c>
      <c r="E210" s="62"/>
      <c r="F210" s="62"/>
      <c r="G210" s="62"/>
      <c r="H210" s="62"/>
      <c r="I210" s="62"/>
      <c r="J210" s="62"/>
      <c r="K210" s="29"/>
      <c r="L210" s="58"/>
      <c r="M210" s="29"/>
      <c r="N210" s="29"/>
      <c r="O210" s="29"/>
      <c r="P210" s="29"/>
      <c r="Q210" s="29"/>
      <c r="R210" s="29"/>
      <c r="S210" s="59"/>
      <c r="T210" s="254">
        <f>Q152</f>
        <v>-3.2625</v>
      </c>
      <c r="U210" s="254"/>
      <c r="V210" s="254"/>
      <c r="W210" s="254"/>
      <c r="X210" s="254">
        <v>0</v>
      </c>
      <c r="Y210" s="254"/>
      <c r="Z210" s="254"/>
      <c r="AA210" s="254"/>
      <c r="AB210" s="254">
        <f>Q157</f>
        <v>-3.2625</v>
      </c>
      <c r="AC210" s="254"/>
      <c r="AD210" s="254"/>
      <c r="AE210" s="254"/>
      <c r="AH210" s="27"/>
      <c r="BE210" s="4"/>
    </row>
    <row r="211" spans="1:57" ht="19.5" customHeight="1">
      <c r="A211" s="4"/>
      <c r="D211" s="94" t="s">
        <v>1376</v>
      </c>
      <c r="E211" s="95"/>
      <c r="F211" s="95"/>
      <c r="G211" s="95"/>
      <c r="H211" s="95"/>
      <c r="I211" s="95"/>
      <c r="J211" s="95"/>
      <c r="K211" s="134"/>
      <c r="L211" s="130"/>
      <c r="M211" s="134"/>
      <c r="N211" s="134"/>
      <c r="O211" s="134"/>
      <c r="P211" s="134"/>
      <c r="Q211" s="134"/>
      <c r="R211" s="134"/>
      <c r="S211" s="135"/>
      <c r="T211" s="254">
        <f>AG163</f>
        <v>0</v>
      </c>
      <c r="U211" s="254"/>
      <c r="V211" s="254"/>
      <c r="W211" s="254"/>
      <c r="X211" s="254">
        <v>0</v>
      </c>
      <c r="Y211" s="254"/>
      <c r="Z211" s="254"/>
      <c r="AA211" s="254"/>
      <c r="AB211" s="254">
        <f>AG170</f>
        <v>0</v>
      </c>
      <c r="AC211" s="254"/>
      <c r="AD211" s="254"/>
      <c r="AE211" s="254"/>
      <c r="AH211" s="27"/>
      <c r="AR211" s="36"/>
      <c r="BE211" s="4"/>
    </row>
    <row r="212" spans="1:57" ht="19.5" customHeight="1" thickBot="1">
      <c r="A212" s="4"/>
      <c r="D212" s="136" t="s">
        <v>1377</v>
      </c>
      <c r="E212" s="137"/>
      <c r="F212" s="137"/>
      <c r="G212" s="137"/>
      <c r="H212" s="137"/>
      <c r="I212" s="137"/>
      <c r="J212" s="137"/>
      <c r="K212" s="138"/>
      <c r="L212" s="131"/>
      <c r="M212" s="138"/>
      <c r="N212" s="138"/>
      <c r="O212" s="138"/>
      <c r="P212" s="138"/>
      <c r="Q212" s="138"/>
      <c r="R212" s="138"/>
      <c r="S212" s="139"/>
      <c r="T212" s="262">
        <f>U176</f>
        <v>-1.2483000000000002</v>
      </c>
      <c r="U212" s="262"/>
      <c r="V212" s="262"/>
      <c r="W212" s="262"/>
      <c r="X212" s="262">
        <v>0</v>
      </c>
      <c r="Y212" s="262"/>
      <c r="Z212" s="262"/>
      <c r="AA212" s="262"/>
      <c r="AB212" s="262">
        <f>U181</f>
        <v>-1.2483000000000002</v>
      </c>
      <c r="AC212" s="262"/>
      <c r="AD212" s="262"/>
      <c r="AE212" s="262"/>
      <c r="AH212" s="27"/>
      <c r="BE212" s="4"/>
    </row>
    <row r="213" spans="1:57" ht="19.5" customHeight="1" thickTop="1">
      <c r="A213" s="4"/>
      <c r="D213" s="140" t="s">
        <v>1042</v>
      </c>
      <c r="E213" s="141"/>
      <c r="F213" s="141"/>
      <c r="G213" s="141"/>
      <c r="H213" s="141"/>
      <c r="I213" s="141"/>
      <c r="J213" s="141"/>
      <c r="K213" s="73"/>
      <c r="L213" s="53"/>
      <c r="M213" s="73"/>
      <c r="N213" s="73"/>
      <c r="O213" s="73"/>
      <c r="P213" s="73"/>
      <c r="Q213" s="73"/>
      <c r="R213" s="73"/>
      <c r="S213" s="74"/>
      <c r="T213" s="263">
        <f>T206+T207+T208</f>
        <v>-41.948</v>
      </c>
      <c r="U213" s="263"/>
      <c r="V213" s="263"/>
      <c r="W213" s="263"/>
      <c r="X213" s="263">
        <f>X206+X207+X208</f>
        <v>12.286</v>
      </c>
      <c r="Y213" s="263"/>
      <c r="Z213" s="263"/>
      <c r="AA213" s="263"/>
      <c r="AB213" s="263">
        <f>AB206+AB207+AB208</f>
        <v>-41.948</v>
      </c>
      <c r="AC213" s="263"/>
      <c r="AD213" s="263"/>
      <c r="AE213" s="263"/>
      <c r="AH213" s="27"/>
      <c r="BE213" s="4"/>
    </row>
    <row r="214" spans="1:57" ht="19.5" customHeight="1">
      <c r="A214" s="4"/>
      <c r="D214" s="70" t="s">
        <v>1378</v>
      </c>
      <c r="E214" s="62"/>
      <c r="F214" s="62"/>
      <c r="G214" s="62"/>
      <c r="H214" s="62"/>
      <c r="I214" s="62"/>
      <c r="J214" s="62"/>
      <c r="K214" s="29"/>
      <c r="L214" s="58"/>
      <c r="M214" s="29"/>
      <c r="N214" s="29"/>
      <c r="O214" s="29"/>
      <c r="P214" s="29"/>
      <c r="Q214" s="29"/>
      <c r="R214" s="29"/>
      <c r="S214" s="59"/>
      <c r="T214" s="254">
        <f>T213+T209+T210</f>
        <v>-116.165058</v>
      </c>
      <c r="U214" s="254"/>
      <c r="V214" s="254"/>
      <c r="W214" s="254"/>
      <c r="X214" s="254">
        <f>X213+X209+X210</f>
        <v>90.2405</v>
      </c>
      <c r="Y214" s="254"/>
      <c r="Z214" s="254"/>
      <c r="AA214" s="254"/>
      <c r="AB214" s="254">
        <f>AB213+AB209+AB210</f>
        <v>-116.165058</v>
      </c>
      <c r="AC214" s="254"/>
      <c r="AD214" s="254"/>
      <c r="AE214" s="254"/>
      <c r="AH214" s="27"/>
      <c r="BE214" s="4"/>
    </row>
    <row r="215" spans="1:57" ht="19.5" customHeight="1">
      <c r="A215" s="4"/>
      <c r="D215" s="94" t="s">
        <v>1043</v>
      </c>
      <c r="E215" s="95"/>
      <c r="F215" s="95"/>
      <c r="G215" s="95"/>
      <c r="H215" s="95"/>
      <c r="I215" s="95"/>
      <c r="J215" s="95"/>
      <c r="K215" s="134"/>
      <c r="L215" s="130"/>
      <c r="M215" s="134"/>
      <c r="N215" s="134"/>
      <c r="O215" s="134"/>
      <c r="P215" s="134"/>
      <c r="Q215" s="134"/>
      <c r="R215" s="134"/>
      <c r="S215" s="135"/>
      <c r="T215" s="309">
        <f>T213+T209+T210+T212/2</f>
        <v>-116.789208</v>
      </c>
      <c r="U215" s="310"/>
      <c r="V215" s="310"/>
      <c r="W215" s="311"/>
      <c r="X215" s="309">
        <f>X213+X209+X210+X212/2</f>
        <v>90.2405</v>
      </c>
      <c r="Y215" s="310"/>
      <c r="Z215" s="310"/>
      <c r="AA215" s="311"/>
      <c r="AB215" s="309">
        <f>AB213+AB209+AB210+AB212/2</f>
        <v>-116.789208</v>
      </c>
      <c r="AC215" s="310"/>
      <c r="AD215" s="310"/>
      <c r="AE215" s="311"/>
      <c r="AH215" s="27"/>
      <c r="BE215" s="4"/>
    </row>
    <row r="216" spans="1:57" ht="19.5" customHeight="1">
      <c r="A216" s="4"/>
      <c r="D216" s="142" t="s">
        <v>1379</v>
      </c>
      <c r="E216" s="143"/>
      <c r="F216" s="143"/>
      <c r="G216" s="143"/>
      <c r="H216" s="143"/>
      <c r="I216" s="143"/>
      <c r="J216" s="143"/>
      <c r="K216" s="53"/>
      <c r="L216" s="53"/>
      <c r="M216" s="73"/>
      <c r="N216" s="73"/>
      <c r="O216" s="73"/>
      <c r="P216" s="73"/>
      <c r="Q216" s="73"/>
      <c r="R216" s="73"/>
      <c r="S216" s="74"/>
      <c r="T216" s="254">
        <f>T213+T212</f>
        <v>-43.1963</v>
      </c>
      <c r="U216" s="254"/>
      <c r="V216" s="254"/>
      <c r="W216" s="254"/>
      <c r="X216" s="254">
        <f>X213+X212</f>
        <v>12.286</v>
      </c>
      <c r="Y216" s="254"/>
      <c r="Z216" s="254"/>
      <c r="AA216" s="254"/>
      <c r="AB216" s="254">
        <f>AB213+AB212</f>
        <v>-43.1963</v>
      </c>
      <c r="AC216" s="254"/>
      <c r="AD216" s="254"/>
      <c r="AE216" s="254"/>
      <c r="AH216" s="27"/>
      <c r="BE216" s="4"/>
    </row>
    <row r="217" spans="1:34" ht="19.5" customHeight="1">
      <c r="A217" s="4"/>
      <c r="D217" s="94" t="s">
        <v>1380</v>
      </c>
      <c r="E217" s="95"/>
      <c r="F217" s="95"/>
      <c r="G217" s="95"/>
      <c r="H217" s="95"/>
      <c r="I217" s="95"/>
      <c r="J217" s="95"/>
      <c r="K217" s="130"/>
      <c r="L217" s="130"/>
      <c r="M217" s="134"/>
      <c r="N217" s="134"/>
      <c r="O217" s="134"/>
      <c r="P217" s="134"/>
      <c r="Q217" s="134"/>
      <c r="R217" s="134"/>
      <c r="S217" s="135"/>
      <c r="T217" s="254">
        <f>T213+T209+T211</f>
        <v>-112.902558</v>
      </c>
      <c r="U217" s="254"/>
      <c r="V217" s="254"/>
      <c r="W217" s="254"/>
      <c r="X217" s="254">
        <f>X213+X209+X211</f>
        <v>90.2405</v>
      </c>
      <c r="Y217" s="254"/>
      <c r="Z217" s="254"/>
      <c r="AA217" s="254"/>
      <c r="AB217" s="254">
        <f>AB213+AB209+AB211</f>
        <v>-112.902558</v>
      </c>
      <c r="AC217" s="254"/>
      <c r="AD217" s="254"/>
      <c r="AE217" s="254"/>
      <c r="AH217" s="27"/>
    </row>
    <row r="218" spans="1:34" ht="19.5" customHeight="1">
      <c r="A218" s="4"/>
      <c r="B218" s="4"/>
      <c r="C218" s="4"/>
      <c r="AH218" s="27"/>
    </row>
    <row r="219" spans="1:31" ht="19.5" customHeight="1">
      <c r="A219" s="4"/>
      <c r="B219" s="4"/>
      <c r="D219" s="221" t="s">
        <v>1381</v>
      </c>
      <c r="E219" s="222"/>
      <c r="F219" s="222"/>
      <c r="G219" s="222"/>
      <c r="H219" s="222"/>
      <c r="I219" s="222"/>
      <c r="J219" s="222"/>
      <c r="K219" s="222"/>
      <c r="L219" s="222"/>
      <c r="M219" s="222"/>
      <c r="N219" s="222"/>
      <c r="O219" s="222"/>
      <c r="P219" s="222"/>
      <c r="Q219" s="222"/>
      <c r="R219" s="222"/>
      <c r="S219" s="223"/>
      <c r="T219" s="183" t="s">
        <v>1004</v>
      </c>
      <c r="U219" s="183"/>
      <c r="V219" s="183"/>
      <c r="W219" s="183"/>
      <c r="X219" s="183" t="s">
        <v>1005</v>
      </c>
      <c r="Y219" s="183"/>
      <c r="Z219" s="183"/>
      <c r="AA219" s="183"/>
      <c r="AB219" s="183" t="s">
        <v>1006</v>
      </c>
      <c r="AC219" s="183"/>
      <c r="AD219" s="183"/>
      <c r="AE219" s="183"/>
    </row>
    <row r="220" spans="1:31" ht="19.5" customHeight="1">
      <c r="A220" s="4"/>
      <c r="B220" s="4"/>
      <c r="C220" s="4" t="s">
        <v>877</v>
      </c>
      <c r="D220" s="224"/>
      <c r="E220" s="225"/>
      <c r="F220" s="225"/>
      <c r="G220" s="225"/>
      <c r="H220" s="225"/>
      <c r="I220" s="225"/>
      <c r="J220" s="225"/>
      <c r="K220" s="225"/>
      <c r="L220" s="225"/>
      <c r="M220" s="225"/>
      <c r="N220" s="225"/>
      <c r="O220" s="225"/>
      <c r="P220" s="225"/>
      <c r="Q220" s="225"/>
      <c r="R220" s="225"/>
      <c r="S220" s="226"/>
      <c r="T220" s="204" t="s">
        <v>231</v>
      </c>
      <c r="U220" s="204"/>
      <c r="V220" s="204"/>
      <c r="W220" s="204"/>
      <c r="X220" s="204" t="s">
        <v>231</v>
      </c>
      <c r="Y220" s="204"/>
      <c r="Z220" s="204"/>
      <c r="AA220" s="204"/>
      <c r="AB220" s="204" t="s">
        <v>231</v>
      </c>
      <c r="AC220" s="204"/>
      <c r="AD220" s="204"/>
      <c r="AE220" s="204"/>
    </row>
    <row r="221" spans="1:34" ht="19.5" customHeight="1">
      <c r="A221" s="4"/>
      <c r="D221" s="97" t="s">
        <v>232</v>
      </c>
      <c r="E221" s="98"/>
      <c r="F221" s="98"/>
      <c r="G221" s="98"/>
      <c r="H221" s="98"/>
      <c r="I221" s="98"/>
      <c r="J221" s="98"/>
      <c r="K221" s="65"/>
      <c r="L221" s="66"/>
      <c r="M221" s="65"/>
      <c r="N221" s="65"/>
      <c r="O221" s="65"/>
      <c r="P221" s="65"/>
      <c r="Q221" s="65"/>
      <c r="R221" s="65"/>
      <c r="S221" s="67"/>
      <c r="T221" s="254">
        <v>-24.897</v>
      </c>
      <c r="U221" s="254"/>
      <c r="V221" s="254"/>
      <c r="W221" s="254"/>
      <c r="X221" s="254">
        <v>3.812</v>
      </c>
      <c r="Y221" s="254"/>
      <c r="Z221" s="254"/>
      <c r="AA221" s="254"/>
      <c r="AB221" s="254">
        <v>-24.897</v>
      </c>
      <c r="AC221" s="254"/>
      <c r="AD221" s="254"/>
      <c r="AE221" s="254"/>
      <c r="AH221" s="27"/>
    </row>
    <row r="222" spans="1:34" ht="19.5" customHeight="1">
      <c r="A222" s="4"/>
      <c r="D222" s="94" t="s">
        <v>233</v>
      </c>
      <c r="E222" s="95"/>
      <c r="F222" s="95"/>
      <c r="G222" s="95"/>
      <c r="H222" s="95"/>
      <c r="I222" s="95"/>
      <c r="J222" s="95"/>
      <c r="K222" s="134"/>
      <c r="L222" s="130"/>
      <c r="M222" s="134"/>
      <c r="N222" s="134"/>
      <c r="O222" s="134"/>
      <c r="P222" s="134"/>
      <c r="Q222" s="134"/>
      <c r="R222" s="134"/>
      <c r="S222" s="135"/>
      <c r="T222" s="254">
        <v>-3.594</v>
      </c>
      <c r="U222" s="254"/>
      <c r="V222" s="254"/>
      <c r="W222" s="254"/>
      <c r="X222" s="254">
        <v>3.349</v>
      </c>
      <c r="Y222" s="254"/>
      <c r="Z222" s="254"/>
      <c r="AA222" s="254"/>
      <c r="AB222" s="254">
        <v>-3.594</v>
      </c>
      <c r="AC222" s="254"/>
      <c r="AD222" s="254"/>
      <c r="AE222" s="254"/>
      <c r="AH222" s="27"/>
    </row>
    <row r="223" spans="1:57" ht="19.5" customHeight="1">
      <c r="A223" s="4"/>
      <c r="D223" s="70" t="s">
        <v>234</v>
      </c>
      <c r="E223" s="62"/>
      <c r="F223" s="62"/>
      <c r="G223" s="62"/>
      <c r="H223" s="62"/>
      <c r="I223" s="62"/>
      <c r="J223" s="62"/>
      <c r="K223" s="29"/>
      <c r="L223" s="58"/>
      <c r="M223" s="29"/>
      <c r="N223" s="29"/>
      <c r="O223" s="29"/>
      <c r="P223" s="29"/>
      <c r="Q223" s="29"/>
      <c r="R223" s="29"/>
      <c r="S223" s="59"/>
      <c r="T223" s="254">
        <v>-13.457</v>
      </c>
      <c r="U223" s="254"/>
      <c r="V223" s="254"/>
      <c r="W223" s="254"/>
      <c r="X223" s="254">
        <v>-13.457</v>
      </c>
      <c r="Y223" s="254"/>
      <c r="Z223" s="254"/>
      <c r="AA223" s="254"/>
      <c r="AB223" s="254">
        <v>-13.457</v>
      </c>
      <c r="AC223" s="254"/>
      <c r="AD223" s="254"/>
      <c r="AE223" s="254"/>
      <c r="AH223" s="27"/>
      <c r="AR223" s="36"/>
      <c r="BE223" s="4"/>
    </row>
    <row r="224" spans="1:34" ht="19.5" customHeight="1">
      <c r="A224" s="4"/>
      <c r="D224" s="94" t="s">
        <v>968</v>
      </c>
      <c r="E224" s="95"/>
      <c r="F224" s="95"/>
      <c r="G224" s="95"/>
      <c r="H224" s="95"/>
      <c r="I224" s="95"/>
      <c r="J224" s="95"/>
      <c r="K224" s="134"/>
      <c r="L224" s="130"/>
      <c r="M224" s="134"/>
      <c r="N224" s="134"/>
      <c r="O224" s="134"/>
      <c r="P224" s="134"/>
      <c r="Q224" s="134"/>
      <c r="R224" s="134"/>
      <c r="S224" s="135"/>
      <c r="T224" s="254">
        <f>T209</f>
        <v>-70.95455799999999</v>
      </c>
      <c r="U224" s="254"/>
      <c r="V224" s="254"/>
      <c r="W224" s="254"/>
      <c r="X224" s="254">
        <f>X209</f>
        <v>77.9545</v>
      </c>
      <c r="Y224" s="254"/>
      <c r="Z224" s="254"/>
      <c r="AA224" s="254"/>
      <c r="AB224" s="254">
        <f>AB209</f>
        <v>-70.95455799999999</v>
      </c>
      <c r="AC224" s="254"/>
      <c r="AD224" s="254"/>
      <c r="AE224" s="254"/>
      <c r="AH224" s="27"/>
    </row>
    <row r="225" spans="1:34" ht="19.5" customHeight="1">
      <c r="A225" s="4"/>
      <c r="D225" s="70" t="s">
        <v>235</v>
      </c>
      <c r="E225" s="62"/>
      <c r="F225" s="62"/>
      <c r="G225" s="62"/>
      <c r="H225" s="62"/>
      <c r="I225" s="62"/>
      <c r="J225" s="62"/>
      <c r="K225" s="29"/>
      <c r="L225" s="58"/>
      <c r="M225" s="29"/>
      <c r="N225" s="29"/>
      <c r="O225" s="29"/>
      <c r="P225" s="29"/>
      <c r="Q225" s="29"/>
      <c r="R225" s="29"/>
      <c r="S225" s="59"/>
      <c r="T225" s="254">
        <f>T210</f>
        <v>-3.2625</v>
      </c>
      <c r="U225" s="254"/>
      <c r="V225" s="254"/>
      <c r="W225" s="254"/>
      <c r="X225" s="254">
        <f>X210</f>
        <v>0</v>
      </c>
      <c r="Y225" s="254"/>
      <c r="Z225" s="254"/>
      <c r="AA225" s="254"/>
      <c r="AB225" s="254">
        <f>AB210</f>
        <v>-3.2625</v>
      </c>
      <c r="AC225" s="254"/>
      <c r="AD225" s="254"/>
      <c r="AE225" s="254"/>
      <c r="AH225" s="27"/>
    </row>
    <row r="226" spans="1:44" ht="19.5" customHeight="1">
      <c r="A226" s="4"/>
      <c r="D226" s="94" t="s">
        <v>236</v>
      </c>
      <c r="E226" s="95"/>
      <c r="F226" s="95"/>
      <c r="G226" s="95"/>
      <c r="H226" s="95"/>
      <c r="I226" s="95"/>
      <c r="J226" s="95"/>
      <c r="K226" s="134"/>
      <c r="L226" s="130"/>
      <c r="M226" s="134"/>
      <c r="N226" s="134"/>
      <c r="O226" s="134"/>
      <c r="P226" s="134"/>
      <c r="Q226" s="134"/>
      <c r="R226" s="134"/>
      <c r="S226" s="135"/>
      <c r="T226" s="254">
        <f>T211</f>
        <v>0</v>
      </c>
      <c r="U226" s="254"/>
      <c r="V226" s="254"/>
      <c r="W226" s="254"/>
      <c r="X226" s="254">
        <f>X211</f>
        <v>0</v>
      </c>
      <c r="Y226" s="254"/>
      <c r="Z226" s="254"/>
      <c r="AA226" s="254"/>
      <c r="AB226" s="254">
        <f>AB211</f>
        <v>0</v>
      </c>
      <c r="AC226" s="254"/>
      <c r="AD226" s="254"/>
      <c r="AE226" s="254"/>
      <c r="AH226" s="27"/>
      <c r="AR226" s="36"/>
    </row>
    <row r="227" spans="1:34" ht="19.5" customHeight="1" thickBot="1">
      <c r="A227" s="4"/>
      <c r="D227" s="136" t="s">
        <v>237</v>
      </c>
      <c r="E227" s="137"/>
      <c r="F227" s="137"/>
      <c r="G227" s="137"/>
      <c r="H227" s="137"/>
      <c r="I227" s="137"/>
      <c r="J227" s="137"/>
      <c r="K227" s="138"/>
      <c r="L227" s="131"/>
      <c r="M227" s="138"/>
      <c r="N227" s="138"/>
      <c r="O227" s="138"/>
      <c r="P227" s="138"/>
      <c r="Q227" s="138"/>
      <c r="R227" s="138"/>
      <c r="S227" s="139"/>
      <c r="T227" s="262">
        <f>T212</f>
        <v>-1.2483000000000002</v>
      </c>
      <c r="U227" s="262"/>
      <c r="V227" s="262"/>
      <c r="W227" s="262"/>
      <c r="X227" s="262">
        <f>X212</f>
        <v>0</v>
      </c>
      <c r="Y227" s="262"/>
      <c r="Z227" s="262"/>
      <c r="AA227" s="262"/>
      <c r="AB227" s="262">
        <f>AB212</f>
        <v>-1.2483000000000002</v>
      </c>
      <c r="AC227" s="262"/>
      <c r="AD227" s="262"/>
      <c r="AE227" s="262"/>
      <c r="AH227" s="27"/>
    </row>
    <row r="228" spans="1:57" ht="19.5" customHeight="1" thickTop="1">
      <c r="A228" s="4"/>
      <c r="D228" s="140" t="s">
        <v>238</v>
      </c>
      <c r="E228" s="141"/>
      <c r="F228" s="141"/>
      <c r="G228" s="141"/>
      <c r="H228" s="141"/>
      <c r="I228" s="141"/>
      <c r="J228" s="141"/>
      <c r="K228" s="73"/>
      <c r="L228" s="53"/>
      <c r="M228" s="73"/>
      <c r="N228" s="73"/>
      <c r="O228" s="73"/>
      <c r="P228" s="73"/>
      <c r="Q228" s="73"/>
      <c r="R228" s="73"/>
      <c r="S228" s="74"/>
      <c r="T228" s="263">
        <f>T221+T222+T223</f>
        <v>-41.948</v>
      </c>
      <c r="U228" s="263"/>
      <c r="V228" s="263"/>
      <c r="W228" s="263"/>
      <c r="X228" s="263">
        <f>X221+X222+X223</f>
        <v>-6.296000000000001</v>
      </c>
      <c r="Y228" s="263"/>
      <c r="Z228" s="263"/>
      <c r="AA228" s="263"/>
      <c r="AB228" s="263">
        <f>AB221+AB222+AB223</f>
        <v>-41.948</v>
      </c>
      <c r="AC228" s="263"/>
      <c r="AD228" s="263"/>
      <c r="AE228" s="263"/>
      <c r="AH228" s="27"/>
      <c r="BE228" s="4"/>
    </row>
    <row r="229" spans="1:57" ht="19.5" customHeight="1">
      <c r="A229" s="4"/>
      <c r="D229" s="70" t="s">
        <v>1382</v>
      </c>
      <c r="E229" s="62"/>
      <c r="F229" s="62"/>
      <c r="G229" s="62"/>
      <c r="H229" s="62"/>
      <c r="I229" s="62"/>
      <c r="J229" s="62"/>
      <c r="K229" s="29"/>
      <c r="L229" s="58"/>
      <c r="M229" s="29"/>
      <c r="N229" s="29"/>
      <c r="O229" s="29"/>
      <c r="P229" s="29"/>
      <c r="Q229" s="29"/>
      <c r="R229" s="29"/>
      <c r="S229" s="59"/>
      <c r="T229" s="254">
        <f>T228+T224+T225</f>
        <v>-116.165058</v>
      </c>
      <c r="U229" s="254"/>
      <c r="V229" s="254"/>
      <c r="W229" s="254"/>
      <c r="X229" s="254">
        <f>X228+X224+X225</f>
        <v>71.65849999999999</v>
      </c>
      <c r="Y229" s="254"/>
      <c r="Z229" s="254"/>
      <c r="AA229" s="254"/>
      <c r="AB229" s="254">
        <f>AB228+AB224+AB225</f>
        <v>-116.165058</v>
      </c>
      <c r="AC229" s="254"/>
      <c r="AD229" s="254"/>
      <c r="AE229" s="254"/>
      <c r="AH229" s="27"/>
      <c r="BE229" s="4"/>
    </row>
    <row r="230" spans="1:57" ht="19.5" customHeight="1">
      <c r="A230" s="4"/>
      <c r="D230" s="94" t="s">
        <v>239</v>
      </c>
      <c r="E230" s="95"/>
      <c r="F230" s="95"/>
      <c r="G230" s="95"/>
      <c r="H230" s="95"/>
      <c r="I230" s="95"/>
      <c r="J230" s="95"/>
      <c r="K230" s="134"/>
      <c r="L230" s="130"/>
      <c r="M230" s="134"/>
      <c r="N230" s="134"/>
      <c r="O230" s="134"/>
      <c r="P230" s="134"/>
      <c r="Q230" s="134"/>
      <c r="R230" s="134"/>
      <c r="S230" s="135"/>
      <c r="T230" s="309">
        <f>T228+T224+T225+T227/2</f>
        <v>-116.789208</v>
      </c>
      <c r="U230" s="310"/>
      <c r="V230" s="310"/>
      <c r="W230" s="311"/>
      <c r="X230" s="309">
        <f>X228+X224+X225+X227/2</f>
        <v>71.65849999999999</v>
      </c>
      <c r="Y230" s="310"/>
      <c r="Z230" s="310"/>
      <c r="AA230" s="311"/>
      <c r="AB230" s="309">
        <f>AB228+AB224+AB225+AB227/2</f>
        <v>-116.789208</v>
      </c>
      <c r="AC230" s="310"/>
      <c r="AD230" s="310"/>
      <c r="AE230" s="311"/>
      <c r="AH230" s="27"/>
      <c r="BE230" s="4"/>
    </row>
    <row r="231" spans="1:57" ht="19.5" customHeight="1">
      <c r="A231" s="4"/>
      <c r="D231" s="142" t="s">
        <v>240</v>
      </c>
      <c r="E231" s="143"/>
      <c r="F231" s="143"/>
      <c r="G231" s="143"/>
      <c r="H231" s="143"/>
      <c r="I231" s="143"/>
      <c r="J231" s="143"/>
      <c r="K231" s="53"/>
      <c r="L231" s="53"/>
      <c r="M231" s="73"/>
      <c r="N231" s="73"/>
      <c r="O231" s="73"/>
      <c r="P231" s="73"/>
      <c r="Q231" s="73"/>
      <c r="R231" s="73"/>
      <c r="S231" s="74"/>
      <c r="T231" s="254">
        <f>T228+T227</f>
        <v>-43.1963</v>
      </c>
      <c r="U231" s="254"/>
      <c r="V231" s="254"/>
      <c r="W231" s="254"/>
      <c r="X231" s="254">
        <f>X228+X227</f>
        <v>-6.296000000000001</v>
      </c>
      <c r="Y231" s="254"/>
      <c r="Z231" s="254"/>
      <c r="AA231" s="254"/>
      <c r="AB231" s="254">
        <f>AB228+AB227</f>
        <v>-43.1963</v>
      </c>
      <c r="AC231" s="254"/>
      <c r="AD231" s="254"/>
      <c r="AE231" s="254"/>
      <c r="AH231" s="27"/>
      <c r="BE231" s="4"/>
    </row>
    <row r="232" spans="1:34" ht="19.5" customHeight="1">
      <c r="A232" s="4"/>
      <c r="D232" s="94" t="s">
        <v>1380</v>
      </c>
      <c r="E232" s="95"/>
      <c r="F232" s="95"/>
      <c r="G232" s="95"/>
      <c r="H232" s="95"/>
      <c r="I232" s="95"/>
      <c r="J232" s="95"/>
      <c r="K232" s="130"/>
      <c r="L232" s="130"/>
      <c r="M232" s="134"/>
      <c r="N232" s="134"/>
      <c r="O232" s="134"/>
      <c r="P232" s="134"/>
      <c r="Q232" s="134"/>
      <c r="R232" s="134"/>
      <c r="S232" s="135"/>
      <c r="T232" s="254">
        <f>T228+T224+T226</f>
        <v>-112.902558</v>
      </c>
      <c r="U232" s="254"/>
      <c r="V232" s="254"/>
      <c r="W232" s="254"/>
      <c r="X232" s="254">
        <f>X228+X224+X226</f>
        <v>71.65849999999999</v>
      </c>
      <c r="Y232" s="254"/>
      <c r="Z232" s="254"/>
      <c r="AA232" s="254"/>
      <c r="AB232" s="254">
        <f>AB228+AB224+AB226</f>
        <v>-112.902558</v>
      </c>
      <c r="AC232" s="254"/>
      <c r="AD232" s="254"/>
      <c r="AE232" s="254"/>
      <c r="AH232" s="27"/>
    </row>
    <row r="233" spans="1:12" ht="19.5" customHeight="1">
      <c r="A233" s="4"/>
      <c r="B233" s="4"/>
      <c r="C233" s="4"/>
      <c r="D233" s="4"/>
      <c r="E233" s="4"/>
      <c r="F233" s="4"/>
      <c r="G233" s="4"/>
      <c r="H233" s="4"/>
      <c r="I233" s="4"/>
      <c r="J233" s="4"/>
      <c r="K233" s="4"/>
      <c r="L233" s="4"/>
    </row>
    <row r="234" spans="2:12" ht="19.5" customHeight="1">
      <c r="B234" s="4" t="s">
        <v>1185</v>
      </c>
      <c r="C234" s="4"/>
      <c r="D234" s="4"/>
      <c r="E234" s="4"/>
      <c r="F234" s="4"/>
      <c r="G234" s="4"/>
      <c r="H234" s="4"/>
      <c r="I234" s="4"/>
      <c r="J234" s="4"/>
      <c r="K234" s="4"/>
      <c r="L234" s="4"/>
    </row>
    <row r="235" spans="2:12" ht="19.5" customHeight="1">
      <c r="B235" s="4"/>
      <c r="C235" s="4" t="s">
        <v>880</v>
      </c>
      <c r="D235" s="4"/>
      <c r="E235" s="4"/>
      <c r="F235" s="4"/>
      <c r="G235" s="4"/>
      <c r="H235" s="4"/>
      <c r="I235" s="4"/>
      <c r="J235" s="4"/>
      <c r="K235" s="4"/>
      <c r="L235" s="4"/>
    </row>
    <row r="236" spans="2:12" ht="19.5" customHeight="1">
      <c r="B236" s="4"/>
      <c r="C236" s="4" t="s">
        <v>937</v>
      </c>
      <c r="D236" s="4"/>
      <c r="E236" s="4"/>
      <c r="F236" s="4"/>
      <c r="G236" s="4"/>
      <c r="H236" s="4"/>
      <c r="I236" s="4"/>
      <c r="J236" s="4"/>
      <c r="K236" s="4"/>
      <c r="L236" s="4"/>
    </row>
    <row r="237" spans="2:12" ht="19.5" customHeight="1">
      <c r="B237" s="4"/>
      <c r="C237" s="4"/>
      <c r="D237" s="4"/>
      <c r="E237" s="4"/>
      <c r="F237" s="4"/>
      <c r="G237" s="4"/>
      <c r="H237" s="4"/>
      <c r="I237" s="4"/>
      <c r="J237" s="4"/>
      <c r="K237" s="4"/>
      <c r="L237" s="4"/>
    </row>
    <row r="238" spans="2:15" ht="19.5" customHeight="1">
      <c r="B238" s="4"/>
      <c r="C238" s="4" t="s">
        <v>938</v>
      </c>
      <c r="D238" s="4"/>
      <c r="E238" s="4"/>
      <c r="F238" s="4"/>
      <c r="G238" s="4"/>
      <c r="H238" s="4"/>
      <c r="I238" s="4"/>
      <c r="J238" s="4"/>
      <c r="K238" s="4"/>
      <c r="L238" s="4"/>
      <c r="M238" s="47"/>
      <c r="N238" s="47"/>
      <c r="O238" s="47"/>
    </row>
    <row r="239" spans="2:44" ht="19.5" customHeight="1">
      <c r="B239" s="4"/>
      <c r="C239" s="4"/>
      <c r="D239" s="4"/>
      <c r="E239" s="27" t="s">
        <v>939</v>
      </c>
      <c r="G239" s="301">
        <v>19</v>
      </c>
      <c r="H239" s="301"/>
      <c r="I239" s="27" t="s">
        <v>241</v>
      </c>
      <c r="K239" s="330">
        <v>250</v>
      </c>
      <c r="L239" s="330"/>
      <c r="M239" s="27" t="s">
        <v>242</v>
      </c>
      <c r="O239" s="4"/>
      <c r="P239" s="4"/>
      <c r="Q239" s="4"/>
      <c r="R239" s="4"/>
      <c r="S239" s="4"/>
      <c r="T239" s="4"/>
      <c r="U239" s="4"/>
      <c r="W239" s="47"/>
      <c r="X239" s="47"/>
      <c r="AE239" s="27" t="s">
        <v>1022</v>
      </c>
      <c r="AM239" s="27"/>
      <c r="AN239" s="27"/>
      <c r="AO239" s="27"/>
      <c r="AQ239" s="29"/>
      <c r="AR239" s="36"/>
    </row>
    <row r="240" spans="2:61" ht="19.5" customHeight="1">
      <c r="B240" s="4"/>
      <c r="C240" s="4"/>
      <c r="D240" s="4"/>
      <c r="G240" s="27" t="s">
        <v>243</v>
      </c>
      <c r="I240" s="237">
        <f>IF(G239=13,126.7,IF(G239=16,198.6,IF(G239=19,286.5,IF(G239=22,387.1,IF(G239=25,506.7,IF(G239=29,642.4,"ERROR"))))))*1000/K239</f>
        <v>1146</v>
      </c>
      <c r="J240" s="237"/>
      <c r="K240" s="237"/>
      <c r="L240" s="27" t="s">
        <v>244</v>
      </c>
      <c r="O240" s="79">
        <v>40</v>
      </c>
      <c r="P240" s="4"/>
      <c r="Q240" s="4"/>
      <c r="R240" s="4"/>
      <c r="S240" s="4"/>
      <c r="T240" s="4"/>
      <c r="U240" s="4"/>
      <c r="AC240" s="300">
        <v>300</v>
      </c>
      <c r="AE240" s="264">
        <v>1</v>
      </c>
      <c r="AF240" s="264"/>
      <c r="AG240" s="35" t="s">
        <v>245</v>
      </c>
      <c r="AH240" s="265">
        <v>12.7</v>
      </c>
      <c r="AI240" s="265"/>
      <c r="AJ240" s="27" t="s">
        <v>241</v>
      </c>
      <c r="AK240" s="27"/>
      <c r="AL240" s="330">
        <v>125</v>
      </c>
      <c r="AM240" s="330"/>
      <c r="AN240" s="27" t="s">
        <v>242</v>
      </c>
      <c r="AO240" s="27"/>
      <c r="AQ240" s="29"/>
      <c r="AR240" s="36"/>
      <c r="BI240" s="36"/>
    </row>
    <row r="241" spans="2:43" ht="19.5" customHeight="1">
      <c r="B241" s="4"/>
      <c r="C241" s="4"/>
      <c r="D241" s="4"/>
      <c r="E241" s="4"/>
      <c r="O241" s="79">
        <f>AC240-O240-O242</f>
        <v>220</v>
      </c>
      <c r="P241" s="4"/>
      <c r="Q241" s="4"/>
      <c r="R241" s="4"/>
      <c r="S241" s="4"/>
      <c r="T241" s="4"/>
      <c r="U241" s="4"/>
      <c r="AA241" s="107">
        <f>AC240/2-AB242</f>
        <v>50</v>
      </c>
      <c r="AC241" s="300"/>
      <c r="AE241" s="27" t="s">
        <v>246</v>
      </c>
      <c r="AG241" s="325">
        <v>2503.2</v>
      </c>
      <c r="AH241" s="325"/>
      <c r="AI241" s="325"/>
      <c r="AJ241" s="27" t="s">
        <v>244</v>
      </c>
      <c r="AK241" s="27"/>
      <c r="AL241" s="27"/>
      <c r="AM241" s="27"/>
      <c r="AN241" s="27"/>
      <c r="AO241" s="27"/>
      <c r="AQ241" s="29"/>
    </row>
    <row r="242" spans="2:44" ht="19.5" customHeight="1">
      <c r="B242" s="4"/>
      <c r="C242" s="4"/>
      <c r="D242" s="4"/>
      <c r="E242" s="4"/>
      <c r="O242" s="79">
        <v>40</v>
      </c>
      <c r="P242" s="4"/>
      <c r="Q242" s="4"/>
      <c r="R242" s="4"/>
      <c r="S242" s="4"/>
      <c r="T242" s="4"/>
      <c r="AB242" s="107">
        <v>100</v>
      </c>
      <c r="AH242" s="27"/>
      <c r="AI242" s="27"/>
      <c r="AJ242" s="27"/>
      <c r="AK242" s="27"/>
      <c r="AL242" s="27"/>
      <c r="AM242" s="27"/>
      <c r="AN242" s="27"/>
      <c r="AO242" s="27"/>
      <c r="AQ242" s="29"/>
      <c r="AR242" s="36"/>
    </row>
    <row r="243" spans="2:44" ht="19.5" customHeight="1">
      <c r="B243" s="4"/>
      <c r="C243" s="4"/>
      <c r="D243" s="4"/>
      <c r="E243" s="4"/>
      <c r="O243" s="4"/>
      <c r="P243" s="4"/>
      <c r="Q243" s="4"/>
      <c r="R243" s="4"/>
      <c r="S243" s="4"/>
      <c r="T243" s="4"/>
      <c r="U243" s="256">
        <v>1000</v>
      </c>
      <c r="V243" s="256"/>
      <c r="W243" s="256"/>
      <c r="AH243" s="27"/>
      <c r="AI243" s="27"/>
      <c r="AJ243" s="27"/>
      <c r="AK243" s="27"/>
      <c r="AL243" s="27"/>
      <c r="AM243" s="27"/>
      <c r="AN243" s="27"/>
      <c r="AO243" s="27"/>
      <c r="AP243" s="27"/>
      <c r="AQ243" s="29"/>
      <c r="AR243" s="29"/>
    </row>
    <row r="244" spans="1:44" ht="19.5" customHeight="1">
      <c r="A244" s="4"/>
      <c r="B244" s="4"/>
      <c r="C244" s="4"/>
      <c r="D244" s="4"/>
      <c r="E244" s="4"/>
      <c r="O244" s="4"/>
      <c r="P244" s="4"/>
      <c r="Q244" s="4"/>
      <c r="R244" s="4"/>
      <c r="S244" s="4"/>
      <c r="T244" s="4"/>
      <c r="U244" s="4"/>
      <c r="W244" s="27" t="s">
        <v>925</v>
      </c>
      <c r="Y244" s="301">
        <v>19</v>
      </c>
      <c r="Z244" s="301"/>
      <c r="AA244" s="27" t="s">
        <v>241</v>
      </c>
      <c r="AC244" s="330">
        <v>125</v>
      </c>
      <c r="AD244" s="330"/>
      <c r="AE244" s="27" t="s">
        <v>242</v>
      </c>
      <c r="AG244" s="27" t="s">
        <v>243</v>
      </c>
      <c r="AH244" s="27"/>
      <c r="AI244" s="237">
        <f>IF(Y244=13,126.7,IF(Y244=16,198.6,IF(Y244=19,286.5,IF(Y244=22,387.1,IF(Y244=25,506.7,IF(Y244=29,642.4,"ERROR"))))))*1000/AC244</f>
        <v>2292</v>
      </c>
      <c r="AJ244" s="237"/>
      <c r="AK244" s="237"/>
      <c r="AL244" s="27" t="s">
        <v>244</v>
      </c>
      <c r="AM244" s="27"/>
      <c r="AN244" s="27"/>
      <c r="AO244" s="27"/>
      <c r="AP244" s="27"/>
      <c r="AQ244" s="29"/>
      <c r="AR244" s="29"/>
    </row>
    <row r="245" spans="1:44" ht="19.5" customHeight="1">
      <c r="A245" s="4"/>
      <c r="B245" s="4"/>
      <c r="C245" s="4"/>
      <c r="D245" s="4"/>
      <c r="E245" s="4"/>
      <c r="O245" s="4"/>
      <c r="P245" s="4"/>
      <c r="Q245" s="4"/>
      <c r="R245" s="4"/>
      <c r="S245" s="4"/>
      <c r="T245" s="4"/>
      <c r="U245" s="4"/>
      <c r="Y245" s="163"/>
      <c r="Z245" s="163"/>
      <c r="AC245" s="35"/>
      <c r="AD245" s="35"/>
      <c r="AH245" s="27"/>
      <c r="AI245" s="44"/>
      <c r="AJ245" s="44"/>
      <c r="AK245" s="44"/>
      <c r="AL245" s="27"/>
      <c r="AM245" s="27"/>
      <c r="AN245" s="27"/>
      <c r="AO245" s="27"/>
      <c r="AP245" s="27"/>
      <c r="AQ245" s="29"/>
      <c r="AR245" s="29"/>
    </row>
    <row r="246" spans="1:39" ht="19.5" customHeight="1">
      <c r="A246" s="4"/>
      <c r="B246" s="4"/>
      <c r="C246" s="4"/>
      <c r="D246" s="4" t="s">
        <v>1342</v>
      </c>
      <c r="E246" s="4"/>
      <c r="F246" s="4"/>
      <c r="G246" s="4"/>
      <c r="H246" s="4"/>
      <c r="I246" s="4"/>
      <c r="J246" s="4"/>
      <c r="K246" s="4" t="s">
        <v>247</v>
      </c>
      <c r="L246" s="4"/>
      <c r="Q246" s="27" t="s">
        <v>157</v>
      </c>
      <c r="R246" s="38">
        <v>100</v>
      </c>
      <c r="S246" s="38"/>
      <c r="T246" s="38"/>
      <c r="U246" s="27" t="s">
        <v>248</v>
      </c>
      <c r="V246" s="38">
        <f>AC240/10</f>
        <v>30</v>
      </c>
      <c r="W246" s="38"/>
      <c r="X246" s="38"/>
      <c r="AG246" s="27" t="s">
        <v>157</v>
      </c>
      <c r="AH246" s="261">
        <f>R246*V246</f>
        <v>3000</v>
      </c>
      <c r="AI246" s="261"/>
      <c r="AJ246" s="261"/>
      <c r="AK246" s="261"/>
      <c r="AL246" s="261"/>
      <c r="AM246" s="29" t="s">
        <v>249</v>
      </c>
    </row>
    <row r="247" spans="1:39" ht="19.5" customHeight="1">
      <c r="A247" s="4"/>
      <c r="B247" s="4"/>
      <c r="C247" s="4"/>
      <c r="D247" s="4" t="s">
        <v>940</v>
      </c>
      <c r="E247" s="4"/>
      <c r="F247" s="4"/>
      <c r="G247" s="4"/>
      <c r="H247" s="4"/>
      <c r="I247" s="4"/>
      <c r="J247" s="4"/>
      <c r="K247" s="4" t="s">
        <v>250</v>
      </c>
      <c r="L247" s="4"/>
      <c r="Q247" s="27" t="s">
        <v>993</v>
      </c>
      <c r="R247" s="38">
        <v>100</v>
      </c>
      <c r="S247" s="38"/>
      <c r="T247" s="38"/>
      <c r="U247" s="27" t="s">
        <v>1353</v>
      </c>
      <c r="V247" s="144">
        <f>V246</f>
        <v>30</v>
      </c>
      <c r="W247" s="144"/>
      <c r="X247" s="144"/>
      <c r="Y247" s="39" t="s">
        <v>251</v>
      </c>
      <c r="AG247" s="27" t="s">
        <v>993</v>
      </c>
      <c r="AH247" s="145">
        <f>R247*V247^3/12</f>
        <v>225000</v>
      </c>
      <c r="AI247" s="145"/>
      <c r="AJ247" s="145"/>
      <c r="AK247" s="145"/>
      <c r="AL247" s="145"/>
      <c r="AM247" s="29" t="s">
        <v>252</v>
      </c>
    </row>
    <row r="248" spans="1:39" ht="19.5" customHeight="1">
      <c r="A248" s="4"/>
      <c r="B248" s="4"/>
      <c r="C248" s="4"/>
      <c r="D248" s="4" t="s">
        <v>941</v>
      </c>
      <c r="E248" s="4"/>
      <c r="F248" s="4"/>
      <c r="G248" s="4"/>
      <c r="H248" s="4"/>
      <c r="I248" s="4"/>
      <c r="J248" s="4"/>
      <c r="K248" s="4" t="s">
        <v>253</v>
      </c>
      <c r="L248" s="4"/>
      <c r="AG248" s="27" t="s">
        <v>254</v>
      </c>
      <c r="AH248" s="261">
        <f>AA241/10</f>
        <v>5</v>
      </c>
      <c r="AI248" s="261"/>
      <c r="AJ248" s="261"/>
      <c r="AK248" s="261"/>
      <c r="AL248" s="261"/>
      <c r="AM248" s="29" t="s">
        <v>255</v>
      </c>
    </row>
    <row r="249" spans="1:39" ht="19.5" customHeight="1">
      <c r="A249" s="4"/>
      <c r="B249" s="4"/>
      <c r="C249" s="4"/>
      <c r="D249" s="4" t="s">
        <v>942</v>
      </c>
      <c r="E249" s="4"/>
      <c r="F249" s="4"/>
      <c r="G249" s="4"/>
      <c r="H249" s="4"/>
      <c r="I249" s="4"/>
      <c r="J249" s="4"/>
      <c r="K249" s="4" t="s">
        <v>952</v>
      </c>
      <c r="L249" s="4"/>
      <c r="Q249" s="27" t="s">
        <v>256</v>
      </c>
      <c r="R249" s="38">
        <f>AH247</f>
        <v>225000</v>
      </c>
      <c r="S249" s="38"/>
      <c r="T249" s="38"/>
      <c r="U249" s="42"/>
      <c r="V249" s="42"/>
      <c r="W249" s="39" t="s">
        <v>257</v>
      </c>
      <c r="X249" s="27" t="s">
        <v>258</v>
      </c>
      <c r="Y249" s="38">
        <f>-V246</f>
        <v>-30</v>
      </c>
      <c r="Z249" s="38"/>
      <c r="AA249" s="38"/>
      <c r="AB249" s="39" t="s">
        <v>259</v>
      </c>
      <c r="AG249" s="27" t="s">
        <v>256</v>
      </c>
      <c r="AH249" s="145">
        <f>R249/(Y249/2)</f>
        <v>-15000</v>
      </c>
      <c r="AI249" s="145"/>
      <c r="AJ249" s="145"/>
      <c r="AK249" s="145"/>
      <c r="AL249" s="145"/>
      <c r="AM249" s="29" t="s">
        <v>260</v>
      </c>
    </row>
    <row r="250" spans="1:39" ht="19.5" customHeight="1">
      <c r="A250" s="4"/>
      <c r="B250" s="4"/>
      <c r="C250" s="4"/>
      <c r="D250" s="4"/>
      <c r="E250" s="4"/>
      <c r="F250" s="4"/>
      <c r="G250" s="4"/>
      <c r="H250" s="4"/>
      <c r="I250" s="4"/>
      <c r="J250" s="4"/>
      <c r="K250" s="4" t="s">
        <v>953</v>
      </c>
      <c r="L250" s="4"/>
      <c r="Q250" s="27" t="s">
        <v>256</v>
      </c>
      <c r="R250" s="38">
        <f>AH247</f>
        <v>225000</v>
      </c>
      <c r="S250" s="38"/>
      <c r="T250" s="38"/>
      <c r="U250" s="42"/>
      <c r="V250" s="42"/>
      <c r="W250" s="39" t="s">
        <v>257</v>
      </c>
      <c r="X250" s="27" t="s">
        <v>258</v>
      </c>
      <c r="Y250" s="38">
        <f>V246</f>
        <v>30</v>
      </c>
      <c r="Z250" s="38"/>
      <c r="AA250" s="38"/>
      <c r="AB250" s="39" t="s">
        <v>259</v>
      </c>
      <c r="AG250" s="27" t="s">
        <v>256</v>
      </c>
      <c r="AH250" s="145">
        <f>R250/(Y250/2)</f>
        <v>15000</v>
      </c>
      <c r="AI250" s="145"/>
      <c r="AJ250" s="145"/>
      <c r="AK250" s="145"/>
      <c r="AL250" s="145"/>
      <c r="AM250" s="29" t="s">
        <v>260</v>
      </c>
    </row>
    <row r="251" spans="1:39" ht="19.5" customHeight="1">
      <c r="A251" s="4"/>
      <c r="B251" s="4"/>
      <c r="C251" s="4"/>
      <c r="D251" s="4"/>
      <c r="E251" s="4"/>
      <c r="F251" s="4"/>
      <c r="G251" s="4"/>
      <c r="H251" s="4"/>
      <c r="I251" s="4"/>
      <c r="J251" s="4"/>
      <c r="K251" s="4" t="s">
        <v>954</v>
      </c>
      <c r="L251" s="4"/>
      <c r="Q251" s="27" t="s">
        <v>256</v>
      </c>
      <c r="R251" s="38">
        <f>AH247</f>
        <v>225000</v>
      </c>
      <c r="S251" s="38"/>
      <c r="T251" s="38"/>
      <c r="U251" s="42"/>
      <c r="V251" s="42"/>
      <c r="W251" s="39" t="s">
        <v>257</v>
      </c>
      <c r="X251" s="38">
        <f>AH248</f>
        <v>5</v>
      </c>
      <c r="Y251" s="38"/>
      <c r="Z251" s="38"/>
      <c r="AB251" s="39"/>
      <c r="AG251" s="27" t="s">
        <v>256</v>
      </c>
      <c r="AH251" s="145">
        <f>R251/X251</f>
        <v>45000</v>
      </c>
      <c r="AI251" s="145"/>
      <c r="AJ251" s="145"/>
      <c r="AK251" s="145"/>
      <c r="AL251" s="145"/>
      <c r="AM251" s="29" t="s">
        <v>260</v>
      </c>
    </row>
    <row r="252" spans="1:38" ht="19.5" customHeight="1">
      <c r="A252" s="4"/>
      <c r="B252" s="4"/>
      <c r="C252" s="4"/>
      <c r="D252" s="4"/>
      <c r="E252" s="4"/>
      <c r="F252" s="4"/>
      <c r="G252" s="4"/>
      <c r="H252" s="4"/>
      <c r="I252" s="4"/>
      <c r="J252" s="4"/>
      <c r="K252" s="4"/>
      <c r="L252" s="4"/>
      <c r="R252" s="38"/>
      <c r="S252" s="38"/>
      <c r="T252" s="38"/>
      <c r="U252" s="42"/>
      <c r="V252" s="42"/>
      <c r="W252" s="39"/>
      <c r="X252" s="38"/>
      <c r="Y252" s="38"/>
      <c r="Z252" s="38"/>
      <c r="AB252" s="39"/>
      <c r="AH252" s="145"/>
      <c r="AI252" s="145"/>
      <c r="AJ252" s="145"/>
      <c r="AK252" s="145"/>
      <c r="AL252" s="145"/>
    </row>
    <row r="253" spans="1:29" ht="19.5" customHeight="1">
      <c r="A253" s="4"/>
      <c r="B253" s="4"/>
      <c r="C253" s="4" t="s">
        <v>943</v>
      </c>
      <c r="E253" s="4"/>
      <c r="G253" s="4"/>
      <c r="H253" s="4"/>
      <c r="I253" s="4"/>
      <c r="J253" s="4"/>
      <c r="K253" s="4"/>
      <c r="L253" s="4"/>
      <c r="Q253" s="39"/>
      <c r="AC253" s="107"/>
    </row>
    <row r="254" spans="2:44" ht="19.5" customHeight="1">
      <c r="B254" s="4"/>
      <c r="C254" s="4"/>
      <c r="D254" s="4"/>
      <c r="E254" s="27" t="s">
        <v>939</v>
      </c>
      <c r="G254" s="301">
        <v>19</v>
      </c>
      <c r="H254" s="301"/>
      <c r="I254" s="27" t="s">
        <v>241</v>
      </c>
      <c r="K254" s="330">
        <v>125</v>
      </c>
      <c r="L254" s="330"/>
      <c r="M254" s="27" t="s">
        <v>242</v>
      </c>
      <c r="O254" s="4"/>
      <c r="P254" s="4"/>
      <c r="Q254" s="4"/>
      <c r="R254" s="4"/>
      <c r="S254" s="4"/>
      <c r="T254" s="4"/>
      <c r="U254" s="4"/>
      <c r="W254" s="47"/>
      <c r="X254" s="47"/>
      <c r="AE254" s="27" t="s">
        <v>947</v>
      </c>
      <c r="AH254" s="27"/>
      <c r="AN254" s="27"/>
      <c r="AO254" s="27"/>
      <c r="AQ254" s="29"/>
      <c r="AR254" s="36"/>
    </row>
    <row r="255" spans="2:44" ht="19.5" customHeight="1">
      <c r="B255" s="4"/>
      <c r="C255" s="4"/>
      <c r="D255" s="4"/>
      <c r="G255" s="27" t="s">
        <v>261</v>
      </c>
      <c r="I255" s="237">
        <f>IF(G254=13,126.7,IF(G254=16,198.6,IF(G254=19,286.5,IF(G254=22,387.1,IF(G254=25,506.7,IF(G254=29,642.4,"ERROR"))))))*1000/K254</f>
        <v>2292</v>
      </c>
      <c r="J255" s="237"/>
      <c r="K255" s="237"/>
      <c r="L255" s="27" t="s">
        <v>262</v>
      </c>
      <c r="O255" s="79">
        <v>40</v>
      </c>
      <c r="P255" s="4"/>
      <c r="Q255" s="4"/>
      <c r="R255" s="4"/>
      <c r="S255" s="4"/>
      <c r="T255" s="4"/>
      <c r="U255" s="4"/>
      <c r="AA255" s="369">
        <v>100</v>
      </c>
      <c r="AC255" s="300">
        <v>380</v>
      </c>
      <c r="AE255" s="264">
        <f>AE240</f>
        <v>1</v>
      </c>
      <c r="AF255" s="264"/>
      <c r="AG255" s="35" t="s">
        <v>263</v>
      </c>
      <c r="AH255" s="265">
        <f>AH240</f>
        <v>12.7</v>
      </c>
      <c r="AI255" s="265"/>
      <c r="AJ255" s="27" t="s">
        <v>264</v>
      </c>
      <c r="AK255" s="27"/>
      <c r="AL255" s="236">
        <f>AL240</f>
        <v>125</v>
      </c>
      <c r="AM255" s="236"/>
      <c r="AN255" s="27" t="s">
        <v>265</v>
      </c>
      <c r="AO255" s="27"/>
      <c r="AQ255" s="29"/>
      <c r="AR255" s="36"/>
    </row>
    <row r="256" spans="2:43" ht="19.5" customHeight="1">
      <c r="B256" s="4"/>
      <c r="C256" s="4"/>
      <c r="D256" s="4"/>
      <c r="E256" s="4"/>
      <c r="O256" s="79">
        <f>AC255-O255-O257</f>
        <v>300</v>
      </c>
      <c r="P256" s="4"/>
      <c r="Q256" s="4"/>
      <c r="R256" s="4"/>
      <c r="S256" s="4"/>
      <c r="T256" s="4"/>
      <c r="U256" s="4"/>
      <c r="AB256" s="107">
        <f>AC255/2-AA255</f>
        <v>90</v>
      </c>
      <c r="AC256" s="300"/>
      <c r="AE256" s="27" t="s">
        <v>266</v>
      </c>
      <c r="AG256" s="237">
        <f>AG241</f>
        <v>2503.2</v>
      </c>
      <c r="AH256" s="237"/>
      <c r="AI256" s="237"/>
      <c r="AJ256" s="27" t="s">
        <v>262</v>
      </c>
      <c r="AK256" s="27"/>
      <c r="AL256" s="27"/>
      <c r="AM256" s="27"/>
      <c r="AN256" s="27"/>
      <c r="AO256" s="27"/>
      <c r="AQ256" s="29"/>
    </row>
    <row r="257" spans="2:43" ht="19.5" customHeight="1">
      <c r="B257" s="4"/>
      <c r="C257" s="4"/>
      <c r="D257" s="4"/>
      <c r="E257" s="4"/>
      <c r="O257" s="79">
        <v>40</v>
      </c>
      <c r="P257" s="4"/>
      <c r="Q257" s="4"/>
      <c r="R257" s="4"/>
      <c r="S257" s="4"/>
      <c r="T257" s="4"/>
      <c r="AH257" s="27"/>
      <c r="AI257" s="27"/>
      <c r="AJ257" s="27"/>
      <c r="AK257" s="27"/>
      <c r="AL257" s="27"/>
      <c r="AM257" s="27"/>
      <c r="AN257" s="27"/>
      <c r="AO257" s="27"/>
      <c r="AQ257" s="29"/>
    </row>
    <row r="258" spans="2:44" ht="19.5" customHeight="1">
      <c r="B258" s="4"/>
      <c r="C258" s="4"/>
      <c r="D258" s="4"/>
      <c r="E258" s="4"/>
      <c r="O258" s="4"/>
      <c r="P258" s="4"/>
      <c r="Q258" s="4"/>
      <c r="R258" s="4"/>
      <c r="S258" s="4"/>
      <c r="T258" s="4"/>
      <c r="U258" s="256">
        <v>1000</v>
      </c>
      <c r="V258" s="256"/>
      <c r="W258" s="256"/>
      <c r="AH258" s="27"/>
      <c r="AI258" s="27"/>
      <c r="AJ258" s="27"/>
      <c r="AK258" s="27"/>
      <c r="AL258" s="27"/>
      <c r="AM258" s="27"/>
      <c r="AN258" s="27"/>
      <c r="AO258" s="27"/>
      <c r="AQ258" s="29"/>
      <c r="AR258" s="29"/>
    </row>
    <row r="259" spans="1:44" ht="19.5" customHeight="1">
      <c r="A259" s="4"/>
      <c r="B259" s="4"/>
      <c r="C259" s="4"/>
      <c r="D259" s="4"/>
      <c r="E259" s="4"/>
      <c r="O259" s="4"/>
      <c r="P259" s="4"/>
      <c r="Q259" s="4"/>
      <c r="R259" s="4"/>
      <c r="S259" s="4"/>
      <c r="T259" s="4"/>
      <c r="U259" s="4"/>
      <c r="W259" s="27" t="s">
        <v>939</v>
      </c>
      <c r="Y259" s="301">
        <v>19</v>
      </c>
      <c r="Z259" s="301"/>
      <c r="AA259" s="27" t="s">
        <v>241</v>
      </c>
      <c r="AC259" s="330">
        <v>250</v>
      </c>
      <c r="AD259" s="330"/>
      <c r="AE259" s="27" t="s">
        <v>242</v>
      </c>
      <c r="AG259" s="27" t="s">
        <v>243</v>
      </c>
      <c r="AH259" s="27"/>
      <c r="AI259" s="237">
        <f>IF(Y259=13,126.7,IF(Y259=16,198.6,IF(Y259=19,286.5,IF(Y259=22,387.1,IF(Y259=25,506.7,IF(Y259=29,642.4,"ERROR"))))))*1000/AC259</f>
        <v>1146</v>
      </c>
      <c r="AJ259" s="237"/>
      <c r="AK259" s="237"/>
      <c r="AL259" s="27" t="s">
        <v>244</v>
      </c>
      <c r="AM259" s="27"/>
      <c r="AN259" s="27"/>
      <c r="AO259" s="27"/>
      <c r="AQ259" s="29"/>
      <c r="AR259" s="29"/>
    </row>
    <row r="260" spans="1:44" ht="19.5" customHeight="1">
      <c r="A260" s="4"/>
      <c r="B260" s="4"/>
      <c r="C260" s="4"/>
      <c r="D260" s="4"/>
      <c r="E260" s="4"/>
      <c r="O260" s="4"/>
      <c r="P260" s="4"/>
      <c r="Q260" s="4"/>
      <c r="R260" s="4"/>
      <c r="S260" s="4"/>
      <c r="T260" s="4"/>
      <c r="U260" s="4"/>
      <c r="Y260" s="163"/>
      <c r="Z260" s="163"/>
      <c r="AC260" s="35"/>
      <c r="AD260" s="35"/>
      <c r="AH260" s="27"/>
      <c r="AI260" s="44"/>
      <c r="AJ260" s="44"/>
      <c r="AK260" s="44"/>
      <c r="AL260" s="27"/>
      <c r="AM260" s="27"/>
      <c r="AN260" s="27"/>
      <c r="AO260" s="27"/>
      <c r="AQ260" s="29"/>
      <c r="AR260" s="29"/>
    </row>
    <row r="261" spans="1:39" ht="19.5" customHeight="1">
      <c r="A261" s="4"/>
      <c r="C261" s="4"/>
      <c r="D261" s="4"/>
      <c r="E261" s="4" t="s">
        <v>948</v>
      </c>
      <c r="F261" s="4"/>
      <c r="G261" s="4"/>
      <c r="H261" s="4"/>
      <c r="I261" s="4"/>
      <c r="J261" s="4"/>
      <c r="K261" s="4" t="s">
        <v>267</v>
      </c>
      <c r="L261" s="4"/>
      <c r="Q261" s="27" t="s">
        <v>268</v>
      </c>
      <c r="R261" s="38">
        <v>100</v>
      </c>
      <c r="S261" s="38"/>
      <c r="T261" s="38"/>
      <c r="U261" s="27" t="s">
        <v>269</v>
      </c>
      <c r="V261" s="38">
        <f>AC255/10</f>
        <v>38</v>
      </c>
      <c r="W261" s="38"/>
      <c r="X261" s="38"/>
      <c r="AG261" s="27" t="s">
        <v>268</v>
      </c>
      <c r="AH261" s="261">
        <f>R261*V261</f>
        <v>3800</v>
      </c>
      <c r="AI261" s="261"/>
      <c r="AJ261" s="261"/>
      <c r="AK261" s="261"/>
      <c r="AL261" s="261"/>
      <c r="AM261" s="29" t="s">
        <v>270</v>
      </c>
    </row>
    <row r="262" spans="1:39" ht="19.5" customHeight="1">
      <c r="A262" s="4"/>
      <c r="C262" s="4"/>
      <c r="D262" s="4"/>
      <c r="E262" s="4" t="s">
        <v>940</v>
      </c>
      <c r="F262" s="4"/>
      <c r="G262" s="4"/>
      <c r="H262" s="4"/>
      <c r="I262" s="4"/>
      <c r="J262" s="4"/>
      <c r="K262" s="4" t="s">
        <v>250</v>
      </c>
      <c r="L262" s="4"/>
      <c r="Q262" s="27" t="s">
        <v>993</v>
      </c>
      <c r="R262" s="38">
        <v>100</v>
      </c>
      <c r="S262" s="38"/>
      <c r="T262" s="38"/>
      <c r="U262" s="27" t="s">
        <v>1353</v>
      </c>
      <c r="V262" s="144">
        <f>V261</f>
        <v>38</v>
      </c>
      <c r="W262" s="144"/>
      <c r="X262" s="144"/>
      <c r="Y262" s="39" t="s">
        <v>251</v>
      </c>
      <c r="AG262" s="27" t="s">
        <v>993</v>
      </c>
      <c r="AH262" s="145">
        <f>R262*V262^3/12</f>
        <v>457266.6666666667</v>
      </c>
      <c r="AI262" s="145"/>
      <c r="AJ262" s="145"/>
      <c r="AK262" s="145"/>
      <c r="AL262" s="145"/>
      <c r="AM262" s="29" t="s">
        <v>252</v>
      </c>
    </row>
    <row r="263" spans="1:39" ht="19.5" customHeight="1">
      <c r="A263" s="4"/>
      <c r="C263" s="4"/>
      <c r="D263" s="4"/>
      <c r="E263" s="4" t="s">
        <v>949</v>
      </c>
      <c r="F263" s="4"/>
      <c r="G263" s="4"/>
      <c r="H263" s="4"/>
      <c r="I263" s="4"/>
      <c r="J263" s="4"/>
      <c r="K263" s="4" t="s">
        <v>253</v>
      </c>
      <c r="L263" s="4"/>
      <c r="AG263" s="27" t="s">
        <v>254</v>
      </c>
      <c r="AH263" s="261">
        <f>-AB256/10</f>
        <v>-9</v>
      </c>
      <c r="AI263" s="261"/>
      <c r="AJ263" s="261"/>
      <c r="AK263" s="261"/>
      <c r="AL263" s="261"/>
      <c r="AM263" s="29" t="s">
        <v>255</v>
      </c>
    </row>
    <row r="264" spans="1:39" ht="19.5" customHeight="1">
      <c r="A264" s="4"/>
      <c r="C264" s="4"/>
      <c r="D264" s="4"/>
      <c r="E264" s="4" t="s">
        <v>942</v>
      </c>
      <c r="F264" s="4"/>
      <c r="G264" s="4"/>
      <c r="H264" s="4"/>
      <c r="I264" s="4"/>
      <c r="J264" s="4"/>
      <c r="K264" s="4" t="s">
        <v>952</v>
      </c>
      <c r="L264" s="4"/>
      <c r="Q264" s="27" t="s">
        <v>256</v>
      </c>
      <c r="R264" s="38">
        <f>AH262</f>
        <v>457266.6666666667</v>
      </c>
      <c r="S264" s="38"/>
      <c r="T264" s="38"/>
      <c r="U264" s="42"/>
      <c r="V264" s="42"/>
      <c r="W264" s="39" t="s">
        <v>257</v>
      </c>
      <c r="X264" s="27" t="s">
        <v>258</v>
      </c>
      <c r="Y264" s="38">
        <f>-V261</f>
        <v>-38</v>
      </c>
      <c r="Z264" s="38"/>
      <c r="AA264" s="38"/>
      <c r="AB264" s="39" t="s">
        <v>259</v>
      </c>
      <c r="AG264" s="27" t="s">
        <v>256</v>
      </c>
      <c r="AH264" s="145">
        <f>R264/(Y264/2)</f>
        <v>-24066.666666666668</v>
      </c>
      <c r="AI264" s="145"/>
      <c r="AJ264" s="145"/>
      <c r="AK264" s="145"/>
      <c r="AL264" s="145"/>
      <c r="AM264" s="29" t="s">
        <v>260</v>
      </c>
    </row>
    <row r="265" spans="1:39" ht="19.5" customHeight="1">
      <c r="A265" s="4"/>
      <c r="B265" s="4"/>
      <c r="C265" s="4"/>
      <c r="D265" s="4"/>
      <c r="E265" s="4"/>
      <c r="F265" s="4"/>
      <c r="G265" s="4"/>
      <c r="H265" s="4"/>
      <c r="I265" s="4"/>
      <c r="J265" s="4"/>
      <c r="K265" s="4" t="s">
        <v>953</v>
      </c>
      <c r="L265" s="4"/>
      <c r="Q265" s="27" t="s">
        <v>256</v>
      </c>
      <c r="R265" s="38">
        <f>AH262</f>
        <v>457266.6666666667</v>
      </c>
      <c r="S265" s="38"/>
      <c r="T265" s="38"/>
      <c r="U265" s="42"/>
      <c r="V265" s="42"/>
      <c r="W265" s="39" t="s">
        <v>257</v>
      </c>
      <c r="X265" s="27" t="s">
        <v>258</v>
      </c>
      <c r="Y265" s="38">
        <f>V261</f>
        <v>38</v>
      </c>
      <c r="Z265" s="38"/>
      <c r="AA265" s="38"/>
      <c r="AB265" s="39" t="s">
        <v>259</v>
      </c>
      <c r="AG265" s="27" t="s">
        <v>256</v>
      </c>
      <c r="AH265" s="145">
        <f>R265/(Y265/2)</f>
        <v>24066.666666666668</v>
      </c>
      <c r="AI265" s="145"/>
      <c r="AJ265" s="145"/>
      <c r="AK265" s="145"/>
      <c r="AL265" s="145"/>
      <c r="AM265" s="29" t="s">
        <v>260</v>
      </c>
    </row>
    <row r="266" spans="1:39" ht="19.5" customHeight="1">
      <c r="A266" s="4"/>
      <c r="B266" s="4"/>
      <c r="C266" s="4"/>
      <c r="D266" s="4"/>
      <c r="E266" s="4"/>
      <c r="F266" s="4"/>
      <c r="G266" s="4"/>
      <c r="H266" s="4"/>
      <c r="I266" s="4"/>
      <c r="J266" s="4"/>
      <c r="K266" s="4" t="s">
        <v>954</v>
      </c>
      <c r="L266" s="4"/>
      <c r="Q266" s="27" t="s">
        <v>256</v>
      </c>
      <c r="R266" s="38">
        <f>AH262</f>
        <v>457266.6666666667</v>
      </c>
      <c r="S266" s="38"/>
      <c r="T266" s="38"/>
      <c r="U266" s="42"/>
      <c r="V266" s="42"/>
      <c r="W266" s="39" t="s">
        <v>257</v>
      </c>
      <c r="X266" s="38">
        <f>AH263</f>
        <v>-9</v>
      </c>
      <c r="Y266" s="38"/>
      <c r="Z266" s="38"/>
      <c r="AB266" s="39"/>
      <c r="AG266" s="27" t="s">
        <v>256</v>
      </c>
      <c r="AH266" s="145">
        <f>R266/X266</f>
        <v>-50807.40740740741</v>
      </c>
      <c r="AI266" s="145"/>
      <c r="AJ266" s="145"/>
      <c r="AK266" s="145"/>
      <c r="AL266" s="145"/>
      <c r="AM266" s="29" t="s">
        <v>260</v>
      </c>
    </row>
    <row r="267" spans="1:12" ht="19.5" customHeight="1">
      <c r="A267" s="4"/>
      <c r="B267" s="4"/>
      <c r="C267" s="4"/>
      <c r="D267" s="4"/>
      <c r="E267" s="4"/>
      <c r="F267" s="4"/>
      <c r="G267" s="4"/>
      <c r="H267" s="4"/>
      <c r="I267" s="4"/>
      <c r="J267" s="4"/>
      <c r="K267" s="4"/>
      <c r="L267" s="4"/>
    </row>
    <row r="268" spans="2:12" ht="19.5" customHeight="1">
      <c r="B268" s="4" t="s">
        <v>950</v>
      </c>
      <c r="C268" s="4"/>
      <c r="D268" s="4"/>
      <c r="E268" s="4"/>
      <c r="F268" s="4"/>
      <c r="G268" s="4"/>
      <c r="H268" s="4"/>
      <c r="I268" s="4"/>
      <c r="J268" s="4"/>
      <c r="K268" s="4"/>
      <c r="L268" s="4"/>
    </row>
    <row r="269" spans="2:30" ht="19.5" customHeight="1">
      <c r="B269" s="4"/>
      <c r="C269" s="4" t="s">
        <v>1064</v>
      </c>
      <c r="D269" s="4"/>
      <c r="E269" s="4"/>
      <c r="F269" s="4"/>
      <c r="G269" s="4"/>
      <c r="H269" s="4"/>
      <c r="I269" s="4"/>
      <c r="J269" s="4"/>
      <c r="K269" s="4"/>
      <c r="L269" s="4"/>
      <c r="AD269" s="27" t="s">
        <v>955</v>
      </c>
    </row>
    <row r="270" spans="2:12" ht="19.5" customHeight="1">
      <c r="B270" s="4"/>
      <c r="C270" s="4" t="s">
        <v>1013</v>
      </c>
      <c r="D270" s="4"/>
      <c r="E270" s="4"/>
      <c r="F270" s="4"/>
      <c r="G270" s="4"/>
      <c r="H270" s="4"/>
      <c r="I270" s="4"/>
      <c r="J270" s="4"/>
      <c r="K270" s="4"/>
      <c r="L270" s="4"/>
    </row>
    <row r="271" spans="1:25" ht="19.5" customHeight="1">
      <c r="A271" s="4"/>
      <c r="C271" s="4"/>
      <c r="D271" s="183" t="s">
        <v>1372</v>
      </c>
      <c r="E271" s="183"/>
      <c r="F271" s="183"/>
      <c r="G271" s="183"/>
      <c r="H271" s="183"/>
      <c r="I271" s="183"/>
      <c r="J271" s="183"/>
      <c r="K271" s="183"/>
      <c r="L271" s="183"/>
      <c r="M271" s="183"/>
      <c r="N271" s="183" t="s">
        <v>1004</v>
      </c>
      <c r="O271" s="183"/>
      <c r="P271" s="183"/>
      <c r="Q271" s="183"/>
      <c r="R271" s="183" t="s">
        <v>1005</v>
      </c>
      <c r="S271" s="183"/>
      <c r="T271" s="183"/>
      <c r="U271" s="183"/>
      <c r="V271" s="183" t="s">
        <v>1006</v>
      </c>
      <c r="W271" s="183"/>
      <c r="X271" s="183"/>
      <c r="Y271" s="183"/>
    </row>
    <row r="272" spans="1:56" ht="19.5" customHeight="1">
      <c r="A272" s="4"/>
      <c r="D272" s="183" t="s">
        <v>1065</v>
      </c>
      <c r="E272" s="183"/>
      <c r="F272" s="183"/>
      <c r="G272" s="183"/>
      <c r="H272" s="183"/>
      <c r="I272" s="183"/>
      <c r="J272" s="204" t="s">
        <v>1008</v>
      </c>
      <c r="K272" s="204"/>
      <c r="L272" s="204"/>
      <c r="M272" s="204"/>
      <c r="N272" s="190">
        <f>T206*1000/$AH$264</f>
        <v>1.0345013850415512</v>
      </c>
      <c r="O272" s="190"/>
      <c r="P272" s="190"/>
      <c r="Q272" s="190"/>
      <c r="R272" s="190">
        <f>X206*1000/$AH$249</f>
        <v>-0.6583333333333333</v>
      </c>
      <c r="S272" s="190"/>
      <c r="T272" s="190"/>
      <c r="U272" s="190"/>
      <c r="V272" s="190">
        <f>AB206*1000/$AH$264</f>
        <v>1.0345013850415512</v>
      </c>
      <c r="W272" s="190"/>
      <c r="X272" s="190"/>
      <c r="Y272" s="190"/>
      <c r="BD272" s="4"/>
    </row>
    <row r="273" spans="1:56" ht="19.5" customHeight="1">
      <c r="A273" s="4"/>
      <c r="D273" s="183"/>
      <c r="E273" s="183"/>
      <c r="F273" s="183"/>
      <c r="G273" s="183"/>
      <c r="H273" s="183"/>
      <c r="I273" s="183"/>
      <c r="J273" s="204" t="s">
        <v>1010</v>
      </c>
      <c r="K273" s="204"/>
      <c r="L273" s="204"/>
      <c r="M273" s="204"/>
      <c r="N273" s="190">
        <f>T206*1000/$AH$265</f>
        <v>-1.0345013850415512</v>
      </c>
      <c r="O273" s="190"/>
      <c r="P273" s="190"/>
      <c r="Q273" s="190"/>
      <c r="R273" s="190">
        <f>X206*1000/$AH$250</f>
        <v>0.6583333333333333</v>
      </c>
      <c r="S273" s="190"/>
      <c r="T273" s="190"/>
      <c r="U273" s="190"/>
      <c r="V273" s="190">
        <f>AB206*1000/$AH$265</f>
        <v>-1.0345013850415512</v>
      </c>
      <c r="W273" s="190"/>
      <c r="X273" s="190"/>
      <c r="Y273" s="190"/>
      <c r="BD273" s="4"/>
    </row>
    <row r="274" spans="1:56" ht="19.5" customHeight="1">
      <c r="A274" s="4"/>
      <c r="D274" s="183"/>
      <c r="E274" s="183"/>
      <c r="F274" s="183"/>
      <c r="G274" s="183"/>
      <c r="H274" s="183"/>
      <c r="I274" s="183"/>
      <c r="J274" s="204" t="s">
        <v>1012</v>
      </c>
      <c r="K274" s="204"/>
      <c r="L274" s="204"/>
      <c r="M274" s="204"/>
      <c r="N274" s="190">
        <f>T206*1000/$AH$266</f>
        <v>0.4900269718617874</v>
      </c>
      <c r="O274" s="190"/>
      <c r="P274" s="190"/>
      <c r="Q274" s="190"/>
      <c r="R274" s="190">
        <f>X206*1000/$AH$251</f>
        <v>0.21944444444444444</v>
      </c>
      <c r="S274" s="190"/>
      <c r="T274" s="190"/>
      <c r="U274" s="190"/>
      <c r="V274" s="190">
        <f>AB206*1000/$AH$266</f>
        <v>0.4900269718617874</v>
      </c>
      <c r="W274" s="190"/>
      <c r="X274" s="190"/>
      <c r="Y274" s="190"/>
      <c r="BD274" s="4"/>
    </row>
    <row r="275" spans="1:56" ht="19.5" customHeight="1">
      <c r="A275" s="4"/>
      <c r="D275" s="183" t="s">
        <v>1007</v>
      </c>
      <c r="E275" s="183"/>
      <c r="F275" s="183"/>
      <c r="G275" s="183"/>
      <c r="H275" s="183"/>
      <c r="I275" s="183"/>
      <c r="J275" s="204" t="s">
        <v>1008</v>
      </c>
      <c r="K275" s="204"/>
      <c r="L275" s="204"/>
      <c r="M275" s="204"/>
      <c r="N275" s="190">
        <f>T207*1000/$AH$264</f>
        <v>0.14933518005540167</v>
      </c>
      <c r="O275" s="190"/>
      <c r="P275" s="190"/>
      <c r="Q275" s="190"/>
      <c r="R275" s="190">
        <f>X207*1000/$AH$249</f>
        <v>-0.16073333333333334</v>
      </c>
      <c r="S275" s="190"/>
      <c r="T275" s="190"/>
      <c r="U275" s="190"/>
      <c r="V275" s="190">
        <f>AB207*1000/$AH$264</f>
        <v>0.14933518005540167</v>
      </c>
      <c r="W275" s="190"/>
      <c r="X275" s="190"/>
      <c r="Y275" s="190"/>
      <c r="BD275" s="4"/>
    </row>
    <row r="276" spans="1:56" ht="19.5" customHeight="1">
      <c r="A276" s="4"/>
      <c r="D276" s="183"/>
      <c r="E276" s="183"/>
      <c r="F276" s="183"/>
      <c r="G276" s="183"/>
      <c r="H276" s="183"/>
      <c r="I276" s="183"/>
      <c r="J276" s="204" t="s">
        <v>1010</v>
      </c>
      <c r="K276" s="204"/>
      <c r="L276" s="204"/>
      <c r="M276" s="204"/>
      <c r="N276" s="190">
        <f>T207*1000/$AH$265</f>
        <v>-0.14933518005540167</v>
      </c>
      <c r="O276" s="190"/>
      <c r="P276" s="190"/>
      <c r="Q276" s="190"/>
      <c r="R276" s="190">
        <f>X207*1000/$AH$250</f>
        <v>0.16073333333333334</v>
      </c>
      <c r="S276" s="190"/>
      <c r="T276" s="190"/>
      <c r="U276" s="190"/>
      <c r="V276" s="190">
        <f>AB207*1000/$AH$265</f>
        <v>-0.14933518005540167</v>
      </c>
      <c r="W276" s="190"/>
      <c r="X276" s="190"/>
      <c r="Y276" s="190"/>
      <c r="BD276" s="4"/>
    </row>
    <row r="277" spans="1:56" ht="19.5" customHeight="1">
      <c r="A277" s="4"/>
      <c r="D277" s="183"/>
      <c r="E277" s="183"/>
      <c r="F277" s="183"/>
      <c r="G277" s="183"/>
      <c r="H277" s="183"/>
      <c r="I277" s="183"/>
      <c r="J277" s="204" t="s">
        <v>1012</v>
      </c>
      <c r="K277" s="204"/>
      <c r="L277" s="204"/>
      <c r="M277" s="204"/>
      <c r="N277" s="190">
        <f>T207*1000/$AH$266</f>
        <v>0.07073771686834815</v>
      </c>
      <c r="O277" s="190"/>
      <c r="P277" s="190"/>
      <c r="Q277" s="190"/>
      <c r="R277" s="190">
        <f>X207*1000/$AH$251</f>
        <v>0.05357777777777778</v>
      </c>
      <c r="S277" s="190"/>
      <c r="T277" s="190"/>
      <c r="U277" s="190"/>
      <c r="V277" s="190">
        <f>AB207*1000/$AH$266</f>
        <v>0.07073771686834815</v>
      </c>
      <c r="W277" s="190"/>
      <c r="X277" s="190"/>
      <c r="Y277" s="190"/>
      <c r="BD277" s="4"/>
    </row>
    <row r="278" spans="1:56" ht="19.5" customHeight="1">
      <c r="A278" s="4"/>
      <c r="D278" s="183" t="s">
        <v>1066</v>
      </c>
      <c r="E278" s="183"/>
      <c r="F278" s="183"/>
      <c r="G278" s="183"/>
      <c r="H278" s="183"/>
      <c r="I278" s="183"/>
      <c r="J278" s="204" t="s">
        <v>1008</v>
      </c>
      <c r="K278" s="204"/>
      <c r="L278" s="204"/>
      <c r="M278" s="204"/>
      <c r="N278" s="190">
        <f>T208*1000/$AH$264</f>
        <v>0.5591551246537396</v>
      </c>
      <c r="O278" s="190"/>
      <c r="P278" s="190"/>
      <c r="Q278" s="190"/>
      <c r="R278" s="190">
        <f>X208*1000/$AH$249</f>
        <v>0</v>
      </c>
      <c r="S278" s="190"/>
      <c r="T278" s="190"/>
      <c r="U278" s="190"/>
      <c r="V278" s="190">
        <f>AB208*1000/$AH$264</f>
        <v>0.5591551246537396</v>
      </c>
      <c r="W278" s="190"/>
      <c r="X278" s="190"/>
      <c r="Y278" s="190"/>
      <c r="BD278" s="4"/>
    </row>
    <row r="279" spans="1:56" ht="19.5" customHeight="1">
      <c r="A279" s="4"/>
      <c r="D279" s="183"/>
      <c r="E279" s="183"/>
      <c r="F279" s="183"/>
      <c r="G279" s="183"/>
      <c r="H279" s="183"/>
      <c r="I279" s="183"/>
      <c r="J279" s="204" t="s">
        <v>1010</v>
      </c>
      <c r="K279" s="204"/>
      <c r="L279" s="204"/>
      <c r="M279" s="204"/>
      <c r="N279" s="190">
        <f>T208*1000/$AH$265</f>
        <v>-0.5591551246537396</v>
      </c>
      <c r="O279" s="190"/>
      <c r="P279" s="190"/>
      <c r="Q279" s="190"/>
      <c r="R279" s="190">
        <f>X208*1000/$AH$250</f>
        <v>0</v>
      </c>
      <c r="S279" s="190"/>
      <c r="T279" s="190"/>
      <c r="U279" s="190"/>
      <c r="V279" s="190">
        <f>AB208*1000/$AH$265</f>
        <v>-0.5591551246537396</v>
      </c>
      <c r="W279" s="190"/>
      <c r="X279" s="190"/>
      <c r="Y279" s="190"/>
      <c r="Z279" s="77"/>
      <c r="AA279" s="77"/>
      <c r="AB279" s="77"/>
      <c r="AC279" s="77"/>
      <c r="AD279" s="77"/>
      <c r="BD279" s="4"/>
    </row>
    <row r="280" spans="1:56" ht="19.5" customHeight="1">
      <c r="A280" s="4"/>
      <c r="D280" s="183"/>
      <c r="E280" s="183"/>
      <c r="F280" s="183"/>
      <c r="G280" s="183"/>
      <c r="H280" s="183"/>
      <c r="I280" s="183"/>
      <c r="J280" s="204" t="s">
        <v>1012</v>
      </c>
      <c r="K280" s="204"/>
      <c r="L280" s="204"/>
      <c r="M280" s="204"/>
      <c r="N280" s="190">
        <f>T208*1000/$AH$266</f>
        <v>0.26486295378335034</v>
      </c>
      <c r="O280" s="190"/>
      <c r="P280" s="190"/>
      <c r="Q280" s="190"/>
      <c r="R280" s="190">
        <f>X208*1000/$AH$251</f>
        <v>0</v>
      </c>
      <c r="S280" s="190"/>
      <c r="T280" s="190"/>
      <c r="U280" s="190"/>
      <c r="V280" s="190">
        <f>AB208*1000/$AH$266</f>
        <v>0.26486295378335034</v>
      </c>
      <c r="W280" s="190"/>
      <c r="X280" s="190"/>
      <c r="Y280" s="190"/>
      <c r="Z280" s="77"/>
      <c r="AA280" s="77"/>
      <c r="AB280" s="77"/>
      <c r="AC280" s="77"/>
      <c r="AD280" s="77"/>
      <c r="BD280" s="4"/>
    </row>
    <row r="281" spans="1:25" ht="19.5" customHeight="1">
      <c r="A281" s="4"/>
      <c r="B281" s="4" t="s">
        <v>271</v>
      </c>
      <c r="C281" s="4"/>
      <c r="D281" s="183" t="s">
        <v>1067</v>
      </c>
      <c r="E281" s="183"/>
      <c r="F281" s="183"/>
      <c r="G281" s="183"/>
      <c r="H281" s="183"/>
      <c r="I281" s="183"/>
      <c r="J281" s="204" t="s">
        <v>1008</v>
      </c>
      <c r="K281" s="204"/>
      <c r="L281" s="204"/>
      <c r="M281" s="204"/>
      <c r="N281" s="190">
        <f>N272+N275+N278</f>
        <v>1.7429916897506925</v>
      </c>
      <c r="O281" s="190"/>
      <c r="P281" s="190"/>
      <c r="Q281" s="190"/>
      <c r="R281" s="190">
        <f>R272+R275+R278</f>
        <v>-0.8190666666666666</v>
      </c>
      <c r="S281" s="190"/>
      <c r="T281" s="190"/>
      <c r="U281" s="190"/>
      <c r="V281" s="190">
        <f>V272+V275+V278</f>
        <v>1.7429916897506925</v>
      </c>
      <c r="W281" s="190"/>
      <c r="X281" s="190"/>
      <c r="Y281" s="190"/>
    </row>
    <row r="282" spans="1:25" ht="19.5" customHeight="1">
      <c r="A282" s="4"/>
      <c r="B282" s="4"/>
      <c r="C282" s="4"/>
      <c r="D282" s="183"/>
      <c r="E282" s="183"/>
      <c r="F282" s="183"/>
      <c r="G282" s="183"/>
      <c r="H282" s="183"/>
      <c r="I282" s="183"/>
      <c r="J282" s="204" t="s">
        <v>1010</v>
      </c>
      <c r="K282" s="204"/>
      <c r="L282" s="204"/>
      <c r="M282" s="204"/>
      <c r="N282" s="190">
        <f>N273+N276+N279</f>
        <v>-1.7429916897506925</v>
      </c>
      <c r="O282" s="190"/>
      <c r="P282" s="190"/>
      <c r="Q282" s="190"/>
      <c r="R282" s="190">
        <f>R273+R276+R279</f>
        <v>0.8190666666666666</v>
      </c>
      <c r="S282" s="190"/>
      <c r="T282" s="190"/>
      <c r="U282" s="190"/>
      <c r="V282" s="190">
        <f>V273+V276+V279</f>
        <v>-1.7429916897506925</v>
      </c>
      <c r="W282" s="190"/>
      <c r="X282" s="190"/>
      <c r="Y282" s="190"/>
    </row>
    <row r="283" spans="1:25" ht="19.5" customHeight="1">
      <c r="A283" s="4"/>
      <c r="B283" s="4"/>
      <c r="C283" s="4"/>
      <c r="D283" s="183"/>
      <c r="E283" s="183"/>
      <c r="F283" s="183"/>
      <c r="G283" s="183"/>
      <c r="H283" s="183"/>
      <c r="I283" s="183"/>
      <c r="J283" s="204" t="s">
        <v>1012</v>
      </c>
      <c r="K283" s="204"/>
      <c r="L283" s="204"/>
      <c r="M283" s="204"/>
      <c r="N283" s="190">
        <f>N274+N277+N280</f>
        <v>0.8256276425134859</v>
      </c>
      <c r="O283" s="190"/>
      <c r="P283" s="190"/>
      <c r="Q283" s="190"/>
      <c r="R283" s="190">
        <f>R274+R277+R280</f>
        <v>0.2730222222222222</v>
      </c>
      <c r="S283" s="190"/>
      <c r="T283" s="190"/>
      <c r="U283" s="190"/>
      <c r="V283" s="190">
        <f>V274+V277+V280</f>
        <v>0.8256276425134859</v>
      </c>
      <c r="W283" s="190"/>
      <c r="X283" s="190"/>
      <c r="Y283" s="190"/>
    </row>
    <row r="284" spans="1:25" ht="19.5" customHeight="1">
      <c r="A284" s="4"/>
      <c r="B284" s="4"/>
      <c r="C284" s="4"/>
      <c r="D284" s="4"/>
      <c r="F284" s="4"/>
      <c r="G284" s="4"/>
      <c r="H284" s="4"/>
      <c r="I284" s="4"/>
      <c r="J284" s="4"/>
      <c r="K284" s="4"/>
      <c r="L284" s="4"/>
      <c r="N284" s="146"/>
      <c r="O284" s="146"/>
      <c r="P284" s="146"/>
      <c r="Q284" s="146"/>
      <c r="R284" s="146"/>
      <c r="S284" s="146"/>
      <c r="T284" s="146"/>
      <c r="U284" s="146"/>
      <c r="V284" s="146"/>
      <c r="W284" s="146"/>
      <c r="X284" s="146"/>
      <c r="Y284" s="146"/>
    </row>
    <row r="285" spans="1:44" ht="19.5" customHeight="1">
      <c r="A285" s="4"/>
      <c r="C285" s="4"/>
      <c r="D285" s="183" t="s">
        <v>1068</v>
      </c>
      <c r="E285" s="183"/>
      <c r="F285" s="183"/>
      <c r="G285" s="183"/>
      <c r="H285" s="183"/>
      <c r="I285" s="183"/>
      <c r="J285" s="183"/>
      <c r="K285" s="183"/>
      <c r="L285" s="183"/>
      <c r="M285" s="183"/>
      <c r="N285" s="183" t="s">
        <v>1004</v>
      </c>
      <c r="O285" s="183"/>
      <c r="P285" s="183"/>
      <c r="Q285" s="183"/>
      <c r="R285" s="183" t="s">
        <v>1005</v>
      </c>
      <c r="S285" s="183"/>
      <c r="T285" s="183"/>
      <c r="U285" s="183"/>
      <c r="V285" s="183" t="s">
        <v>1006</v>
      </c>
      <c r="W285" s="183"/>
      <c r="X285" s="183"/>
      <c r="Y285" s="183"/>
      <c r="AR285" s="36"/>
    </row>
    <row r="286" spans="1:56" ht="19.5" customHeight="1">
      <c r="A286" s="4"/>
      <c r="D286" s="183" t="s">
        <v>1065</v>
      </c>
      <c r="E286" s="183"/>
      <c r="F286" s="183"/>
      <c r="G286" s="183"/>
      <c r="H286" s="183"/>
      <c r="I286" s="183"/>
      <c r="J286" s="204" t="s">
        <v>1008</v>
      </c>
      <c r="K286" s="204"/>
      <c r="L286" s="204"/>
      <c r="M286" s="204"/>
      <c r="N286" s="190">
        <f>T221*1000/$AH$264</f>
        <v>1.0345013850415512</v>
      </c>
      <c r="O286" s="190"/>
      <c r="P286" s="190"/>
      <c r="Q286" s="190"/>
      <c r="R286" s="190">
        <f>X221*1000/$AH$249</f>
        <v>-0.2541333333333333</v>
      </c>
      <c r="S286" s="190"/>
      <c r="T286" s="190"/>
      <c r="U286" s="190"/>
      <c r="V286" s="190">
        <f>AB221*1000/$AH$264</f>
        <v>1.0345013850415512</v>
      </c>
      <c r="W286" s="190"/>
      <c r="X286" s="190"/>
      <c r="Y286" s="190"/>
      <c r="BD286" s="4"/>
    </row>
    <row r="287" spans="1:56" ht="19.5" customHeight="1">
      <c r="A287" s="4"/>
      <c r="D287" s="183"/>
      <c r="E287" s="183"/>
      <c r="F287" s="183"/>
      <c r="G287" s="183"/>
      <c r="H287" s="183"/>
      <c r="I287" s="183"/>
      <c r="J287" s="204" t="s">
        <v>1010</v>
      </c>
      <c r="K287" s="204"/>
      <c r="L287" s="204"/>
      <c r="M287" s="204"/>
      <c r="N287" s="190">
        <f>T221*1000/$AH$265</f>
        <v>-1.0345013850415512</v>
      </c>
      <c r="O287" s="190"/>
      <c r="P287" s="190"/>
      <c r="Q287" s="190"/>
      <c r="R287" s="190">
        <f>X221*1000/$AH$250</f>
        <v>0.2541333333333333</v>
      </c>
      <c r="S287" s="190"/>
      <c r="T287" s="190"/>
      <c r="U287" s="190"/>
      <c r="V287" s="190">
        <f>AB221*1000/$AH$265</f>
        <v>-1.0345013850415512</v>
      </c>
      <c r="W287" s="190"/>
      <c r="X287" s="190"/>
      <c r="Y287" s="190"/>
      <c r="BD287" s="4"/>
    </row>
    <row r="288" spans="1:56" ht="19.5" customHeight="1">
      <c r="A288" s="4"/>
      <c r="D288" s="183"/>
      <c r="E288" s="183"/>
      <c r="F288" s="183"/>
      <c r="G288" s="183"/>
      <c r="H288" s="183"/>
      <c r="I288" s="183"/>
      <c r="J288" s="204" t="s">
        <v>1012</v>
      </c>
      <c r="K288" s="204"/>
      <c r="L288" s="204"/>
      <c r="M288" s="204"/>
      <c r="N288" s="190">
        <f>T221*1000/$AH$266</f>
        <v>0.4900269718617874</v>
      </c>
      <c r="O288" s="190"/>
      <c r="P288" s="190"/>
      <c r="Q288" s="190"/>
      <c r="R288" s="190">
        <f>X221*1000/$AH$251</f>
        <v>0.08471111111111111</v>
      </c>
      <c r="S288" s="190"/>
      <c r="T288" s="190"/>
      <c r="U288" s="190"/>
      <c r="V288" s="190">
        <f>AB221*1000/$AH$266</f>
        <v>0.4900269718617874</v>
      </c>
      <c r="W288" s="190"/>
      <c r="X288" s="190"/>
      <c r="Y288" s="190"/>
      <c r="BD288" s="4"/>
    </row>
    <row r="289" spans="1:56" ht="19.5" customHeight="1">
      <c r="A289" s="4"/>
      <c r="D289" s="183" t="s">
        <v>272</v>
      </c>
      <c r="E289" s="183"/>
      <c r="F289" s="183"/>
      <c r="G289" s="183"/>
      <c r="H289" s="183"/>
      <c r="I289" s="183"/>
      <c r="J289" s="204" t="s">
        <v>1008</v>
      </c>
      <c r="K289" s="204"/>
      <c r="L289" s="204"/>
      <c r="M289" s="204"/>
      <c r="N289" s="190">
        <f>T222*1000/$AH$264</f>
        <v>0.14933518005540167</v>
      </c>
      <c r="O289" s="190"/>
      <c r="P289" s="190"/>
      <c r="Q289" s="190"/>
      <c r="R289" s="190">
        <f>X222*1000/$AH$249</f>
        <v>-0.22326666666666667</v>
      </c>
      <c r="S289" s="190"/>
      <c r="T289" s="190"/>
      <c r="U289" s="190"/>
      <c r="V289" s="190">
        <f>AB222*1000/$AH$264</f>
        <v>0.14933518005540167</v>
      </c>
      <c r="W289" s="190"/>
      <c r="X289" s="190"/>
      <c r="Y289" s="190"/>
      <c r="BD289" s="4"/>
    </row>
    <row r="290" spans="1:56" ht="19.5" customHeight="1">
      <c r="A290" s="4"/>
      <c r="D290" s="183"/>
      <c r="E290" s="183"/>
      <c r="F290" s="183"/>
      <c r="G290" s="183"/>
      <c r="H290" s="183"/>
      <c r="I290" s="183"/>
      <c r="J290" s="204" t="s">
        <v>1010</v>
      </c>
      <c r="K290" s="204"/>
      <c r="L290" s="204"/>
      <c r="M290" s="204"/>
      <c r="N290" s="190">
        <f>T222*1000/$AH$265</f>
        <v>-0.14933518005540167</v>
      </c>
      <c r="O290" s="190"/>
      <c r="P290" s="190"/>
      <c r="Q290" s="190"/>
      <c r="R290" s="190">
        <f>X222*1000/$AH$250</f>
        <v>0.22326666666666667</v>
      </c>
      <c r="S290" s="190"/>
      <c r="T290" s="190"/>
      <c r="U290" s="190"/>
      <c r="V290" s="190">
        <f>AB222*1000/$AH$265</f>
        <v>-0.14933518005540167</v>
      </c>
      <c r="W290" s="190"/>
      <c r="X290" s="190"/>
      <c r="Y290" s="190"/>
      <c r="BD290" s="4"/>
    </row>
    <row r="291" spans="1:56" ht="19.5" customHeight="1">
      <c r="A291" s="4"/>
      <c r="D291" s="183"/>
      <c r="E291" s="183"/>
      <c r="F291" s="183"/>
      <c r="G291" s="183"/>
      <c r="H291" s="183"/>
      <c r="I291" s="183"/>
      <c r="J291" s="204" t="s">
        <v>1012</v>
      </c>
      <c r="K291" s="204"/>
      <c r="L291" s="204"/>
      <c r="M291" s="204"/>
      <c r="N291" s="190">
        <f>T222*1000/$AH$266</f>
        <v>0.07073771686834815</v>
      </c>
      <c r="O291" s="190"/>
      <c r="P291" s="190"/>
      <c r="Q291" s="190"/>
      <c r="R291" s="190">
        <f>X222*1000/$AH$251</f>
        <v>0.07442222222222222</v>
      </c>
      <c r="S291" s="190"/>
      <c r="T291" s="190"/>
      <c r="U291" s="190"/>
      <c r="V291" s="190">
        <f>AB222*1000/$AH$266</f>
        <v>0.07073771686834815</v>
      </c>
      <c r="W291" s="190"/>
      <c r="X291" s="190"/>
      <c r="Y291" s="190"/>
      <c r="BD291" s="4"/>
    </row>
    <row r="292" spans="1:56" ht="19.5" customHeight="1">
      <c r="A292" s="4"/>
      <c r="D292" s="183" t="s">
        <v>273</v>
      </c>
      <c r="E292" s="183"/>
      <c r="F292" s="183"/>
      <c r="G292" s="183"/>
      <c r="H292" s="183"/>
      <c r="I292" s="183"/>
      <c r="J292" s="204" t="s">
        <v>1008</v>
      </c>
      <c r="K292" s="204"/>
      <c r="L292" s="204"/>
      <c r="M292" s="204"/>
      <c r="N292" s="190">
        <f>T223*1000/$AH$264</f>
        <v>0.5591551246537396</v>
      </c>
      <c r="O292" s="190"/>
      <c r="P292" s="190"/>
      <c r="Q292" s="190"/>
      <c r="R292" s="190">
        <f>X223*1000/$AH$249</f>
        <v>0.8971333333333333</v>
      </c>
      <c r="S292" s="190"/>
      <c r="T292" s="190"/>
      <c r="U292" s="190"/>
      <c r="V292" s="190">
        <f>AB223*1000/$AH$264</f>
        <v>0.5591551246537396</v>
      </c>
      <c r="W292" s="190"/>
      <c r="X292" s="190"/>
      <c r="Y292" s="190"/>
      <c r="BD292" s="4"/>
    </row>
    <row r="293" spans="1:56" ht="19.5" customHeight="1">
      <c r="A293" s="4"/>
      <c r="D293" s="183"/>
      <c r="E293" s="183"/>
      <c r="F293" s="183"/>
      <c r="G293" s="183"/>
      <c r="H293" s="183"/>
      <c r="I293" s="183"/>
      <c r="J293" s="204" t="s">
        <v>1010</v>
      </c>
      <c r="K293" s="204"/>
      <c r="L293" s="204"/>
      <c r="M293" s="204"/>
      <c r="N293" s="190">
        <f>T223*1000/$AH$265</f>
        <v>-0.5591551246537396</v>
      </c>
      <c r="O293" s="190"/>
      <c r="P293" s="190"/>
      <c r="Q293" s="190"/>
      <c r="R293" s="190">
        <f>X223*1000/$AH$250</f>
        <v>-0.8971333333333333</v>
      </c>
      <c r="S293" s="190"/>
      <c r="T293" s="190"/>
      <c r="U293" s="190"/>
      <c r="V293" s="190">
        <f>AB223*1000/$AH$265</f>
        <v>-0.5591551246537396</v>
      </c>
      <c r="W293" s="190"/>
      <c r="X293" s="190"/>
      <c r="Y293" s="190"/>
      <c r="Z293" s="77"/>
      <c r="AA293" s="77"/>
      <c r="AB293" s="77"/>
      <c r="AC293" s="77"/>
      <c r="AD293" s="77"/>
      <c r="BD293" s="4"/>
    </row>
    <row r="294" spans="1:56" ht="19.5" customHeight="1">
      <c r="A294" s="4"/>
      <c r="D294" s="183"/>
      <c r="E294" s="183"/>
      <c r="F294" s="183"/>
      <c r="G294" s="183"/>
      <c r="H294" s="183"/>
      <c r="I294" s="183"/>
      <c r="J294" s="204" t="s">
        <v>1012</v>
      </c>
      <c r="K294" s="204"/>
      <c r="L294" s="204"/>
      <c r="M294" s="204"/>
      <c r="N294" s="190">
        <f>T223*1000/$AH$266</f>
        <v>0.26486295378335034</v>
      </c>
      <c r="O294" s="190"/>
      <c r="P294" s="190"/>
      <c r="Q294" s="190"/>
      <c r="R294" s="190">
        <f>X223*1000/$AH$251</f>
        <v>-0.29904444444444445</v>
      </c>
      <c r="S294" s="190"/>
      <c r="T294" s="190"/>
      <c r="U294" s="190"/>
      <c r="V294" s="190">
        <f>AB223*1000/$AH$266</f>
        <v>0.26486295378335034</v>
      </c>
      <c r="W294" s="190"/>
      <c r="X294" s="190"/>
      <c r="Y294" s="190"/>
      <c r="Z294" s="77"/>
      <c r="AA294" s="77"/>
      <c r="AB294" s="77"/>
      <c r="AC294" s="77"/>
      <c r="AD294" s="77"/>
      <c r="BD294" s="4"/>
    </row>
    <row r="295" spans="1:25" ht="19.5" customHeight="1">
      <c r="A295" s="4"/>
      <c r="B295" s="4" t="s">
        <v>274</v>
      </c>
      <c r="C295" s="4"/>
      <c r="D295" s="183" t="s">
        <v>1067</v>
      </c>
      <c r="E295" s="183"/>
      <c r="F295" s="183"/>
      <c r="G295" s="183"/>
      <c r="H295" s="183"/>
      <c r="I295" s="183"/>
      <c r="J295" s="204" t="s">
        <v>1008</v>
      </c>
      <c r="K295" s="204"/>
      <c r="L295" s="204"/>
      <c r="M295" s="204"/>
      <c r="N295" s="190">
        <f>N286+N289+N292</f>
        <v>1.7429916897506925</v>
      </c>
      <c r="O295" s="190"/>
      <c r="P295" s="190"/>
      <c r="Q295" s="190"/>
      <c r="R295" s="190">
        <f>R286+R289+R292</f>
        <v>0.41973333333333335</v>
      </c>
      <c r="S295" s="190"/>
      <c r="T295" s="190"/>
      <c r="U295" s="190"/>
      <c r="V295" s="190">
        <f>V286+V289+V292</f>
        <v>1.7429916897506925</v>
      </c>
      <c r="W295" s="190"/>
      <c r="X295" s="190"/>
      <c r="Y295" s="190"/>
    </row>
    <row r="296" spans="1:25" ht="19.5" customHeight="1">
      <c r="A296" s="4"/>
      <c r="B296" s="4"/>
      <c r="C296" s="4"/>
      <c r="D296" s="183"/>
      <c r="E296" s="183"/>
      <c r="F296" s="183"/>
      <c r="G296" s="183"/>
      <c r="H296" s="183"/>
      <c r="I296" s="183"/>
      <c r="J296" s="204" t="s">
        <v>1010</v>
      </c>
      <c r="K296" s="204"/>
      <c r="L296" s="204"/>
      <c r="M296" s="204"/>
      <c r="N296" s="190">
        <f>N287+N290+N293</f>
        <v>-1.7429916897506925</v>
      </c>
      <c r="O296" s="190"/>
      <c r="P296" s="190"/>
      <c r="Q296" s="190"/>
      <c r="R296" s="190">
        <f>R287+R290+R293</f>
        <v>-0.41973333333333335</v>
      </c>
      <c r="S296" s="190"/>
      <c r="T296" s="190"/>
      <c r="U296" s="190"/>
      <c r="V296" s="190">
        <f>V287+V290+V293</f>
        <v>-1.7429916897506925</v>
      </c>
      <c r="W296" s="190"/>
      <c r="X296" s="190"/>
      <c r="Y296" s="190"/>
    </row>
    <row r="297" spans="1:25" ht="19.5" customHeight="1">
      <c r="A297" s="4"/>
      <c r="B297" s="4"/>
      <c r="C297" s="4"/>
      <c r="D297" s="183"/>
      <c r="E297" s="183"/>
      <c r="F297" s="183"/>
      <c r="G297" s="183"/>
      <c r="H297" s="183"/>
      <c r="I297" s="183"/>
      <c r="J297" s="204" t="s">
        <v>1012</v>
      </c>
      <c r="K297" s="204"/>
      <c r="L297" s="204"/>
      <c r="M297" s="204"/>
      <c r="N297" s="190">
        <f>N288+N291+N294</f>
        <v>0.8256276425134859</v>
      </c>
      <c r="O297" s="190"/>
      <c r="P297" s="190"/>
      <c r="Q297" s="190"/>
      <c r="R297" s="190">
        <f>R288+R291+R294</f>
        <v>-0.1399111111111111</v>
      </c>
      <c r="S297" s="190"/>
      <c r="T297" s="190"/>
      <c r="U297" s="190"/>
      <c r="V297" s="190">
        <f>V288+V291+V294</f>
        <v>0.8256276425134859</v>
      </c>
      <c r="W297" s="190"/>
      <c r="X297" s="190"/>
      <c r="Y297" s="190"/>
    </row>
    <row r="298" spans="1:12" ht="19.5" customHeight="1">
      <c r="A298" s="4"/>
      <c r="B298" s="4"/>
      <c r="C298" s="4"/>
      <c r="D298" s="4"/>
      <c r="E298" s="4"/>
      <c r="F298" s="4"/>
      <c r="G298" s="4"/>
      <c r="H298" s="4"/>
      <c r="I298" s="4"/>
      <c r="J298" s="4"/>
      <c r="K298" s="4"/>
      <c r="L298" s="4"/>
    </row>
    <row r="299" spans="2:12" ht="19.5" customHeight="1">
      <c r="B299" s="4" t="s">
        <v>1069</v>
      </c>
      <c r="C299" s="4"/>
      <c r="D299" s="4"/>
      <c r="E299" s="4"/>
      <c r="F299" s="4"/>
      <c r="G299" s="4"/>
      <c r="H299" s="4"/>
      <c r="I299" s="4"/>
      <c r="J299" s="4"/>
      <c r="K299" s="4"/>
      <c r="L299" s="4"/>
    </row>
    <row r="300" spans="1:12" ht="19.5" customHeight="1">
      <c r="A300" s="4"/>
      <c r="B300" s="4"/>
      <c r="C300" s="4"/>
      <c r="D300" s="4" t="s">
        <v>1070</v>
      </c>
      <c r="E300" s="4"/>
      <c r="F300" s="4"/>
      <c r="G300" s="4"/>
      <c r="H300" s="4"/>
      <c r="I300" s="4"/>
      <c r="J300" s="4"/>
      <c r="K300" s="4"/>
      <c r="L300" s="4"/>
    </row>
    <row r="301" spans="1:12" ht="19.5" customHeight="1">
      <c r="A301" s="4"/>
      <c r="B301" s="4"/>
      <c r="C301" s="4"/>
      <c r="E301" s="4"/>
      <c r="F301" s="4"/>
      <c r="G301" s="4"/>
      <c r="H301" s="4"/>
      <c r="I301" s="4"/>
      <c r="J301" s="4"/>
      <c r="K301" s="4"/>
      <c r="L301" s="4"/>
    </row>
    <row r="302" spans="1:12" ht="19.5" customHeight="1">
      <c r="A302" s="4"/>
      <c r="B302" s="4"/>
      <c r="C302" s="4"/>
      <c r="D302" s="4"/>
      <c r="E302" s="4"/>
      <c r="F302" s="4"/>
      <c r="G302" s="4"/>
      <c r="H302" s="4"/>
      <c r="I302" s="4"/>
      <c r="J302" s="4"/>
      <c r="K302" s="4"/>
      <c r="L302" s="4"/>
    </row>
    <row r="303" spans="1:12" ht="19.5" customHeight="1">
      <c r="A303" s="4"/>
      <c r="B303" s="4"/>
      <c r="C303" s="4"/>
      <c r="D303" s="4"/>
      <c r="E303" s="4"/>
      <c r="F303" s="4"/>
      <c r="G303" s="4"/>
      <c r="H303" s="4"/>
      <c r="I303" s="4"/>
      <c r="J303" s="4"/>
      <c r="K303" s="4"/>
      <c r="L303" s="4"/>
    </row>
    <row r="304" spans="1:12" ht="19.5" customHeight="1">
      <c r="A304" s="4"/>
      <c r="B304" s="4"/>
      <c r="C304" s="4"/>
      <c r="D304" s="4"/>
      <c r="E304" s="4"/>
      <c r="F304" s="4"/>
      <c r="G304" s="4"/>
      <c r="H304" s="4"/>
      <c r="I304" s="4"/>
      <c r="J304" s="4"/>
      <c r="K304" s="4"/>
      <c r="L304" s="4"/>
    </row>
    <row r="305" spans="1:12" ht="19.5" customHeight="1">
      <c r="A305" s="4"/>
      <c r="B305" s="4"/>
      <c r="C305" s="4"/>
      <c r="D305" s="4"/>
      <c r="E305" s="4"/>
      <c r="F305" s="4"/>
      <c r="G305" s="4"/>
      <c r="H305" s="4"/>
      <c r="I305" s="4"/>
      <c r="J305" s="4"/>
      <c r="K305" s="4"/>
      <c r="L305" s="4"/>
    </row>
    <row r="306" spans="1:12" ht="19.5" customHeight="1">
      <c r="A306" s="4"/>
      <c r="B306" s="4"/>
      <c r="C306" s="4"/>
      <c r="D306" s="4"/>
      <c r="E306" s="4"/>
      <c r="F306" s="4"/>
      <c r="G306" s="4"/>
      <c r="H306" s="4"/>
      <c r="I306" s="4"/>
      <c r="J306" s="4"/>
      <c r="K306" s="4"/>
      <c r="L306" s="4"/>
    </row>
    <row r="307" spans="1:12" ht="19.5" customHeight="1">
      <c r="A307" s="4"/>
      <c r="B307" s="4"/>
      <c r="C307" s="4"/>
      <c r="D307" s="4"/>
      <c r="E307" s="4"/>
      <c r="F307" s="4"/>
      <c r="G307" s="4"/>
      <c r="H307" s="4"/>
      <c r="I307" s="4"/>
      <c r="J307" s="4"/>
      <c r="K307" s="4"/>
      <c r="L307" s="4"/>
    </row>
    <row r="308" spans="1:12" ht="19.5" customHeight="1">
      <c r="A308" s="4"/>
      <c r="B308" s="4"/>
      <c r="C308" s="4"/>
      <c r="D308" s="4"/>
      <c r="E308" s="4"/>
      <c r="F308" s="4"/>
      <c r="G308" s="4"/>
      <c r="H308" s="4"/>
      <c r="I308" s="4"/>
      <c r="J308" s="4"/>
      <c r="K308" s="4"/>
      <c r="L308" s="4"/>
    </row>
    <row r="309" spans="1:12" ht="19.5" customHeight="1">
      <c r="A309" s="4"/>
      <c r="B309" s="4"/>
      <c r="C309" s="4"/>
      <c r="D309" s="4"/>
      <c r="E309" s="4"/>
      <c r="F309" s="4"/>
      <c r="G309" s="4"/>
      <c r="H309" s="4"/>
      <c r="I309" s="4"/>
      <c r="J309" s="4"/>
      <c r="K309" s="4"/>
      <c r="L309" s="4"/>
    </row>
    <row r="310" spans="1:12" ht="19.5" customHeight="1">
      <c r="A310" s="4"/>
      <c r="B310" s="4"/>
      <c r="C310" s="4"/>
      <c r="D310" s="4"/>
      <c r="E310" s="4"/>
      <c r="F310" s="4"/>
      <c r="G310" s="4"/>
      <c r="H310" s="4"/>
      <c r="I310" s="4"/>
      <c r="J310" s="4"/>
      <c r="K310" s="4"/>
      <c r="L310" s="4"/>
    </row>
    <row r="311" spans="1:12" ht="19.5" customHeight="1">
      <c r="A311" s="4"/>
      <c r="B311" s="4"/>
      <c r="C311" s="4"/>
      <c r="D311" s="4"/>
      <c r="E311" s="4"/>
      <c r="F311" s="4"/>
      <c r="G311" s="4"/>
      <c r="H311" s="4"/>
      <c r="I311" s="4"/>
      <c r="J311" s="4"/>
      <c r="K311" s="4"/>
      <c r="L311" s="4"/>
    </row>
    <row r="312" spans="1:12" ht="19.5" customHeight="1">
      <c r="A312" s="4"/>
      <c r="B312" s="4"/>
      <c r="C312" s="4"/>
      <c r="D312" s="4"/>
      <c r="E312" s="4"/>
      <c r="F312" s="4"/>
      <c r="G312" s="4"/>
      <c r="H312" s="4"/>
      <c r="I312" s="4"/>
      <c r="J312" s="4"/>
      <c r="K312" s="4"/>
      <c r="L312" s="4"/>
    </row>
    <row r="313" spans="1:12" ht="19.5" customHeight="1">
      <c r="A313" s="4"/>
      <c r="B313" s="4"/>
      <c r="C313" s="4"/>
      <c r="D313" s="4"/>
      <c r="E313" s="4"/>
      <c r="F313" s="4"/>
      <c r="G313" s="4"/>
      <c r="H313" s="4"/>
      <c r="I313" s="4"/>
      <c r="J313" s="4"/>
      <c r="K313" s="4"/>
      <c r="L313" s="4"/>
    </row>
    <row r="314" spans="1:12" ht="19.5" customHeight="1">
      <c r="A314" s="4"/>
      <c r="C314" s="4" t="s">
        <v>1071</v>
      </c>
      <c r="D314" s="4"/>
      <c r="E314" s="4"/>
      <c r="F314" s="4"/>
      <c r="G314" s="4"/>
      <c r="H314" s="4"/>
      <c r="I314" s="4"/>
      <c r="J314" s="4"/>
      <c r="K314" s="4"/>
      <c r="L314" s="4"/>
    </row>
    <row r="315" spans="1:12" ht="19.5" customHeight="1">
      <c r="A315" s="4"/>
      <c r="B315" s="4"/>
      <c r="D315" s="4" t="s">
        <v>922</v>
      </c>
      <c r="E315" s="4"/>
      <c r="F315" s="4"/>
      <c r="G315" s="4"/>
      <c r="H315" s="4"/>
      <c r="I315" s="4"/>
      <c r="J315" s="4"/>
      <c r="K315" s="4"/>
      <c r="L315" s="4"/>
    </row>
    <row r="316" spans="1:20" ht="19.5" customHeight="1">
      <c r="A316" s="4"/>
      <c r="B316" s="4"/>
      <c r="D316" s="4" t="s">
        <v>877</v>
      </c>
      <c r="E316" s="4" t="s">
        <v>1072</v>
      </c>
      <c r="F316" s="4"/>
      <c r="G316" s="4"/>
      <c r="H316" s="4"/>
      <c r="I316" s="4"/>
      <c r="J316" s="4"/>
      <c r="M316" s="4" t="s">
        <v>275</v>
      </c>
      <c r="N316" s="4"/>
      <c r="P316" s="325">
        <v>1320</v>
      </c>
      <c r="Q316" s="325"/>
      <c r="R316" s="325"/>
      <c r="S316" s="325"/>
      <c r="T316" s="27" t="s">
        <v>276</v>
      </c>
    </row>
    <row r="317" spans="1:44" ht="19.5" customHeight="1">
      <c r="A317" s="4"/>
      <c r="B317" s="4"/>
      <c r="D317" s="4" t="s">
        <v>877</v>
      </c>
      <c r="E317" s="4" t="s">
        <v>1073</v>
      </c>
      <c r="F317" s="4"/>
      <c r="G317" s="4"/>
      <c r="H317" s="4"/>
      <c r="I317" s="4"/>
      <c r="J317" s="4"/>
      <c r="M317" s="235">
        <f>AL240</f>
        <v>125</v>
      </c>
      <c r="N317" s="235"/>
      <c r="O317" s="235"/>
      <c r="P317" s="27" t="s">
        <v>265</v>
      </c>
      <c r="AR317" s="4"/>
    </row>
    <row r="318" spans="1:44" ht="19.5" customHeight="1">
      <c r="A318" s="4"/>
      <c r="B318" s="4"/>
      <c r="D318" s="4"/>
      <c r="E318" s="4"/>
      <c r="F318" s="4"/>
      <c r="G318" s="4"/>
      <c r="H318" s="4"/>
      <c r="I318" s="4"/>
      <c r="J318" s="4"/>
      <c r="M318" s="33"/>
      <c r="N318" s="33"/>
      <c r="O318" s="33"/>
      <c r="AR318" s="4"/>
    </row>
    <row r="319" spans="1:12" ht="19.5" customHeight="1">
      <c r="A319" s="4"/>
      <c r="C319" s="4" t="s">
        <v>1074</v>
      </c>
      <c r="D319" s="4"/>
      <c r="E319" s="4"/>
      <c r="F319" s="4"/>
      <c r="G319" s="4"/>
      <c r="H319" s="4"/>
      <c r="I319" s="4"/>
      <c r="J319" s="4"/>
      <c r="K319" s="4"/>
      <c r="L319" s="4"/>
    </row>
    <row r="320" spans="1:12" ht="19.5" customHeight="1">
      <c r="A320" s="4"/>
      <c r="C320" s="4"/>
      <c r="D320" s="4" t="s">
        <v>1075</v>
      </c>
      <c r="E320" s="4"/>
      <c r="F320" s="4"/>
      <c r="G320" s="4"/>
      <c r="H320" s="4"/>
      <c r="I320" s="4"/>
      <c r="J320" s="4"/>
      <c r="K320" s="4"/>
      <c r="L320" s="4"/>
    </row>
    <row r="321" spans="1:12" ht="19.5" customHeight="1">
      <c r="A321" s="4"/>
      <c r="B321" s="4"/>
      <c r="C321" s="4"/>
      <c r="D321" s="4" t="s">
        <v>989</v>
      </c>
      <c r="E321" s="4"/>
      <c r="F321" s="4"/>
      <c r="G321" s="4"/>
      <c r="H321" s="4" t="s">
        <v>277</v>
      </c>
      <c r="I321" s="4"/>
      <c r="J321" s="4"/>
      <c r="K321" s="4" t="s">
        <v>278</v>
      </c>
      <c r="L321" s="4"/>
    </row>
    <row r="322" spans="1:17" ht="19.5" customHeight="1">
      <c r="A322" s="4"/>
      <c r="B322" s="4"/>
      <c r="C322" s="4"/>
      <c r="D322" s="4" t="s">
        <v>989</v>
      </c>
      <c r="E322" s="4"/>
      <c r="F322" s="4"/>
      <c r="G322" s="4"/>
      <c r="H322" s="4"/>
      <c r="I322" s="4"/>
      <c r="J322" s="4" t="s">
        <v>1354</v>
      </c>
      <c r="K322" s="237">
        <f>P316</f>
        <v>1320</v>
      </c>
      <c r="L322" s="237"/>
      <c r="M322" s="237"/>
      <c r="N322" s="237"/>
      <c r="O322" s="27" t="s">
        <v>279</v>
      </c>
      <c r="P322" s="27" t="s">
        <v>280</v>
      </c>
      <c r="Q322" s="147" t="str">
        <f>"-("&amp;AC329&amp;"×"&amp;ROUND(AC330,3)&amp;" + "&amp;AC327&amp;"×"&amp;ROUND(AC328,3)&amp;")"</f>
        <v>-(0.1×0.188 + 0.003×5.364)</v>
      </c>
    </row>
    <row r="323" spans="1:27" ht="19.5" customHeight="1">
      <c r="A323" s="4"/>
      <c r="B323" s="4"/>
      <c r="C323" s="4"/>
      <c r="D323" s="4" t="s">
        <v>989</v>
      </c>
      <c r="E323" s="4"/>
      <c r="F323" s="4"/>
      <c r="G323" s="4"/>
      <c r="H323" s="4"/>
      <c r="I323" s="4"/>
      <c r="J323" s="4" t="s">
        <v>1354</v>
      </c>
      <c r="K323" s="148">
        <f>AC326*EXP(-(AC329*AC330+AC327*AC328))</f>
        <v>1274.7368136018592</v>
      </c>
      <c r="L323" s="148"/>
      <c r="M323" s="38"/>
      <c r="N323" s="38"/>
      <c r="O323" s="29" t="s">
        <v>281</v>
      </c>
      <c r="R323" s="147"/>
      <c r="S323" s="147"/>
      <c r="T323" s="147"/>
      <c r="U323" s="147"/>
      <c r="V323" s="147"/>
      <c r="W323" s="147"/>
      <c r="X323" s="147"/>
      <c r="Y323" s="147"/>
      <c r="Z323" s="147"/>
      <c r="AA323" s="147"/>
    </row>
    <row r="324" spans="1:27" ht="19.5" customHeight="1">
      <c r="A324" s="4"/>
      <c r="B324" s="4"/>
      <c r="C324" s="4"/>
      <c r="D324" s="4"/>
      <c r="E324" s="4"/>
      <c r="F324" s="4"/>
      <c r="G324" s="4"/>
      <c r="H324" s="4"/>
      <c r="I324" s="4"/>
      <c r="J324" s="4"/>
      <c r="K324" s="148"/>
      <c r="L324" s="148"/>
      <c r="M324" s="38"/>
      <c r="N324" s="38"/>
      <c r="O324" s="29"/>
      <c r="R324" s="147"/>
      <c r="S324" s="147"/>
      <c r="T324" s="147"/>
      <c r="U324" s="147"/>
      <c r="V324" s="147"/>
      <c r="W324" s="147"/>
      <c r="X324" s="147"/>
      <c r="Y324" s="147"/>
      <c r="Z324" s="147"/>
      <c r="AA324" s="147"/>
    </row>
    <row r="325" spans="1:12" ht="19.5" customHeight="1">
      <c r="A325" s="4"/>
      <c r="B325" s="4"/>
      <c r="C325" s="4"/>
      <c r="E325" s="4" t="s">
        <v>282</v>
      </c>
      <c r="G325" s="4"/>
      <c r="H325" s="4" t="s">
        <v>283</v>
      </c>
      <c r="I325" s="4"/>
      <c r="J325" s="4" t="s">
        <v>1076</v>
      </c>
      <c r="L325" s="4"/>
    </row>
    <row r="326" spans="1:55" ht="19.5" customHeight="1">
      <c r="A326" s="4"/>
      <c r="B326" s="4"/>
      <c r="C326" s="4"/>
      <c r="D326" s="4"/>
      <c r="E326" s="4"/>
      <c r="G326" s="4"/>
      <c r="H326" s="4" t="s">
        <v>284</v>
      </c>
      <c r="I326" s="4"/>
      <c r="J326" s="4" t="s">
        <v>1077</v>
      </c>
      <c r="L326" s="4"/>
      <c r="AA326" s="27" t="s">
        <v>1355</v>
      </c>
      <c r="AB326" s="27" t="s">
        <v>993</v>
      </c>
      <c r="AC326" s="237">
        <f>P316</f>
        <v>1320</v>
      </c>
      <c r="AD326" s="237"/>
      <c r="AE326" s="237"/>
      <c r="AF326" s="237"/>
      <c r="AG326" s="29" t="s">
        <v>285</v>
      </c>
      <c r="AR326" s="36"/>
      <c r="BC326" s="29"/>
    </row>
    <row r="327" spans="1:55" ht="19.5" customHeight="1">
      <c r="A327" s="4"/>
      <c r="B327" s="4"/>
      <c r="C327" s="4"/>
      <c r="D327" s="4"/>
      <c r="E327" s="4"/>
      <c r="G327" s="4"/>
      <c r="H327" s="104" t="s">
        <v>286</v>
      </c>
      <c r="I327" s="104"/>
      <c r="J327" s="4" t="s">
        <v>1078</v>
      </c>
      <c r="L327" s="4"/>
      <c r="AA327" s="27" t="s">
        <v>287</v>
      </c>
      <c r="AB327" s="27" t="s">
        <v>1356</v>
      </c>
      <c r="AC327" s="370">
        <v>0.003</v>
      </c>
      <c r="AD327" s="370"/>
      <c r="AE327" s="370"/>
      <c r="AF327" s="370"/>
      <c r="AG327" s="27" t="s">
        <v>288</v>
      </c>
      <c r="BB327" s="29"/>
      <c r="BC327" s="29"/>
    </row>
    <row r="328" spans="1:33" ht="19.5" customHeight="1">
      <c r="A328" s="4"/>
      <c r="B328" s="4"/>
      <c r="C328" s="4"/>
      <c r="D328" s="4"/>
      <c r="E328" s="4"/>
      <c r="G328" s="4"/>
      <c r="H328" s="104" t="s">
        <v>289</v>
      </c>
      <c r="I328" s="104"/>
      <c r="J328" s="4" t="s">
        <v>1128</v>
      </c>
      <c r="L328" s="4"/>
      <c r="AA328" s="27" t="s">
        <v>1357</v>
      </c>
      <c r="AB328" s="27" t="s">
        <v>290</v>
      </c>
      <c r="AC328" s="243">
        <f>K340</f>
        <v>5.364</v>
      </c>
      <c r="AD328" s="243"/>
      <c r="AE328" s="243"/>
      <c r="AF328" s="243"/>
      <c r="AG328" s="27" t="s">
        <v>1110</v>
      </c>
    </row>
    <row r="329" spans="1:33" ht="19.5" customHeight="1">
      <c r="A329" s="4"/>
      <c r="B329" s="4"/>
      <c r="C329" s="4"/>
      <c r="D329" s="4"/>
      <c r="E329" s="4"/>
      <c r="G329" s="4"/>
      <c r="H329" s="104" t="s">
        <v>291</v>
      </c>
      <c r="I329" s="104"/>
      <c r="J329" s="4" t="s">
        <v>1129</v>
      </c>
      <c r="L329" s="4"/>
      <c r="AA329" s="27" t="s">
        <v>287</v>
      </c>
      <c r="AB329" s="27" t="s">
        <v>1356</v>
      </c>
      <c r="AC329" s="327">
        <v>0.1</v>
      </c>
      <c r="AD329" s="327"/>
      <c r="AE329" s="327"/>
      <c r="AF329" s="327"/>
      <c r="AG329" s="27" t="s">
        <v>288</v>
      </c>
    </row>
    <row r="330" spans="1:33" ht="19.5" customHeight="1">
      <c r="A330" s="4"/>
      <c r="B330" s="4"/>
      <c r="C330" s="4"/>
      <c r="D330" s="4"/>
      <c r="E330" s="4"/>
      <c r="G330" s="4"/>
      <c r="H330" s="104" t="s">
        <v>292</v>
      </c>
      <c r="I330" s="104"/>
      <c r="J330" s="4" t="s">
        <v>1130</v>
      </c>
      <c r="L330" s="4"/>
      <c r="AA330" s="27" t="s">
        <v>1358</v>
      </c>
      <c r="AB330" s="27" t="s">
        <v>1350</v>
      </c>
      <c r="AC330" s="243">
        <f>N340</f>
        <v>0.188</v>
      </c>
      <c r="AD330" s="243"/>
      <c r="AE330" s="243"/>
      <c r="AF330" s="243"/>
      <c r="AG330" s="29" t="s">
        <v>1111</v>
      </c>
    </row>
    <row r="331" spans="1:12" ht="19.5" customHeight="1">
      <c r="A331" s="4"/>
      <c r="B331" s="4"/>
      <c r="C331" s="4"/>
      <c r="D331" s="4"/>
      <c r="E331" s="4"/>
      <c r="F331" s="4" t="s">
        <v>1108</v>
      </c>
      <c r="G331" s="4"/>
      <c r="H331" s="4"/>
      <c r="I331" s="4"/>
      <c r="J331" s="4"/>
      <c r="K331" s="4"/>
      <c r="L331" s="4"/>
    </row>
    <row r="332" spans="1:12" ht="19.5" customHeight="1">
      <c r="A332" s="4"/>
      <c r="B332" s="4"/>
      <c r="E332" s="4" t="s">
        <v>1131</v>
      </c>
      <c r="F332" s="4"/>
      <c r="G332" s="4"/>
      <c r="H332" s="4"/>
      <c r="I332" s="4"/>
      <c r="J332" s="4"/>
      <c r="K332" s="4"/>
      <c r="L332" s="4"/>
    </row>
    <row r="333" spans="1:44" ht="19.5" customHeight="1">
      <c r="A333" s="4"/>
      <c r="B333" s="4"/>
      <c r="C333" s="4"/>
      <c r="D333" s="4"/>
      <c r="E333" s="231"/>
      <c r="F333" s="232"/>
      <c r="G333" s="233"/>
      <c r="H333" s="183" t="s">
        <v>1132</v>
      </c>
      <c r="I333" s="183"/>
      <c r="J333" s="183"/>
      <c r="K333" s="183"/>
      <c r="L333" s="183"/>
      <c r="M333" s="183"/>
      <c r="N333" s="183"/>
      <c r="O333" s="183"/>
      <c r="P333" s="183"/>
      <c r="Q333" s="183"/>
      <c r="R333" s="183"/>
      <c r="S333" s="183"/>
      <c r="T333" s="183" t="s">
        <v>1133</v>
      </c>
      <c r="U333" s="183"/>
      <c r="V333" s="183"/>
      <c r="W333" s="183"/>
      <c r="X333" s="183"/>
      <c r="Y333" s="183"/>
      <c r="Z333" s="183"/>
      <c r="AA333" s="183"/>
      <c r="AB333" s="183"/>
      <c r="AC333" s="183"/>
      <c r="AD333" s="183"/>
      <c r="AE333" s="183"/>
      <c r="AF333" s="287" t="s">
        <v>1014</v>
      </c>
      <c r="AG333" s="288"/>
      <c r="AH333" s="288"/>
      <c r="AI333" s="288"/>
      <c r="AJ333" s="289"/>
      <c r="AR333" s="36"/>
    </row>
    <row r="334" spans="1:36" ht="19.5" customHeight="1">
      <c r="A334" s="4"/>
      <c r="B334" s="4"/>
      <c r="C334" s="4"/>
      <c r="D334" s="4"/>
      <c r="E334" s="221" t="s">
        <v>964</v>
      </c>
      <c r="F334" s="222"/>
      <c r="G334" s="223"/>
      <c r="H334" s="183" t="s">
        <v>293</v>
      </c>
      <c r="I334" s="183"/>
      <c r="J334" s="183"/>
      <c r="K334" s="183" t="s">
        <v>294</v>
      </c>
      <c r="L334" s="183"/>
      <c r="M334" s="183"/>
      <c r="N334" s="183" t="s">
        <v>295</v>
      </c>
      <c r="O334" s="183"/>
      <c r="P334" s="183"/>
      <c r="Q334" s="183" t="s">
        <v>296</v>
      </c>
      <c r="R334" s="183"/>
      <c r="S334" s="183"/>
      <c r="T334" s="183" t="s">
        <v>293</v>
      </c>
      <c r="U334" s="183"/>
      <c r="V334" s="183"/>
      <c r="W334" s="183" t="s">
        <v>294</v>
      </c>
      <c r="X334" s="183"/>
      <c r="Y334" s="183"/>
      <c r="Z334" s="183" t="s">
        <v>295</v>
      </c>
      <c r="AA334" s="183"/>
      <c r="AB334" s="183"/>
      <c r="AC334" s="183" t="s">
        <v>296</v>
      </c>
      <c r="AD334" s="183"/>
      <c r="AE334" s="183"/>
      <c r="AF334" s="302"/>
      <c r="AG334" s="303"/>
      <c r="AH334" s="303"/>
      <c r="AI334" s="303"/>
      <c r="AJ334" s="304"/>
    </row>
    <row r="335" spans="1:36" ht="19.5" customHeight="1">
      <c r="A335" s="4"/>
      <c r="B335" s="4"/>
      <c r="C335" s="4"/>
      <c r="D335" s="4"/>
      <c r="E335" s="224"/>
      <c r="F335" s="225"/>
      <c r="G335" s="226"/>
      <c r="H335" s="204" t="s">
        <v>297</v>
      </c>
      <c r="I335" s="204"/>
      <c r="J335" s="204"/>
      <c r="K335" s="204" t="s">
        <v>298</v>
      </c>
      <c r="L335" s="204"/>
      <c r="M335" s="204"/>
      <c r="N335" s="204" t="s">
        <v>299</v>
      </c>
      <c r="O335" s="204"/>
      <c r="P335" s="204"/>
      <c r="Q335" s="204" t="s">
        <v>297</v>
      </c>
      <c r="R335" s="204"/>
      <c r="S335" s="204"/>
      <c r="T335" s="204" t="s">
        <v>297</v>
      </c>
      <c r="U335" s="204"/>
      <c r="V335" s="204"/>
      <c r="W335" s="204" t="s">
        <v>298</v>
      </c>
      <c r="X335" s="204"/>
      <c r="Y335" s="204"/>
      <c r="Z335" s="204" t="s">
        <v>299</v>
      </c>
      <c r="AA335" s="204"/>
      <c r="AB335" s="204"/>
      <c r="AC335" s="204" t="s">
        <v>297</v>
      </c>
      <c r="AD335" s="204"/>
      <c r="AE335" s="204"/>
      <c r="AF335" s="305"/>
      <c r="AG335" s="306"/>
      <c r="AH335" s="306"/>
      <c r="AI335" s="306"/>
      <c r="AJ335" s="307"/>
    </row>
    <row r="336" spans="1:36" ht="19.5" customHeight="1">
      <c r="A336" s="4"/>
      <c r="B336" s="4"/>
      <c r="C336" s="4"/>
      <c r="D336" s="4"/>
      <c r="E336" s="183" t="s">
        <v>1134</v>
      </c>
      <c r="F336" s="183"/>
      <c r="G336" s="183"/>
      <c r="H336" s="213">
        <f aca="true" t="shared" si="1" ref="H336:H344">$AC$326</f>
        <v>1320</v>
      </c>
      <c r="I336" s="213"/>
      <c r="J336" s="213"/>
      <c r="K336" s="342">
        <v>0</v>
      </c>
      <c r="L336" s="343"/>
      <c r="M336" s="344"/>
      <c r="N336" s="342">
        <v>0</v>
      </c>
      <c r="O336" s="343"/>
      <c r="P336" s="344"/>
      <c r="Q336" s="213">
        <f aca="true" t="shared" si="2" ref="Q336:Q344">$AC$326*EXP(-($AC$329*N336+$AC$327*K336))</f>
        <v>1320</v>
      </c>
      <c r="R336" s="213"/>
      <c r="S336" s="213"/>
      <c r="T336" s="213">
        <f aca="true" t="shared" si="3" ref="T336:T344">$AC$326</f>
        <v>1320</v>
      </c>
      <c r="U336" s="213"/>
      <c r="V336" s="213"/>
      <c r="W336" s="342">
        <v>10.728</v>
      </c>
      <c r="X336" s="343"/>
      <c r="Y336" s="344"/>
      <c r="Z336" s="342">
        <v>0.376</v>
      </c>
      <c r="AA336" s="343"/>
      <c r="AB336" s="344"/>
      <c r="AC336" s="213">
        <f aca="true" t="shared" si="4" ref="AC336:AC344">$AC$326*EXP(-($AC$329*Z336+$AC$327*W336))</f>
        <v>1231.0257151150163</v>
      </c>
      <c r="AD336" s="213"/>
      <c r="AE336" s="213"/>
      <c r="AF336" s="204"/>
      <c r="AG336" s="204"/>
      <c r="AH336" s="204"/>
      <c r="AI336" s="204"/>
      <c r="AJ336" s="204"/>
    </row>
    <row r="337" spans="1:36" ht="19.5" customHeight="1">
      <c r="A337" s="4"/>
      <c r="B337" s="4"/>
      <c r="C337" s="4"/>
      <c r="D337" s="4"/>
      <c r="E337" s="204" t="s">
        <v>300</v>
      </c>
      <c r="F337" s="204"/>
      <c r="G337" s="204"/>
      <c r="H337" s="213">
        <f t="shared" si="1"/>
        <v>1320</v>
      </c>
      <c r="I337" s="213"/>
      <c r="J337" s="213"/>
      <c r="K337" s="371">
        <v>2.601</v>
      </c>
      <c r="L337" s="372"/>
      <c r="M337" s="373"/>
      <c r="N337" s="371">
        <v>0</v>
      </c>
      <c r="O337" s="372"/>
      <c r="P337" s="373"/>
      <c r="Q337" s="213">
        <f t="shared" si="2"/>
        <v>1309.7401209755687</v>
      </c>
      <c r="R337" s="213"/>
      <c r="S337" s="213"/>
      <c r="T337" s="213">
        <f t="shared" si="3"/>
        <v>1320</v>
      </c>
      <c r="U337" s="213"/>
      <c r="V337" s="213"/>
      <c r="W337" s="371">
        <v>8.127</v>
      </c>
      <c r="X337" s="372"/>
      <c r="Y337" s="373"/>
      <c r="Z337" s="371">
        <v>0.376</v>
      </c>
      <c r="AA337" s="372"/>
      <c r="AB337" s="373"/>
      <c r="AC337" s="213">
        <f t="shared" si="4"/>
        <v>1240.668983050976</v>
      </c>
      <c r="AD337" s="213"/>
      <c r="AE337" s="213"/>
      <c r="AF337" s="204"/>
      <c r="AG337" s="204"/>
      <c r="AH337" s="204"/>
      <c r="AI337" s="204"/>
      <c r="AJ337" s="204"/>
    </row>
    <row r="338" spans="1:36" ht="19.5" customHeight="1">
      <c r="A338" s="4"/>
      <c r="B338" s="4"/>
      <c r="C338" s="4"/>
      <c r="D338" s="4"/>
      <c r="E338" s="204" t="s">
        <v>301</v>
      </c>
      <c r="F338" s="204"/>
      <c r="G338" s="204"/>
      <c r="H338" s="213">
        <f t="shared" si="1"/>
        <v>1320</v>
      </c>
      <c r="I338" s="213"/>
      <c r="J338" s="213"/>
      <c r="K338" s="371">
        <v>3.518</v>
      </c>
      <c r="L338" s="372"/>
      <c r="M338" s="373"/>
      <c r="N338" s="371">
        <v>0.106</v>
      </c>
      <c r="O338" s="372"/>
      <c r="P338" s="373"/>
      <c r="Q338" s="213">
        <f t="shared" si="2"/>
        <v>1292.3699929270658</v>
      </c>
      <c r="R338" s="213"/>
      <c r="S338" s="213"/>
      <c r="T338" s="213">
        <f t="shared" si="3"/>
        <v>1320</v>
      </c>
      <c r="U338" s="213"/>
      <c r="V338" s="213"/>
      <c r="W338" s="371">
        <v>7.21</v>
      </c>
      <c r="X338" s="372"/>
      <c r="Y338" s="373"/>
      <c r="Z338" s="371">
        <v>0.27</v>
      </c>
      <c r="AA338" s="372"/>
      <c r="AB338" s="373"/>
      <c r="AC338" s="213">
        <f t="shared" si="4"/>
        <v>1257.3442225097567</v>
      </c>
      <c r="AD338" s="213"/>
      <c r="AE338" s="213"/>
      <c r="AF338" s="204"/>
      <c r="AG338" s="204"/>
      <c r="AH338" s="204"/>
      <c r="AI338" s="204"/>
      <c r="AJ338" s="204"/>
    </row>
    <row r="339" spans="1:36" ht="19.5" customHeight="1">
      <c r="A339" s="4"/>
      <c r="B339" s="4"/>
      <c r="C339" s="4"/>
      <c r="D339" s="4"/>
      <c r="E339" s="204" t="s">
        <v>302</v>
      </c>
      <c r="F339" s="204"/>
      <c r="G339" s="204"/>
      <c r="H339" s="213">
        <f t="shared" si="1"/>
        <v>1320</v>
      </c>
      <c r="I339" s="213"/>
      <c r="J339" s="213"/>
      <c r="K339" s="371">
        <v>4.743</v>
      </c>
      <c r="L339" s="372"/>
      <c r="M339" s="373"/>
      <c r="N339" s="371">
        <v>0.188</v>
      </c>
      <c r="O339" s="372"/>
      <c r="P339" s="373"/>
      <c r="Q339" s="213">
        <f t="shared" si="2"/>
        <v>1277.113861818498</v>
      </c>
      <c r="R339" s="213"/>
      <c r="S339" s="213"/>
      <c r="T339" s="213">
        <f t="shared" si="3"/>
        <v>1320</v>
      </c>
      <c r="U339" s="213"/>
      <c r="V339" s="213"/>
      <c r="W339" s="371">
        <v>5.985</v>
      </c>
      <c r="X339" s="372"/>
      <c r="Y339" s="373"/>
      <c r="Z339" s="371">
        <v>0.188</v>
      </c>
      <c r="AA339" s="372"/>
      <c r="AB339" s="373"/>
      <c r="AC339" s="213">
        <f t="shared" si="4"/>
        <v>1272.364189703516</v>
      </c>
      <c r="AD339" s="213"/>
      <c r="AE339" s="213"/>
      <c r="AF339" s="204"/>
      <c r="AG339" s="204"/>
      <c r="AH339" s="204"/>
      <c r="AI339" s="204"/>
      <c r="AJ339" s="204"/>
    </row>
    <row r="340" spans="1:36" ht="19.5" customHeight="1">
      <c r="A340" s="4"/>
      <c r="B340" s="4"/>
      <c r="C340" s="4"/>
      <c r="D340" s="4"/>
      <c r="E340" s="204" t="s">
        <v>303</v>
      </c>
      <c r="F340" s="204"/>
      <c r="G340" s="204"/>
      <c r="H340" s="213">
        <f t="shared" si="1"/>
        <v>1320</v>
      </c>
      <c r="I340" s="213"/>
      <c r="J340" s="213"/>
      <c r="K340" s="371">
        <v>5.364</v>
      </c>
      <c r="L340" s="372"/>
      <c r="M340" s="373"/>
      <c r="N340" s="371">
        <v>0.188</v>
      </c>
      <c r="O340" s="372"/>
      <c r="P340" s="373"/>
      <c r="Q340" s="213">
        <f t="shared" si="2"/>
        <v>1274.7368136018592</v>
      </c>
      <c r="R340" s="213"/>
      <c r="S340" s="213"/>
      <c r="T340" s="213">
        <f t="shared" si="3"/>
        <v>1320</v>
      </c>
      <c r="U340" s="213"/>
      <c r="V340" s="213"/>
      <c r="W340" s="371">
        <v>5.364</v>
      </c>
      <c r="X340" s="372"/>
      <c r="Y340" s="373"/>
      <c r="Z340" s="371">
        <v>0.188</v>
      </c>
      <c r="AA340" s="372"/>
      <c r="AB340" s="373"/>
      <c r="AC340" s="213">
        <f t="shared" si="4"/>
        <v>1274.7368136018592</v>
      </c>
      <c r="AD340" s="213"/>
      <c r="AE340" s="213"/>
      <c r="AF340" s="204"/>
      <c r="AG340" s="204"/>
      <c r="AH340" s="204"/>
      <c r="AI340" s="204"/>
      <c r="AJ340" s="204"/>
    </row>
    <row r="341" spans="1:36" ht="19.5" customHeight="1">
      <c r="A341" s="4"/>
      <c r="B341" s="4"/>
      <c r="C341" s="4"/>
      <c r="D341" s="4"/>
      <c r="E341" s="204" t="s">
        <v>304</v>
      </c>
      <c r="F341" s="204"/>
      <c r="G341" s="204"/>
      <c r="H341" s="213">
        <f t="shared" si="1"/>
        <v>1320</v>
      </c>
      <c r="I341" s="213"/>
      <c r="J341" s="213"/>
      <c r="K341" s="371">
        <v>5.985</v>
      </c>
      <c r="L341" s="372"/>
      <c r="M341" s="373"/>
      <c r="N341" s="371">
        <v>0.27</v>
      </c>
      <c r="O341" s="372"/>
      <c r="P341" s="373"/>
      <c r="Q341" s="213">
        <f t="shared" si="2"/>
        <v>1261.9734635478226</v>
      </c>
      <c r="R341" s="213"/>
      <c r="S341" s="213"/>
      <c r="T341" s="213">
        <f t="shared" si="3"/>
        <v>1320</v>
      </c>
      <c r="U341" s="213"/>
      <c r="V341" s="213"/>
      <c r="W341" s="371">
        <v>4.743</v>
      </c>
      <c r="X341" s="372"/>
      <c r="Y341" s="373"/>
      <c r="Z341" s="371">
        <v>0.106</v>
      </c>
      <c r="AA341" s="372"/>
      <c r="AB341" s="373"/>
      <c r="AC341" s="213">
        <f t="shared" si="4"/>
        <v>1287.6292496543795</v>
      </c>
      <c r="AD341" s="213"/>
      <c r="AE341" s="213"/>
      <c r="AF341" s="204"/>
      <c r="AG341" s="204"/>
      <c r="AH341" s="204"/>
      <c r="AI341" s="204"/>
      <c r="AJ341" s="204"/>
    </row>
    <row r="342" spans="1:36" ht="19.5" customHeight="1">
      <c r="A342" s="4"/>
      <c r="B342" s="4"/>
      <c r="C342" s="4"/>
      <c r="D342" s="4"/>
      <c r="E342" s="204" t="s">
        <v>305</v>
      </c>
      <c r="F342" s="204"/>
      <c r="G342" s="204"/>
      <c r="H342" s="213">
        <f t="shared" si="1"/>
        <v>1320</v>
      </c>
      <c r="I342" s="213"/>
      <c r="J342" s="213"/>
      <c r="K342" s="371">
        <v>7.21</v>
      </c>
      <c r="L342" s="372"/>
      <c r="M342" s="373"/>
      <c r="N342" s="371">
        <v>0.376</v>
      </c>
      <c r="O342" s="372"/>
      <c r="P342" s="373"/>
      <c r="Q342" s="213">
        <f t="shared" si="2"/>
        <v>1244.0867624233965</v>
      </c>
      <c r="R342" s="213"/>
      <c r="S342" s="213"/>
      <c r="T342" s="213">
        <f t="shared" si="3"/>
        <v>1320</v>
      </c>
      <c r="U342" s="213"/>
      <c r="V342" s="213"/>
      <c r="W342" s="371">
        <v>3.518</v>
      </c>
      <c r="X342" s="372"/>
      <c r="Y342" s="373"/>
      <c r="Z342" s="371">
        <v>0</v>
      </c>
      <c r="AA342" s="372"/>
      <c r="AB342" s="373"/>
      <c r="AC342" s="213">
        <f t="shared" si="4"/>
        <v>1306.1419774184571</v>
      </c>
      <c r="AD342" s="213"/>
      <c r="AE342" s="213"/>
      <c r="AF342" s="204"/>
      <c r="AG342" s="204"/>
      <c r="AH342" s="204"/>
      <c r="AI342" s="204"/>
      <c r="AJ342" s="204"/>
    </row>
    <row r="343" spans="1:36" ht="19.5" customHeight="1">
      <c r="A343" s="4"/>
      <c r="B343" s="4"/>
      <c r="C343" s="4"/>
      <c r="D343" s="4"/>
      <c r="E343" s="204" t="s">
        <v>306</v>
      </c>
      <c r="F343" s="204"/>
      <c r="G343" s="204"/>
      <c r="H343" s="213">
        <f t="shared" si="1"/>
        <v>1320</v>
      </c>
      <c r="I343" s="213"/>
      <c r="J343" s="213"/>
      <c r="K343" s="371">
        <v>8.127</v>
      </c>
      <c r="L343" s="372"/>
      <c r="M343" s="373"/>
      <c r="N343" s="371">
        <v>0.376</v>
      </c>
      <c r="O343" s="372"/>
      <c r="P343" s="373"/>
      <c r="Q343" s="213">
        <f t="shared" si="2"/>
        <v>1240.668983050976</v>
      </c>
      <c r="R343" s="213"/>
      <c r="S343" s="213"/>
      <c r="T343" s="213">
        <f t="shared" si="3"/>
        <v>1320</v>
      </c>
      <c r="U343" s="213"/>
      <c r="V343" s="213"/>
      <c r="W343" s="371">
        <v>2.601</v>
      </c>
      <c r="X343" s="372"/>
      <c r="Y343" s="373"/>
      <c r="Z343" s="371">
        <v>0</v>
      </c>
      <c r="AA343" s="372"/>
      <c r="AB343" s="373"/>
      <c r="AC343" s="213">
        <f t="shared" si="4"/>
        <v>1309.7401209755687</v>
      </c>
      <c r="AD343" s="213"/>
      <c r="AE343" s="213"/>
      <c r="AF343" s="204"/>
      <c r="AG343" s="204"/>
      <c r="AH343" s="204"/>
      <c r="AI343" s="204"/>
      <c r="AJ343" s="204"/>
    </row>
    <row r="344" spans="1:36" ht="19.5" customHeight="1">
      <c r="A344" s="4"/>
      <c r="B344" s="4"/>
      <c r="C344" s="4"/>
      <c r="D344" s="4"/>
      <c r="E344" s="204" t="s">
        <v>1172</v>
      </c>
      <c r="F344" s="204"/>
      <c r="G344" s="204"/>
      <c r="H344" s="213">
        <f t="shared" si="1"/>
        <v>1320</v>
      </c>
      <c r="I344" s="213"/>
      <c r="J344" s="213"/>
      <c r="K344" s="371">
        <v>10.728</v>
      </c>
      <c r="L344" s="372"/>
      <c r="M344" s="373"/>
      <c r="N344" s="371">
        <v>0.376</v>
      </c>
      <c r="O344" s="372"/>
      <c r="P344" s="373"/>
      <c r="Q344" s="213">
        <f t="shared" si="2"/>
        <v>1231.0257151150163</v>
      </c>
      <c r="R344" s="213"/>
      <c r="S344" s="213"/>
      <c r="T344" s="213">
        <f t="shared" si="3"/>
        <v>1320</v>
      </c>
      <c r="U344" s="213"/>
      <c r="V344" s="213"/>
      <c r="W344" s="371">
        <v>0</v>
      </c>
      <c r="X344" s="372"/>
      <c r="Y344" s="373"/>
      <c r="Z344" s="371">
        <v>0</v>
      </c>
      <c r="AA344" s="372"/>
      <c r="AB344" s="373"/>
      <c r="AC344" s="213">
        <f t="shared" si="4"/>
        <v>1320</v>
      </c>
      <c r="AD344" s="213"/>
      <c r="AE344" s="213"/>
      <c r="AF344" s="204"/>
      <c r="AG344" s="204"/>
      <c r="AH344" s="204"/>
      <c r="AI344" s="204"/>
      <c r="AJ344" s="204"/>
    </row>
    <row r="345" spans="1:12" ht="19.5" customHeight="1">
      <c r="A345" s="4"/>
      <c r="B345" s="4"/>
      <c r="C345" s="4"/>
      <c r="D345" s="4"/>
      <c r="E345" s="33"/>
      <c r="F345" s="33"/>
      <c r="G345" s="33"/>
      <c r="H345" s="4"/>
      <c r="I345" s="4"/>
      <c r="J345" s="4"/>
      <c r="K345" s="4"/>
      <c r="L345" s="4"/>
    </row>
    <row r="346" spans="1:12" ht="19.5" customHeight="1">
      <c r="A346" s="4"/>
      <c r="B346" s="4"/>
      <c r="C346" s="4"/>
      <c r="D346" s="4"/>
      <c r="E346" s="33"/>
      <c r="F346" s="33"/>
      <c r="G346" s="33"/>
      <c r="H346" s="4"/>
      <c r="I346" s="4"/>
      <c r="J346" s="4"/>
      <c r="K346" s="4"/>
      <c r="L346" s="4"/>
    </row>
    <row r="347" spans="1:12" ht="19.5" customHeight="1">
      <c r="A347" s="4"/>
      <c r="B347" s="4"/>
      <c r="C347" s="4"/>
      <c r="D347" s="4"/>
      <c r="E347" s="33"/>
      <c r="F347" s="33"/>
      <c r="G347" s="33"/>
      <c r="H347" s="4"/>
      <c r="I347" s="4"/>
      <c r="J347" s="4"/>
      <c r="K347" s="4"/>
      <c r="L347" s="4"/>
    </row>
    <row r="348" spans="1:12" ht="19.5" customHeight="1">
      <c r="A348" s="4"/>
      <c r="B348" s="4"/>
      <c r="C348" s="4"/>
      <c r="D348" s="4"/>
      <c r="E348" s="33"/>
      <c r="F348" s="33"/>
      <c r="G348" s="33"/>
      <c r="H348" s="4"/>
      <c r="I348" s="4"/>
      <c r="J348" s="4"/>
      <c r="K348" s="4"/>
      <c r="L348" s="4"/>
    </row>
    <row r="349" spans="1:12" ht="19.5" customHeight="1">
      <c r="A349" s="4"/>
      <c r="B349" s="4"/>
      <c r="C349" s="4"/>
      <c r="D349" s="4"/>
      <c r="E349" s="33"/>
      <c r="F349" s="33"/>
      <c r="G349" s="33"/>
      <c r="H349" s="4"/>
      <c r="I349" s="4"/>
      <c r="J349" s="4"/>
      <c r="K349" s="4"/>
      <c r="L349" s="4"/>
    </row>
    <row r="350" spans="1:12" ht="19.5" customHeight="1">
      <c r="A350" s="4"/>
      <c r="B350" s="4"/>
      <c r="C350" s="4"/>
      <c r="D350" s="4"/>
      <c r="E350" s="33"/>
      <c r="F350" s="33"/>
      <c r="G350" s="33"/>
      <c r="H350" s="4"/>
      <c r="I350" s="4"/>
      <c r="J350" s="4"/>
      <c r="K350" s="4"/>
      <c r="L350" s="4"/>
    </row>
    <row r="351" spans="1:12" ht="19.5" customHeight="1">
      <c r="A351" s="4"/>
      <c r="B351" s="4"/>
      <c r="C351" s="4"/>
      <c r="D351" s="4"/>
      <c r="E351" s="33"/>
      <c r="F351" s="33"/>
      <c r="G351" s="33"/>
      <c r="H351" s="4"/>
      <c r="I351" s="4"/>
      <c r="J351" s="4"/>
      <c r="K351" s="4"/>
      <c r="L351" s="4"/>
    </row>
    <row r="352" spans="1:12" ht="19.5" customHeight="1">
      <c r="A352" s="4"/>
      <c r="B352" s="4"/>
      <c r="C352" s="4"/>
      <c r="D352" s="4"/>
      <c r="E352" s="33"/>
      <c r="F352" s="33"/>
      <c r="G352" s="33"/>
      <c r="H352" s="4"/>
      <c r="I352" s="4"/>
      <c r="J352" s="4"/>
      <c r="K352" s="4"/>
      <c r="L352" s="4"/>
    </row>
    <row r="353" spans="1:12" ht="19.5" customHeight="1">
      <c r="A353" s="4"/>
      <c r="B353" s="4"/>
      <c r="D353" s="4" t="s">
        <v>1135</v>
      </c>
      <c r="G353" s="4"/>
      <c r="H353" s="4"/>
      <c r="I353" s="4"/>
      <c r="J353" s="4"/>
      <c r="K353" s="4"/>
      <c r="L353" s="4"/>
    </row>
    <row r="354" spans="1:34" ht="19.5" customHeight="1">
      <c r="A354" s="4"/>
      <c r="B354" s="4"/>
      <c r="C354" s="4"/>
      <c r="D354" s="4"/>
      <c r="E354" s="4"/>
      <c r="F354" s="4"/>
      <c r="H354" s="4" t="s">
        <v>307</v>
      </c>
      <c r="I354" s="4"/>
      <c r="J354" s="4"/>
      <c r="L354" s="4" t="s">
        <v>256</v>
      </c>
      <c r="M354" s="4" t="s">
        <v>308</v>
      </c>
      <c r="AH354" s="27"/>
    </row>
    <row r="355" spans="1:34" ht="19.5" customHeight="1">
      <c r="A355" s="4"/>
      <c r="B355" s="4"/>
      <c r="C355" s="4"/>
      <c r="D355" s="4"/>
      <c r="E355" s="4"/>
      <c r="F355" s="4"/>
      <c r="G355" s="4"/>
      <c r="H355" s="4"/>
      <c r="I355" s="4"/>
      <c r="J355" s="4"/>
      <c r="L355" s="4" t="s">
        <v>256</v>
      </c>
      <c r="M355" s="38">
        <f>W359</f>
        <v>4</v>
      </c>
      <c r="N355" s="38"/>
      <c r="O355" s="27" t="s">
        <v>309</v>
      </c>
      <c r="P355" s="38">
        <v>2</v>
      </c>
      <c r="Q355" s="38"/>
      <c r="R355" s="27" t="s">
        <v>309</v>
      </c>
      <c r="S355" s="39" t="s">
        <v>310</v>
      </c>
      <c r="T355" s="29"/>
      <c r="AH355" s="27"/>
    </row>
    <row r="356" spans="1:34" ht="19.5" customHeight="1">
      <c r="A356" s="4"/>
      <c r="B356" s="4"/>
      <c r="C356" s="4"/>
      <c r="D356" s="4"/>
      <c r="E356" s="4"/>
      <c r="F356" s="4"/>
      <c r="G356" s="4"/>
      <c r="H356" s="4"/>
      <c r="I356" s="4"/>
      <c r="J356" s="4"/>
      <c r="L356" s="4" t="s">
        <v>256</v>
      </c>
      <c r="M356" s="38">
        <f>M355*P355</f>
        <v>8</v>
      </c>
      <c r="N356" s="38"/>
      <c r="O356" s="27" t="s">
        <v>309</v>
      </c>
      <c r="P356" s="39" t="s">
        <v>310</v>
      </c>
      <c r="Q356" s="29"/>
      <c r="R356" s="29" t="s">
        <v>311</v>
      </c>
      <c r="U356" s="39" t="s">
        <v>312</v>
      </c>
      <c r="AH356" s="27"/>
    </row>
    <row r="357" spans="1:34" ht="19.5" customHeight="1">
      <c r="A357" s="4"/>
      <c r="B357" s="4"/>
      <c r="C357" s="4"/>
      <c r="E357" s="4" t="s">
        <v>313</v>
      </c>
      <c r="H357" s="104" t="s">
        <v>314</v>
      </c>
      <c r="I357" s="104"/>
      <c r="J357" s="42"/>
      <c r="L357" s="4" t="s">
        <v>1163</v>
      </c>
      <c r="M357" s="4"/>
      <c r="AH357" s="27"/>
    </row>
    <row r="358" spans="1:30" ht="19.5" customHeight="1">
      <c r="A358" s="4"/>
      <c r="B358" s="4"/>
      <c r="C358" s="4"/>
      <c r="D358" s="4"/>
      <c r="E358" s="4"/>
      <c r="G358" s="4"/>
      <c r="H358" s="104" t="s">
        <v>315</v>
      </c>
      <c r="I358" s="104"/>
      <c r="J358" s="42"/>
      <c r="L358" s="4" t="s">
        <v>1164</v>
      </c>
      <c r="M358" s="4"/>
      <c r="U358" s="27" t="s">
        <v>316</v>
      </c>
      <c r="V358" s="27" t="s">
        <v>317</v>
      </c>
      <c r="W358" s="243">
        <f>K344</f>
        <v>10.728</v>
      </c>
      <c r="X358" s="243"/>
      <c r="Y358" s="243"/>
      <c r="Z358" s="243"/>
      <c r="AA358" s="27" t="s">
        <v>318</v>
      </c>
      <c r="AB358" s="29"/>
      <c r="AC358" s="29"/>
      <c r="AD358" s="29"/>
    </row>
    <row r="359" spans="1:30" ht="19.5" customHeight="1">
      <c r="A359" s="4"/>
      <c r="B359" s="4"/>
      <c r="C359" s="4"/>
      <c r="D359" s="4"/>
      <c r="E359" s="4"/>
      <c r="G359" s="4"/>
      <c r="H359" s="104" t="s">
        <v>1346</v>
      </c>
      <c r="I359" s="104"/>
      <c r="J359" s="42"/>
      <c r="L359" s="4" t="s">
        <v>1165</v>
      </c>
      <c r="M359" s="4"/>
      <c r="U359" s="27" t="s">
        <v>1359</v>
      </c>
      <c r="V359" s="27" t="s">
        <v>1360</v>
      </c>
      <c r="W359" s="325">
        <v>4</v>
      </c>
      <c r="X359" s="326"/>
      <c r="Y359" s="27" t="s">
        <v>319</v>
      </c>
      <c r="AA359" s="29"/>
      <c r="AB359" s="29"/>
      <c r="AC359" s="29"/>
      <c r="AD359" s="29"/>
    </row>
    <row r="360" spans="1:30" ht="19.5" customHeight="1">
      <c r="A360" s="4"/>
      <c r="B360" s="4"/>
      <c r="C360" s="4"/>
      <c r="D360" s="4"/>
      <c r="E360" s="4"/>
      <c r="G360" s="4"/>
      <c r="H360" s="104" t="s">
        <v>1275</v>
      </c>
      <c r="I360" s="104"/>
      <c r="J360" s="42"/>
      <c r="L360" s="4" t="s">
        <v>1166</v>
      </c>
      <c r="M360" s="4"/>
      <c r="U360" s="27" t="s">
        <v>316</v>
      </c>
      <c r="V360" s="27" t="s">
        <v>317</v>
      </c>
      <c r="W360" s="325">
        <v>2</v>
      </c>
      <c r="X360" s="325"/>
      <c r="Y360" s="27" t="s">
        <v>320</v>
      </c>
      <c r="Z360" s="39" t="s">
        <v>321</v>
      </c>
      <c r="AA360" s="29"/>
      <c r="AB360" s="29" t="s">
        <v>322</v>
      </c>
      <c r="AC360" s="29"/>
      <c r="AD360" s="29"/>
    </row>
    <row r="361" spans="1:12" ht="19.5" customHeight="1">
      <c r="A361" s="4"/>
      <c r="B361" s="4"/>
      <c r="C361" s="4"/>
      <c r="D361" s="4"/>
      <c r="E361" s="4"/>
      <c r="F361" s="4" t="s">
        <v>323</v>
      </c>
      <c r="G361" s="4"/>
      <c r="H361" s="4"/>
      <c r="I361" s="4"/>
      <c r="J361" s="4"/>
      <c r="K361" s="4"/>
      <c r="L361" s="4"/>
    </row>
    <row r="362" spans="1:12" ht="19.5" customHeight="1">
      <c r="A362" s="4"/>
      <c r="B362" s="4"/>
      <c r="C362" s="4"/>
      <c r="E362" s="4" t="s">
        <v>1112</v>
      </c>
      <c r="F362" s="4"/>
      <c r="G362" s="4"/>
      <c r="H362" s="4"/>
      <c r="I362" s="4"/>
      <c r="J362" s="4"/>
      <c r="K362" s="4"/>
      <c r="L362" s="4"/>
    </row>
    <row r="363" spans="1:44" ht="19.5" customHeight="1">
      <c r="A363" s="4"/>
      <c r="B363" s="4"/>
      <c r="C363" s="4"/>
      <c r="D363" s="4"/>
      <c r="E363" s="4"/>
      <c r="F363" s="4"/>
      <c r="G363" s="4"/>
      <c r="H363" s="4"/>
      <c r="I363" s="4"/>
      <c r="J363" s="4"/>
      <c r="K363" s="4"/>
      <c r="L363" s="4"/>
      <c r="AR363" s="36"/>
    </row>
    <row r="364" ht="19.5" customHeight="1">
      <c r="AR364" s="36"/>
    </row>
    <row r="365" spans="1:44" ht="19.5" customHeight="1">
      <c r="A365" s="4"/>
      <c r="B365" s="4"/>
      <c r="C365" s="4"/>
      <c r="D365" s="4"/>
      <c r="E365" s="4" t="s">
        <v>324</v>
      </c>
      <c r="F365" s="4"/>
      <c r="G365" s="4"/>
      <c r="H365" s="4"/>
      <c r="I365" s="4"/>
      <c r="J365" s="4"/>
      <c r="K365" s="4"/>
      <c r="L365" s="4"/>
      <c r="AR365" s="36"/>
    </row>
    <row r="366" spans="1:12" ht="19.5" customHeight="1">
      <c r="A366" s="4"/>
      <c r="B366" s="4"/>
      <c r="C366" s="4"/>
      <c r="D366" s="4"/>
      <c r="E366" s="4" t="s">
        <v>324</v>
      </c>
      <c r="F366" s="4"/>
      <c r="G366" s="4"/>
      <c r="H366" s="4"/>
      <c r="I366" s="4"/>
      <c r="J366" s="4"/>
      <c r="K366" s="4"/>
      <c r="L366" s="4"/>
    </row>
    <row r="367" spans="1:12" ht="19.5" customHeight="1">
      <c r="A367" s="4"/>
      <c r="B367" s="4"/>
      <c r="C367" s="4"/>
      <c r="D367" s="4"/>
      <c r="E367" s="4" t="s">
        <v>324</v>
      </c>
      <c r="F367" s="4"/>
      <c r="G367" s="4"/>
      <c r="H367" s="4"/>
      <c r="I367" s="4"/>
      <c r="J367" s="4"/>
      <c r="K367" s="4"/>
      <c r="L367" s="4"/>
    </row>
    <row r="368" spans="1:12" ht="19.5" customHeight="1">
      <c r="A368" s="4"/>
      <c r="B368" s="4"/>
      <c r="C368" s="4"/>
      <c r="D368" s="4"/>
      <c r="E368" s="4" t="s">
        <v>324</v>
      </c>
      <c r="F368" s="4"/>
      <c r="G368" s="4"/>
      <c r="H368" s="4"/>
      <c r="I368" s="4"/>
      <c r="J368" s="4"/>
      <c r="K368" s="4"/>
      <c r="L368" s="4"/>
    </row>
    <row r="369" spans="1:12" ht="19.5" customHeight="1">
      <c r="A369" s="4"/>
      <c r="B369" s="4"/>
      <c r="C369" s="4"/>
      <c r="D369" s="4"/>
      <c r="E369" s="4" t="s">
        <v>324</v>
      </c>
      <c r="F369" s="4"/>
      <c r="G369" s="4"/>
      <c r="H369" s="4"/>
      <c r="I369" s="4"/>
      <c r="J369" s="4"/>
      <c r="K369" s="4"/>
      <c r="L369" s="4"/>
    </row>
    <row r="370" spans="1:12" ht="19.5" customHeight="1">
      <c r="A370" s="4"/>
      <c r="B370" s="4"/>
      <c r="C370" s="4"/>
      <c r="D370" s="4"/>
      <c r="E370" s="4" t="s">
        <v>324</v>
      </c>
      <c r="F370" s="4"/>
      <c r="G370" s="4"/>
      <c r="H370" s="4"/>
      <c r="I370" s="4"/>
      <c r="J370" s="4"/>
      <c r="K370" s="4"/>
      <c r="L370" s="4"/>
    </row>
    <row r="371" spans="1:12" ht="19.5" customHeight="1">
      <c r="A371" s="4"/>
      <c r="B371" s="4"/>
      <c r="C371" s="4"/>
      <c r="D371" s="4"/>
      <c r="E371" s="4" t="s">
        <v>324</v>
      </c>
      <c r="F371" s="4"/>
      <c r="G371" s="4"/>
      <c r="H371" s="4"/>
      <c r="I371" s="4"/>
      <c r="J371" s="4"/>
      <c r="K371" s="4"/>
      <c r="L371" s="4"/>
    </row>
    <row r="372" spans="1:12" ht="19.5" customHeight="1">
      <c r="A372" s="4"/>
      <c r="B372" s="4"/>
      <c r="C372" s="4"/>
      <c r="D372" s="4"/>
      <c r="E372" s="4" t="s">
        <v>324</v>
      </c>
      <c r="F372" s="4"/>
      <c r="G372" s="4"/>
      <c r="H372" s="4"/>
      <c r="I372" s="4"/>
      <c r="J372" s="4"/>
      <c r="K372" s="4"/>
      <c r="L372" s="4"/>
    </row>
    <row r="373" spans="1:12" ht="19.5" customHeight="1">
      <c r="A373" s="4"/>
      <c r="B373" s="4"/>
      <c r="C373" s="4"/>
      <c r="D373" s="4"/>
      <c r="E373" s="4" t="s">
        <v>324</v>
      </c>
      <c r="F373" s="4"/>
      <c r="G373" s="4"/>
      <c r="H373" s="4"/>
      <c r="I373" s="4"/>
      <c r="J373" s="4"/>
      <c r="K373" s="4"/>
      <c r="L373" s="4"/>
    </row>
    <row r="374" spans="1:12" ht="19.5" customHeight="1">
      <c r="A374" s="4"/>
      <c r="B374" s="4"/>
      <c r="C374" s="4"/>
      <c r="D374" s="4"/>
      <c r="E374" s="4" t="s">
        <v>324</v>
      </c>
      <c r="F374" s="4"/>
      <c r="G374" s="4"/>
      <c r="H374" s="4"/>
      <c r="I374" s="4"/>
      <c r="J374" s="4"/>
      <c r="K374" s="4"/>
      <c r="L374" s="4"/>
    </row>
    <row r="375" spans="1:12" ht="19.5" customHeight="1">
      <c r="A375" s="4"/>
      <c r="B375" s="4"/>
      <c r="C375" s="4"/>
      <c r="D375" s="4"/>
      <c r="E375" s="4" t="s">
        <v>324</v>
      </c>
      <c r="F375" s="4"/>
      <c r="G375" s="4"/>
      <c r="H375" s="4"/>
      <c r="I375" s="4"/>
      <c r="J375" s="4"/>
      <c r="K375" s="4"/>
      <c r="L375" s="4"/>
    </row>
    <row r="376" spans="1:12" ht="19.5" customHeight="1">
      <c r="A376" s="4"/>
      <c r="B376" s="4"/>
      <c r="E376" s="4" t="s">
        <v>1113</v>
      </c>
      <c r="F376" s="4"/>
      <c r="G376" s="4"/>
      <c r="H376" s="4"/>
      <c r="I376" s="4"/>
      <c r="J376" s="4"/>
      <c r="K376" s="4"/>
      <c r="L376" s="4"/>
    </row>
    <row r="377" spans="1:25" ht="19.5" customHeight="1">
      <c r="A377" s="4"/>
      <c r="B377" s="4"/>
      <c r="E377" s="4" t="s">
        <v>1167</v>
      </c>
      <c r="F377" s="4"/>
      <c r="G377" s="4"/>
      <c r="H377" s="4"/>
      <c r="I377" s="4"/>
      <c r="J377" s="4"/>
      <c r="K377" s="4"/>
      <c r="L377" s="4"/>
      <c r="Y377" s="27" t="s">
        <v>325</v>
      </c>
    </row>
    <row r="378" spans="1:44" ht="19.5" customHeight="1">
      <c r="A378" s="4"/>
      <c r="B378" s="4"/>
      <c r="C378" s="4"/>
      <c r="D378" s="4"/>
      <c r="E378" s="183"/>
      <c r="F378" s="183"/>
      <c r="G378" s="183"/>
      <c r="H378" s="183" t="s">
        <v>1168</v>
      </c>
      <c r="I378" s="183"/>
      <c r="J378" s="183"/>
      <c r="K378" s="183"/>
      <c r="L378" s="183"/>
      <c r="M378" s="183" t="s">
        <v>1169</v>
      </c>
      <c r="N378" s="183"/>
      <c r="O378" s="183"/>
      <c r="P378" s="183"/>
      <c r="Q378" s="183"/>
      <c r="R378" s="183" t="s">
        <v>1170</v>
      </c>
      <c r="S378" s="183"/>
      <c r="T378" s="183"/>
      <c r="U378" s="183"/>
      <c r="V378" s="183"/>
      <c r="W378" s="204" t="s">
        <v>1171</v>
      </c>
      <c r="X378" s="204"/>
      <c r="Y378" s="204"/>
      <c r="Z378" s="204"/>
      <c r="AA378" s="204"/>
      <c r="AB378" s="204"/>
      <c r="AR378" s="36"/>
    </row>
    <row r="379" spans="1:28" ht="19.5" customHeight="1">
      <c r="A379" s="4"/>
      <c r="B379" s="4"/>
      <c r="C379" s="4"/>
      <c r="D379" s="4"/>
      <c r="E379" s="183" t="s">
        <v>964</v>
      </c>
      <c r="F379" s="183"/>
      <c r="G379" s="183"/>
      <c r="H379" s="183" t="s">
        <v>1276</v>
      </c>
      <c r="I379" s="183"/>
      <c r="J379" s="183"/>
      <c r="K379" s="183"/>
      <c r="L379" s="183"/>
      <c r="M379" s="204" t="s">
        <v>1277</v>
      </c>
      <c r="N379" s="204"/>
      <c r="O379" s="204"/>
      <c r="P379" s="204"/>
      <c r="Q379" s="204"/>
      <c r="R379" s="204" t="s">
        <v>1278</v>
      </c>
      <c r="S379" s="204"/>
      <c r="T379" s="204"/>
      <c r="U379" s="204"/>
      <c r="V379" s="204"/>
      <c r="W379" s="204"/>
      <c r="X379" s="204"/>
      <c r="Y379" s="204"/>
      <c r="Z379" s="204"/>
      <c r="AA379" s="204"/>
      <c r="AB379" s="204"/>
    </row>
    <row r="380" spans="1:28" ht="19.5" customHeight="1">
      <c r="A380" s="4"/>
      <c r="B380" s="4"/>
      <c r="C380" s="4"/>
      <c r="D380" s="4"/>
      <c r="E380" s="183" t="s">
        <v>1177</v>
      </c>
      <c r="F380" s="183"/>
      <c r="G380" s="183"/>
      <c r="H380" s="227">
        <v>1242.4</v>
      </c>
      <c r="I380" s="228"/>
      <c r="J380" s="228"/>
      <c r="K380" s="228"/>
      <c r="L380" s="229"/>
      <c r="M380" s="227">
        <v>1327.8</v>
      </c>
      <c r="N380" s="228"/>
      <c r="O380" s="228"/>
      <c r="P380" s="228"/>
      <c r="Q380" s="229"/>
      <c r="R380" s="213">
        <f aca="true" t="shared" si="5" ref="R380:R388">(H380+M380)/2</f>
        <v>1285.1</v>
      </c>
      <c r="S380" s="213"/>
      <c r="T380" s="213"/>
      <c r="U380" s="213"/>
      <c r="V380" s="213"/>
      <c r="W380" s="308"/>
      <c r="X380" s="308"/>
      <c r="Y380" s="308"/>
      <c r="Z380" s="308"/>
      <c r="AA380" s="308"/>
      <c r="AB380" s="308"/>
    </row>
    <row r="381" spans="1:28" ht="19.5" customHeight="1">
      <c r="A381" s="4"/>
      <c r="B381" s="4"/>
      <c r="C381" s="4"/>
      <c r="D381" s="4"/>
      <c r="E381" s="204" t="s">
        <v>300</v>
      </c>
      <c r="F381" s="204"/>
      <c r="G381" s="204"/>
      <c r="H381" s="227">
        <v>1253.5</v>
      </c>
      <c r="I381" s="228"/>
      <c r="J381" s="228"/>
      <c r="K381" s="228"/>
      <c r="L381" s="229"/>
      <c r="M381" s="227">
        <v>1327.9</v>
      </c>
      <c r="N381" s="228"/>
      <c r="O381" s="228"/>
      <c r="P381" s="228"/>
      <c r="Q381" s="229"/>
      <c r="R381" s="213">
        <f t="shared" si="5"/>
        <v>1290.7</v>
      </c>
      <c r="S381" s="213"/>
      <c r="T381" s="213"/>
      <c r="U381" s="213"/>
      <c r="V381" s="213"/>
      <c r="W381" s="308"/>
      <c r="X381" s="308"/>
      <c r="Y381" s="308"/>
      <c r="Z381" s="308"/>
      <c r="AA381" s="308"/>
      <c r="AB381" s="308"/>
    </row>
    <row r="382" spans="1:28" ht="19.5" customHeight="1">
      <c r="A382" s="4"/>
      <c r="B382" s="4"/>
      <c r="C382" s="4"/>
      <c r="D382" s="4"/>
      <c r="E382" s="204" t="s">
        <v>301</v>
      </c>
      <c r="F382" s="204"/>
      <c r="G382" s="204"/>
      <c r="H382" s="227">
        <v>1272.2</v>
      </c>
      <c r="I382" s="228"/>
      <c r="J382" s="228"/>
      <c r="K382" s="228"/>
      <c r="L382" s="229"/>
      <c r="M382" s="227">
        <v>1324.2</v>
      </c>
      <c r="N382" s="228"/>
      <c r="O382" s="228"/>
      <c r="P382" s="228"/>
      <c r="Q382" s="229"/>
      <c r="R382" s="213">
        <f t="shared" si="5"/>
        <v>1298.2</v>
      </c>
      <c r="S382" s="213"/>
      <c r="T382" s="213"/>
      <c r="U382" s="213"/>
      <c r="V382" s="213"/>
      <c r="W382" s="308"/>
      <c r="X382" s="308"/>
      <c r="Y382" s="308"/>
      <c r="Z382" s="308"/>
      <c r="AA382" s="308"/>
      <c r="AB382" s="308"/>
    </row>
    <row r="383" spans="1:28" ht="19.5" customHeight="1">
      <c r="A383" s="4"/>
      <c r="B383" s="4"/>
      <c r="C383" s="4"/>
      <c r="D383" s="4"/>
      <c r="E383" s="204" t="s">
        <v>302</v>
      </c>
      <c r="F383" s="204"/>
      <c r="G383" s="204"/>
      <c r="H383" s="227">
        <v>1288.6</v>
      </c>
      <c r="I383" s="228"/>
      <c r="J383" s="228"/>
      <c r="K383" s="228"/>
      <c r="L383" s="229"/>
      <c r="M383" s="227">
        <v>1305</v>
      </c>
      <c r="N383" s="228"/>
      <c r="O383" s="228"/>
      <c r="P383" s="228"/>
      <c r="Q383" s="229"/>
      <c r="R383" s="213">
        <f t="shared" si="5"/>
        <v>1296.8</v>
      </c>
      <c r="S383" s="213"/>
      <c r="T383" s="213"/>
      <c r="U383" s="213"/>
      <c r="V383" s="213"/>
      <c r="W383" s="308"/>
      <c r="X383" s="308"/>
      <c r="Y383" s="308"/>
      <c r="Z383" s="308"/>
      <c r="AA383" s="308"/>
      <c r="AB383" s="308"/>
    </row>
    <row r="384" spans="1:28" ht="19.5" customHeight="1">
      <c r="A384" s="4"/>
      <c r="B384" s="4"/>
      <c r="C384" s="4"/>
      <c r="D384" s="4"/>
      <c r="E384" s="204" t="s">
        <v>303</v>
      </c>
      <c r="F384" s="204"/>
      <c r="G384" s="204"/>
      <c r="H384" s="227">
        <v>1291.2</v>
      </c>
      <c r="I384" s="228"/>
      <c r="J384" s="228"/>
      <c r="K384" s="228"/>
      <c r="L384" s="229"/>
      <c r="M384" s="227">
        <v>1291.2</v>
      </c>
      <c r="N384" s="228"/>
      <c r="O384" s="228"/>
      <c r="P384" s="228"/>
      <c r="Q384" s="229"/>
      <c r="R384" s="213">
        <f t="shared" si="5"/>
        <v>1291.2</v>
      </c>
      <c r="S384" s="213"/>
      <c r="T384" s="213"/>
      <c r="U384" s="213"/>
      <c r="V384" s="213"/>
      <c r="W384" s="308"/>
      <c r="X384" s="308"/>
      <c r="Y384" s="308"/>
      <c r="Z384" s="308"/>
      <c r="AA384" s="308"/>
      <c r="AB384" s="308"/>
    </row>
    <row r="385" spans="1:28" ht="19.5" customHeight="1">
      <c r="A385" s="4"/>
      <c r="B385" s="4"/>
      <c r="C385" s="4"/>
      <c r="D385" s="4"/>
      <c r="E385" s="204" t="s">
        <v>304</v>
      </c>
      <c r="F385" s="204"/>
      <c r="G385" s="204"/>
      <c r="H385" s="227">
        <v>1305</v>
      </c>
      <c r="I385" s="228"/>
      <c r="J385" s="228"/>
      <c r="K385" s="228"/>
      <c r="L385" s="229"/>
      <c r="M385" s="227">
        <v>1288.6</v>
      </c>
      <c r="N385" s="228"/>
      <c r="O385" s="228"/>
      <c r="P385" s="228"/>
      <c r="Q385" s="229"/>
      <c r="R385" s="213">
        <f t="shared" si="5"/>
        <v>1296.8</v>
      </c>
      <c r="S385" s="213"/>
      <c r="T385" s="213"/>
      <c r="U385" s="213"/>
      <c r="V385" s="213"/>
      <c r="W385" s="308"/>
      <c r="X385" s="308"/>
      <c r="Y385" s="308"/>
      <c r="Z385" s="308"/>
      <c r="AA385" s="308"/>
      <c r="AB385" s="308"/>
    </row>
    <row r="386" spans="1:28" ht="19.5" customHeight="1">
      <c r="A386" s="4"/>
      <c r="B386" s="4"/>
      <c r="C386" s="4"/>
      <c r="D386" s="4"/>
      <c r="E386" s="204" t="s">
        <v>305</v>
      </c>
      <c r="F386" s="204"/>
      <c r="G386" s="204"/>
      <c r="H386" s="227">
        <v>1324.2</v>
      </c>
      <c r="I386" s="228"/>
      <c r="J386" s="228"/>
      <c r="K386" s="228"/>
      <c r="L386" s="229"/>
      <c r="M386" s="227">
        <v>1272.2</v>
      </c>
      <c r="N386" s="228"/>
      <c r="O386" s="228"/>
      <c r="P386" s="228"/>
      <c r="Q386" s="229"/>
      <c r="R386" s="213">
        <f t="shared" si="5"/>
        <v>1298.2</v>
      </c>
      <c r="S386" s="213"/>
      <c r="T386" s="213"/>
      <c r="U386" s="213"/>
      <c r="V386" s="213"/>
      <c r="W386" s="308"/>
      <c r="X386" s="308"/>
      <c r="Y386" s="308"/>
      <c r="Z386" s="308"/>
      <c r="AA386" s="308"/>
      <c r="AB386" s="308"/>
    </row>
    <row r="387" spans="1:28" ht="19.5" customHeight="1">
      <c r="A387" s="4"/>
      <c r="B387" s="4"/>
      <c r="C387" s="4"/>
      <c r="D387" s="4"/>
      <c r="E387" s="204" t="s">
        <v>306</v>
      </c>
      <c r="F387" s="204"/>
      <c r="G387" s="204"/>
      <c r="H387" s="227">
        <v>1327.9</v>
      </c>
      <c r="I387" s="228"/>
      <c r="J387" s="228"/>
      <c r="K387" s="228"/>
      <c r="L387" s="229"/>
      <c r="M387" s="227">
        <v>1253.5</v>
      </c>
      <c r="N387" s="228"/>
      <c r="O387" s="228"/>
      <c r="P387" s="228"/>
      <c r="Q387" s="229"/>
      <c r="R387" s="213">
        <f t="shared" si="5"/>
        <v>1290.7</v>
      </c>
      <c r="S387" s="213"/>
      <c r="T387" s="213"/>
      <c r="U387" s="213"/>
      <c r="V387" s="213"/>
      <c r="W387" s="308"/>
      <c r="X387" s="308"/>
      <c r="Y387" s="308"/>
      <c r="Z387" s="308"/>
      <c r="AA387" s="308"/>
      <c r="AB387" s="308"/>
    </row>
    <row r="388" spans="1:28" ht="19.5" customHeight="1">
      <c r="A388" s="4"/>
      <c r="B388" s="4"/>
      <c r="C388" s="4"/>
      <c r="D388" s="4"/>
      <c r="E388" s="204" t="s">
        <v>1172</v>
      </c>
      <c r="F388" s="204"/>
      <c r="G388" s="204"/>
      <c r="H388" s="227">
        <v>1327.8</v>
      </c>
      <c r="I388" s="228"/>
      <c r="J388" s="228"/>
      <c r="K388" s="228"/>
      <c r="L388" s="229"/>
      <c r="M388" s="227">
        <v>1242.4</v>
      </c>
      <c r="N388" s="228"/>
      <c r="O388" s="228"/>
      <c r="P388" s="228"/>
      <c r="Q388" s="229"/>
      <c r="R388" s="213">
        <f t="shared" si="5"/>
        <v>1285.1</v>
      </c>
      <c r="S388" s="213"/>
      <c r="T388" s="213"/>
      <c r="U388" s="213"/>
      <c r="V388" s="213"/>
      <c r="W388" s="308"/>
      <c r="X388" s="308"/>
      <c r="Y388" s="308"/>
      <c r="Z388" s="308"/>
      <c r="AA388" s="308"/>
      <c r="AB388" s="308"/>
    </row>
    <row r="389" spans="1:12" ht="19.5" customHeight="1">
      <c r="A389" s="4"/>
      <c r="B389" s="4"/>
      <c r="C389" s="4"/>
      <c r="D389" s="4"/>
      <c r="E389" s="4"/>
      <c r="F389" s="4"/>
      <c r="G389" s="4"/>
      <c r="K389" s="4"/>
      <c r="L389" s="4"/>
    </row>
    <row r="390" spans="1:12" ht="19.5" customHeight="1">
      <c r="A390" s="4"/>
      <c r="B390" s="4"/>
      <c r="C390" s="4"/>
      <c r="D390" s="4"/>
      <c r="E390" s="4"/>
      <c r="F390" s="4"/>
      <c r="G390" s="4"/>
      <c r="H390" s="4"/>
      <c r="I390" s="4"/>
      <c r="J390" s="4"/>
      <c r="K390" s="4"/>
      <c r="L390" s="4"/>
    </row>
    <row r="391" spans="1:12" ht="19.5" customHeight="1">
      <c r="A391" s="4"/>
      <c r="B391" s="4"/>
      <c r="C391" s="4"/>
      <c r="D391" s="4"/>
      <c r="E391" s="4"/>
      <c r="F391" s="4"/>
      <c r="G391" s="4"/>
      <c r="H391" s="4"/>
      <c r="I391" s="4"/>
      <c r="J391" s="4"/>
      <c r="K391" s="4"/>
      <c r="L391" s="4"/>
    </row>
    <row r="392" spans="1:12" ht="19.5" customHeight="1">
      <c r="A392" s="4"/>
      <c r="B392" s="4"/>
      <c r="C392" s="4"/>
      <c r="D392" s="4"/>
      <c r="E392" s="4"/>
      <c r="F392" s="4"/>
      <c r="G392" s="4"/>
      <c r="H392" s="4"/>
      <c r="I392" s="4"/>
      <c r="J392" s="4"/>
      <c r="K392" s="4"/>
      <c r="L392" s="4"/>
    </row>
    <row r="393" spans="1:12" ht="19.5" customHeight="1">
      <c r="A393" s="4"/>
      <c r="B393" s="4"/>
      <c r="C393" s="4"/>
      <c r="D393" s="4"/>
      <c r="E393" s="4"/>
      <c r="F393" s="4"/>
      <c r="G393" s="4"/>
      <c r="H393" s="4"/>
      <c r="I393" s="4"/>
      <c r="J393" s="4"/>
      <c r="K393" s="4"/>
      <c r="L393" s="4"/>
    </row>
    <row r="394" spans="1:12" ht="19.5" customHeight="1">
      <c r="A394" s="4"/>
      <c r="B394" s="4"/>
      <c r="C394" s="4"/>
      <c r="D394" s="4"/>
      <c r="E394" s="4"/>
      <c r="F394" s="4"/>
      <c r="G394" s="4"/>
      <c r="H394" s="4"/>
      <c r="I394" s="4"/>
      <c r="J394" s="4"/>
      <c r="K394" s="4"/>
      <c r="L394" s="4"/>
    </row>
    <row r="395" spans="1:12" ht="19.5" customHeight="1">
      <c r="A395" s="4"/>
      <c r="B395" s="4"/>
      <c r="C395" s="4"/>
      <c r="D395" s="4"/>
      <c r="E395" s="4"/>
      <c r="F395" s="4"/>
      <c r="G395" s="4"/>
      <c r="H395" s="4"/>
      <c r="I395" s="4"/>
      <c r="J395" s="4"/>
      <c r="K395" s="4"/>
      <c r="L395" s="4"/>
    </row>
    <row r="396" spans="1:12" ht="19.5" customHeight="1">
      <c r="A396" s="4"/>
      <c r="B396" s="4"/>
      <c r="D396" s="4" t="s">
        <v>1173</v>
      </c>
      <c r="G396" s="4"/>
      <c r="H396" s="4"/>
      <c r="I396" s="4"/>
      <c r="J396" s="4"/>
      <c r="K396" s="4"/>
      <c r="L396" s="4"/>
    </row>
    <row r="397" spans="1:34" ht="19.5" customHeight="1">
      <c r="A397" s="4"/>
      <c r="B397" s="4"/>
      <c r="C397" s="4"/>
      <c r="D397" s="4"/>
      <c r="E397" s="4"/>
      <c r="F397" s="4"/>
      <c r="I397" s="4" t="s">
        <v>326</v>
      </c>
      <c r="J397" s="4"/>
      <c r="L397" s="4" t="s">
        <v>1361</v>
      </c>
      <c r="M397" s="4" t="s">
        <v>327</v>
      </c>
      <c r="AH397" s="27"/>
    </row>
    <row r="398" spans="1:41" ht="19.5" customHeight="1">
      <c r="A398" s="4"/>
      <c r="B398" s="4"/>
      <c r="D398" s="4"/>
      <c r="G398" s="4"/>
      <c r="H398" s="4"/>
      <c r="I398" s="4"/>
      <c r="J398" s="4"/>
      <c r="K398" s="4"/>
      <c r="L398" s="4" t="s">
        <v>1361</v>
      </c>
      <c r="M398" s="257" t="s">
        <v>328</v>
      </c>
      <c r="N398" s="257"/>
      <c r="O398" s="27" t="s">
        <v>329</v>
      </c>
      <c r="P398" s="255">
        <f>AJ400</f>
        <v>7.692307692307692</v>
      </c>
      <c r="Q398" s="255"/>
      <c r="R398" s="255"/>
      <c r="S398" s="27" t="s">
        <v>329</v>
      </c>
      <c r="T398" s="237">
        <f>AE405</f>
        <v>14.145585955555555</v>
      </c>
      <c r="U398" s="237"/>
      <c r="V398" s="237"/>
      <c r="W398" s="27" t="s">
        <v>329</v>
      </c>
      <c r="X398" s="27" t="s">
        <v>330</v>
      </c>
      <c r="Y398" s="250">
        <f>AD403</f>
        <v>8</v>
      </c>
      <c r="Z398" s="250"/>
      <c r="AA398" s="250"/>
      <c r="AB398" s="27" t="s">
        <v>331</v>
      </c>
      <c r="AC398" s="27">
        <v>1</v>
      </c>
      <c r="AD398" s="27" t="s">
        <v>332</v>
      </c>
      <c r="AF398" s="250">
        <f>AD403</f>
        <v>8</v>
      </c>
      <c r="AG398" s="250"/>
      <c r="AH398" s="250"/>
      <c r="AI398" s="4" t="s">
        <v>1361</v>
      </c>
      <c r="AJ398" s="286">
        <f>P398/2*T398*(Y398-1)/AF398</f>
        <v>47.60533735042735</v>
      </c>
      <c r="AK398" s="286"/>
      <c r="AL398" s="286"/>
      <c r="AM398" s="29" t="s">
        <v>333</v>
      </c>
      <c r="AN398" s="39"/>
      <c r="AO398" s="44"/>
    </row>
    <row r="399" spans="1:34" ht="19.5" customHeight="1">
      <c r="A399" s="4"/>
      <c r="B399" s="4"/>
      <c r="C399" s="4"/>
      <c r="E399" s="4" t="s">
        <v>929</v>
      </c>
      <c r="I399" s="4" t="s">
        <v>326</v>
      </c>
      <c r="J399" s="104"/>
      <c r="L399" s="4" t="s">
        <v>1174</v>
      </c>
      <c r="M399" s="4"/>
      <c r="AH399" s="27"/>
    </row>
    <row r="400" spans="1:38" ht="19.5" customHeight="1">
      <c r="A400" s="4"/>
      <c r="B400" s="4"/>
      <c r="D400" s="4"/>
      <c r="G400" s="4"/>
      <c r="I400" s="4"/>
      <c r="J400" s="4" t="s">
        <v>334</v>
      </c>
      <c r="K400" s="4"/>
      <c r="L400" s="4" t="s">
        <v>930</v>
      </c>
      <c r="M400" s="34"/>
      <c r="N400" s="34"/>
      <c r="R400" s="27" t="s">
        <v>335</v>
      </c>
      <c r="W400" s="27" t="s">
        <v>1361</v>
      </c>
      <c r="X400" s="38">
        <f>W360</f>
        <v>2</v>
      </c>
      <c r="Y400" s="38"/>
      <c r="Z400" s="27" t="s">
        <v>329</v>
      </c>
      <c r="AA400" s="39" t="s">
        <v>336</v>
      </c>
      <c r="AB400" s="29"/>
      <c r="AC400" s="39" t="s">
        <v>1362</v>
      </c>
      <c r="AD400" s="38">
        <f>AF402</f>
        <v>2.6</v>
      </c>
      <c r="AE400" s="38"/>
      <c r="AF400" s="27" t="s">
        <v>329</v>
      </c>
      <c r="AG400" s="39" t="s">
        <v>337</v>
      </c>
      <c r="AI400" s="29" t="s">
        <v>1361</v>
      </c>
      <c r="AJ400" s="255">
        <f>X400*10/AD400</f>
        <v>7.692307692307692</v>
      </c>
      <c r="AK400" s="255"/>
      <c r="AL400" s="255"/>
    </row>
    <row r="401" spans="1:32" ht="19.5" customHeight="1">
      <c r="A401" s="4"/>
      <c r="B401" s="4"/>
      <c r="D401" s="4"/>
      <c r="G401" s="4"/>
      <c r="I401" s="4"/>
      <c r="J401" s="4" t="s">
        <v>338</v>
      </c>
      <c r="K401" s="4"/>
      <c r="L401" s="4" t="s">
        <v>1175</v>
      </c>
      <c r="M401" s="34"/>
      <c r="N401" s="34"/>
      <c r="W401" s="27" t="s">
        <v>339</v>
      </c>
      <c r="Y401" s="38">
        <f>W360</f>
        <v>2</v>
      </c>
      <c r="Z401" s="38"/>
      <c r="AA401" s="27" t="s">
        <v>329</v>
      </c>
      <c r="AB401" s="39" t="s">
        <v>336</v>
      </c>
      <c r="AC401" s="29"/>
      <c r="AD401" s="29" t="s">
        <v>340</v>
      </c>
      <c r="AE401" s="29"/>
      <c r="AF401" s="29"/>
    </row>
    <row r="402" spans="1:37" ht="19.5" customHeight="1">
      <c r="A402" s="4"/>
      <c r="B402" s="4"/>
      <c r="D402" s="4"/>
      <c r="G402" s="4"/>
      <c r="I402" s="4"/>
      <c r="J402" s="4" t="s">
        <v>341</v>
      </c>
      <c r="K402" s="4"/>
      <c r="L402" s="4" t="s">
        <v>1176</v>
      </c>
      <c r="M402" s="34"/>
      <c r="N402" s="34"/>
      <c r="AD402" s="27" t="s">
        <v>1363</v>
      </c>
      <c r="AF402" s="325">
        <v>2.6</v>
      </c>
      <c r="AG402" s="325"/>
      <c r="AH402" s="27" t="s">
        <v>1364</v>
      </c>
      <c r="AI402" s="39" t="s">
        <v>1114</v>
      </c>
      <c r="AK402" s="29" t="s">
        <v>1115</v>
      </c>
    </row>
    <row r="403" spans="1:33" ht="19.5" customHeight="1">
      <c r="A403" s="4"/>
      <c r="B403" s="4"/>
      <c r="D403" s="4"/>
      <c r="G403" s="4"/>
      <c r="I403" s="4"/>
      <c r="J403" s="4" t="s">
        <v>1365</v>
      </c>
      <c r="K403" s="4"/>
      <c r="L403" s="4" t="s">
        <v>1186</v>
      </c>
      <c r="M403" s="34"/>
      <c r="N403" s="34"/>
      <c r="V403" s="27" t="s">
        <v>339</v>
      </c>
      <c r="X403" s="236">
        <v>1000</v>
      </c>
      <c r="Y403" s="236"/>
      <c r="Z403" s="39" t="s">
        <v>1362</v>
      </c>
      <c r="AA403" s="236">
        <f>AL240</f>
        <v>125</v>
      </c>
      <c r="AB403" s="236"/>
      <c r="AC403" s="27" t="s">
        <v>1361</v>
      </c>
      <c r="AD403" s="250">
        <f>X403/AA403</f>
        <v>8</v>
      </c>
      <c r="AE403" s="250"/>
      <c r="AF403" s="250"/>
      <c r="AG403" s="27" t="s">
        <v>1187</v>
      </c>
    </row>
    <row r="404" spans="1:12" ht="19.5" customHeight="1">
      <c r="A404" s="4"/>
      <c r="B404" s="4"/>
      <c r="D404" s="4"/>
      <c r="G404" s="4"/>
      <c r="H404" s="4"/>
      <c r="I404" s="4" t="s">
        <v>342</v>
      </c>
      <c r="J404" s="4"/>
      <c r="K404" s="4"/>
      <c r="L404" s="4" t="s">
        <v>1188</v>
      </c>
    </row>
    <row r="405" spans="1:44" ht="19.5" customHeight="1">
      <c r="A405" s="4"/>
      <c r="B405" s="4"/>
      <c r="D405" s="4"/>
      <c r="G405" s="4"/>
      <c r="H405" s="4"/>
      <c r="I405" s="4"/>
      <c r="J405" s="4"/>
      <c r="K405" s="4"/>
      <c r="M405" s="4" t="s">
        <v>343</v>
      </c>
      <c r="N405" s="34"/>
      <c r="V405" s="27" t="s">
        <v>290</v>
      </c>
      <c r="W405" s="237">
        <f>Q409</f>
        <v>14.3650304</v>
      </c>
      <c r="X405" s="237"/>
      <c r="Y405" s="237"/>
      <c r="Z405" s="27" t="s">
        <v>344</v>
      </c>
      <c r="AA405" s="237">
        <f>-R274</f>
        <v>-0.21944444444444444</v>
      </c>
      <c r="AB405" s="237"/>
      <c r="AC405" s="237"/>
      <c r="AD405" s="27" t="s">
        <v>290</v>
      </c>
      <c r="AE405" s="237">
        <f>W405+AA405</f>
        <v>14.145585955555555</v>
      </c>
      <c r="AF405" s="237"/>
      <c r="AG405" s="237"/>
      <c r="AH405" s="29" t="s">
        <v>1121</v>
      </c>
      <c r="AR405" s="36"/>
    </row>
    <row r="406" spans="1:12" ht="19.5" customHeight="1">
      <c r="A406" s="4"/>
      <c r="B406" s="4"/>
      <c r="D406" s="4"/>
      <c r="G406" s="4"/>
      <c r="H406" s="4"/>
      <c r="I406" s="104" t="s">
        <v>345</v>
      </c>
      <c r="J406" s="104"/>
      <c r="K406" s="104"/>
      <c r="L406" s="4" t="s">
        <v>346</v>
      </c>
    </row>
    <row r="407" spans="1:28" ht="19.5" customHeight="1">
      <c r="A407" s="4"/>
      <c r="B407" s="4"/>
      <c r="D407" s="4"/>
      <c r="G407" s="4"/>
      <c r="H407" s="4"/>
      <c r="I407" s="104"/>
      <c r="J407" s="104"/>
      <c r="K407" s="104"/>
      <c r="L407" s="4"/>
      <c r="M407" s="100" t="s">
        <v>345</v>
      </c>
      <c r="P407" s="27" t="s">
        <v>290</v>
      </c>
      <c r="Q407" s="151" t="s">
        <v>347</v>
      </c>
      <c r="AB407" s="39"/>
    </row>
    <row r="408" spans="1:42" ht="19.5" customHeight="1">
      <c r="A408" s="4"/>
      <c r="B408" s="4"/>
      <c r="D408" s="4"/>
      <c r="G408" s="4"/>
      <c r="H408" s="4"/>
      <c r="I408" s="104"/>
      <c r="J408" s="104"/>
      <c r="K408" s="104"/>
      <c r="L408" s="4"/>
      <c r="M408" s="100"/>
      <c r="P408" s="27" t="s">
        <v>290</v>
      </c>
      <c r="Q408" s="237">
        <f>AD411*1000</f>
        <v>3232131.84</v>
      </c>
      <c r="R408" s="237"/>
      <c r="S408" s="237"/>
      <c r="T408" s="237"/>
      <c r="U408" s="39" t="s">
        <v>348</v>
      </c>
      <c r="V408" s="237">
        <f>AH246*100</f>
        <v>300000</v>
      </c>
      <c r="W408" s="237"/>
      <c r="X408" s="237"/>
      <c r="Y408" s="237"/>
      <c r="Z408" s="27" t="s">
        <v>344</v>
      </c>
      <c r="AA408" s="237">
        <f>AD411*1000</f>
        <v>3232131.84</v>
      </c>
      <c r="AB408" s="237"/>
      <c r="AC408" s="237"/>
      <c r="AD408" s="237"/>
      <c r="AE408" s="27" t="s">
        <v>349</v>
      </c>
      <c r="AF408" s="152">
        <f>AH248*10</f>
        <v>50</v>
      </c>
      <c r="AG408" s="152"/>
      <c r="AH408" s="153" t="s">
        <v>348</v>
      </c>
      <c r="AI408" s="237">
        <f>AH251*1000</f>
        <v>45000000</v>
      </c>
      <c r="AJ408" s="237"/>
      <c r="AK408" s="237"/>
      <c r="AL408" s="237"/>
      <c r="AM408" s="237"/>
      <c r="AO408" s="27"/>
      <c r="AP408" s="27"/>
    </row>
    <row r="409" spans="1:23" ht="19.5" customHeight="1">
      <c r="A409" s="4"/>
      <c r="B409" s="4"/>
      <c r="D409" s="4"/>
      <c r="G409" s="4"/>
      <c r="H409" s="4"/>
      <c r="I409" s="104"/>
      <c r="J409" s="104"/>
      <c r="K409" s="104"/>
      <c r="L409" s="4"/>
      <c r="M409" s="100"/>
      <c r="P409" s="27" t="s">
        <v>290</v>
      </c>
      <c r="Q409" s="261">
        <f>Q408/V408+AA408*AF408/AI408</f>
        <v>14.3650304</v>
      </c>
      <c r="R409" s="261"/>
      <c r="S409" s="261"/>
      <c r="T409" s="29" t="s">
        <v>1121</v>
      </c>
      <c r="U409" s="39"/>
      <c r="V409" s="44"/>
      <c r="W409" s="44"/>
    </row>
    <row r="410" spans="1:46" ht="19.5" customHeight="1">
      <c r="A410" s="4"/>
      <c r="B410" s="4"/>
      <c r="D410" s="4"/>
      <c r="G410" s="4"/>
      <c r="H410" s="4"/>
      <c r="I410" s="104"/>
      <c r="J410" s="104" t="s">
        <v>148</v>
      </c>
      <c r="K410" s="104"/>
      <c r="L410" s="4" t="s">
        <v>1189</v>
      </c>
      <c r="M410" s="100"/>
      <c r="Q410" s="44"/>
      <c r="R410" s="44"/>
      <c r="S410" s="44"/>
      <c r="U410" s="39"/>
      <c r="V410" s="29"/>
      <c r="W410" s="39"/>
      <c r="X410" s="44"/>
      <c r="Y410" s="44"/>
      <c r="Z410" s="44"/>
      <c r="AB410" s="39"/>
      <c r="AH410" s="27"/>
      <c r="AI410" s="39"/>
      <c r="AK410" s="27"/>
      <c r="AL410" s="27"/>
      <c r="AM410" s="27"/>
      <c r="AN410" s="27"/>
      <c r="AO410" s="27"/>
      <c r="AP410" s="27"/>
      <c r="AT410" s="29"/>
    </row>
    <row r="411" spans="1:46" ht="19.5" customHeight="1">
      <c r="A411" s="4"/>
      <c r="B411" s="4"/>
      <c r="D411" s="4"/>
      <c r="G411" s="4"/>
      <c r="H411" s="4"/>
      <c r="I411" s="104"/>
      <c r="J411" s="104"/>
      <c r="K411" s="104"/>
      <c r="L411" s="4"/>
      <c r="M411" s="100" t="s">
        <v>350</v>
      </c>
      <c r="O411" s="27" t="s">
        <v>351</v>
      </c>
      <c r="P411" s="4" t="s">
        <v>352</v>
      </c>
      <c r="Q411" s="44"/>
      <c r="R411" s="44"/>
      <c r="S411" s="44"/>
      <c r="U411" s="27" t="s">
        <v>351</v>
      </c>
      <c r="V411" s="237">
        <f>AG241</f>
        <v>2503.2</v>
      </c>
      <c r="W411" s="237"/>
      <c r="X411" s="237"/>
      <c r="Y411" s="27" t="s">
        <v>1364</v>
      </c>
      <c r="Z411" s="237">
        <f>R384</f>
        <v>1291.2</v>
      </c>
      <c r="AA411" s="237"/>
      <c r="AB411" s="237"/>
      <c r="AC411" s="44" t="s">
        <v>351</v>
      </c>
      <c r="AD411" s="237">
        <f>V411*Z411/1000</f>
        <v>3232.13184</v>
      </c>
      <c r="AE411" s="237"/>
      <c r="AF411" s="237"/>
      <c r="AG411" s="27" t="s">
        <v>353</v>
      </c>
      <c r="AH411" s="27"/>
      <c r="AI411" s="39"/>
      <c r="AK411" s="27"/>
      <c r="AO411" s="44"/>
      <c r="AP411" s="44"/>
      <c r="AQ411" s="44"/>
      <c r="AS411" s="39"/>
      <c r="AT411" s="29"/>
    </row>
    <row r="412" spans="1:46" ht="19.5" customHeight="1">
      <c r="A412" s="4"/>
      <c r="B412" s="4"/>
      <c r="D412" s="4"/>
      <c r="G412" s="4"/>
      <c r="H412" s="4"/>
      <c r="I412" s="104" t="s">
        <v>354</v>
      </c>
      <c r="J412" s="104"/>
      <c r="K412" s="104"/>
      <c r="L412" s="4" t="s">
        <v>1190</v>
      </c>
      <c r="Q412" s="44"/>
      <c r="R412" s="44"/>
      <c r="AE412" s="44"/>
      <c r="AF412" s="44"/>
      <c r="AG412" s="44"/>
      <c r="AH412" s="27"/>
      <c r="AI412" s="39"/>
      <c r="AK412" s="27"/>
      <c r="AO412" s="44"/>
      <c r="AP412" s="44"/>
      <c r="AQ412" s="44"/>
      <c r="AS412" s="39"/>
      <c r="AT412" s="29"/>
    </row>
    <row r="413" spans="1:34" ht="19.5" customHeight="1">
      <c r="A413" s="4"/>
      <c r="B413" s="4"/>
      <c r="C413" s="4"/>
      <c r="D413" s="4"/>
      <c r="F413" s="4"/>
      <c r="G413" s="4"/>
      <c r="I413" s="4"/>
      <c r="J413" s="4"/>
      <c r="L413" s="4"/>
      <c r="W413" s="44"/>
      <c r="Y413" s="154"/>
      <c r="Z413" s="150"/>
      <c r="AC413" s="29"/>
      <c r="AE413" s="44"/>
      <c r="AF413" s="44"/>
      <c r="AG413" s="44"/>
      <c r="AH413" s="154"/>
    </row>
    <row r="414" spans="1:12" ht="19.5" customHeight="1">
      <c r="A414" s="4"/>
      <c r="B414" s="4"/>
      <c r="C414" s="4"/>
      <c r="E414" s="4" t="s">
        <v>1191</v>
      </c>
      <c r="F414" s="4"/>
      <c r="G414" s="4"/>
      <c r="H414" s="4"/>
      <c r="I414" s="4"/>
      <c r="J414" s="4"/>
      <c r="K414" s="4"/>
      <c r="L414" s="4"/>
    </row>
    <row r="415" spans="1:38" ht="19.5" customHeight="1">
      <c r="A415" s="4"/>
      <c r="E415" s="183" t="s">
        <v>1021</v>
      </c>
      <c r="F415" s="183"/>
      <c r="G415" s="183"/>
      <c r="H415" s="183"/>
      <c r="I415" s="183"/>
      <c r="J415" s="183"/>
      <c r="K415" s="183"/>
      <c r="L415" s="204" t="s">
        <v>355</v>
      </c>
      <c r="M415" s="204"/>
      <c r="N415" s="204"/>
      <c r="O415" s="204"/>
      <c r="P415" s="204" t="s">
        <v>356</v>
      </c>
      <c r="Q415" s="204"/>
      <c r="R415" s="204"/>
      <c r="S415" s="204"/>
      <c r="T415" s="204" t="s">
        <v>357</v>
      </c>
      <c r="U415" s="204"/>
      <c r="V415" s="204"/>
      <c r="W415" s="204"/>
      <c r="X415" s="45"/>
      <c r="Y415" s="45"/>
      <c r="Z415" s="45"/>
      <c r="AA415" s="45"/>
      <c r="AB415" s="45"/>
      <c r="AC415" s="45"/>
      <c r="AD415" s="45"/>
      <c r="AE415" s="45"/>
      <c r="AF415" s="45"/>
      <c r="AG415" s="45"/>
      <c r="AH415" s="45"/>
      <c r="AI415" s="45"/>
      <c r="AJ415" s="45"/>
      <c r="AK415" s="45"/>
      <c r="AL415" s="45"/>
    </row>
    <row r="416" spans="1:38" ht="19.5" customHeight="1">
      <c r="A416" s="4"/>
      <c r="E416" s="183" t="s">
        <v>358</v>
      </c>
      <c r="F416" s="183"/>
      <c r="G416" s="183"/>
      <c r="H416" s="204" t="s">
        <v>1018</v>
      </c>
      <c r="I416" s="204"/>
      <c r="J416" s="204"/>
      <c r="K416" s="204"/>
      <c r="L416" s="208">
        <f>1000/$M$317</f>
        <v>8</v>
      </c>
      <c r="M416" s="208"/>
      <c r="N416" s="208"/>
      <c r="O416" s="208"/>
      <c r="P416" s="208">
        <f>1000/$M$317</f>
        <v>8</v>
      </c>
      <c r="Q416" s="208"/>
      <c r="R416" s="208"/>
      <c r="S416" s="208"/>
      <c r="T416" s="208">
        <f>1000/$M$317</f>
        <v>8</v>
      </c>
      <c r="U416" s="208"/>
      <c r="V416" s="208"/>
      <c r="W416" s="208"/>
      <c r="X416" s="46"/>
      <c r="Y416" s="46"/>
      <c r="Z416" s="46"/>
      <c r="AA416" s="46"/>
      <c r="AB416" s="46"/>
      <c r="AC416" s="46"/>
      <c r="AD416" s="46"/>
      <c r="AE416" s="46"/>
      <c r="AF416" s="46"/>
      <c r="AG416" s="46"/>
      <c r="AH416" s="46"/>
      <c r="AI416" s="46"/>
      <c r="AJ416" s="46"/>
      <c r="AK416" s="46"/>
      <c r="AL416" s="46"/>
    </row>
    <row r="417" spans="1:38" ht="19.5" customHeight="1">
      <c r="A417" s="4" t="s">
        <v>271</v>
      </c>
      <c r="E417" s="183" t="s">
        <v>359</v>
      </c>
      <c r="F417" s="183"/>
      <c r="G417" s="183"/>
      <c r="H417" s="204" t="s">
        <v>360</v>
      </c>
      <c r="I417" s="204"/>
      <c r="J417" s="204"/>
      <c r="K417" s="204"/>
      <c r="L417" s="190">
        <f>R381</f>
        <v>1290.7</v>
      </c>
      <c r="M417" s="190"/>
      <c r="N417" s="190"/>
      <c r="O417" s="190"/>
      <c r="P417" s="190">
        <f>R384</f>
        <v>1291.2</v>
      </c>
      <c r="Q417" s="190"/>
      <c r="R417" s="190"/>
      <c r="S417" s="190"/>
      <c r="T417" s="190">
        <f>R387</f>
        <v>1290.7</v>
      </c>
      <c r="U417" s="190"/>
      <c r="V417" s="190"/>
      <c r="W417" s="190"/>
      <c r="X417" s="77"/>
      <c r="Y417" s="77"/>
      <c r="Z417" s="77"/>
      <c r="AA417" s="77"/>
      <c r="AB417" s="77"/>
      <c r="AC417" s="77"/>
      <c r="AD417" s="77"/>
      <c r="AE417" s="77"/>
      <c r="AF417" s="77"/>
      <c r="AG417" s="77"/>
      <c r="AH417" s="77"/>
      <c r="AI417" s="77"/>
      <c r="AJ417" s="77"/>
      <c r="AK417" s="77"/>
      <c r="AL417" s="77"/>
    </row>
    <row r="418" spans="1:38" ht="19.5" customHeight="1">
      <c r="A418" s="4"/>
      <c r="E418" s="183" t="s">
        <v>361</v>
      </c>
      <c r="F418" s="183"/>
      <c r="G418" s="183"/>
      <c r="H418" s="204" t="s">
        <v>362</v>
      </c>
      <c r="I418" s="204"/>
      <c r="J418" s="204"/>
      <c r="K418" s="204"/>
      <c r="L418" s="190">
        <f>$AG$256</f>
        <v>2503.2</v>
      </c>
      <c r="M418" s="190"/>
      <c r="N418" s="190"/>
      <c r="O418" s="190"/>
      <c r="P418" s="190">
        <f>$AG$241</f>
        <v>2503.2</v>
      </c>
      <c r="Q418" s="190"/>
      <c r="R418" s="190"/>
      <c r="S418" s="190"/>
      <c r="T418" s="190">
        <f>$AG$256</f>
        <v>2503.2</v>
      </c>
      <c r="U418" s="190"/>
      <c r="V418" s="190"/>
      <c r="W418" s="190"/>
      <c r="X418" s="77"/>
      <c r="Y418" s="77"/>
      <c r="Z418" s="77"/>
      <c r="AA418" s="77"/>
      <c r="AB418" s="77"/>
      <c r="AC418" s="77"/>
      <c r="AD418" s="77"/>
      <c r="AE418" s="77"/>
      <c r="AF418" s="77"/>
      <c r="AG418" s="77"/>
      <c r="AH418" s="77"/>
      <c r="AI418" s="77"/>
      <c r="AJ418" s="77"/>
      <c r="AK418" s="77"/>
      <c r="AL418" s="77"/>
    </row>
    <row r="419" spans="1:38" ht="19.5" customHeight="1">
      <c r="A419" s="4"/>
      <c r="E419" s="183" t="s">
        <v>363</v>
      </c>
      <c r="F419" s="183"/>
      <c r="G419" s="183"/>
      <c r="H419" s="204" t="s">
        <v>364</v>
      </c>
      <c r="I419" s="204"/>
      <c r="J419" s="204"/>
      <c r="K419" s="204"/>
      <c r="L419" s="213">
        <f>L417*L418/1000</f>
        <v>3230.88024</v>
      </c>
      <c r="M419" s="213"/>
      <c r="N419" s="213"/>
      <c r="O419" s="213"/>
      <c r="P419" s="213">
        <f>P417*P418/1000</f>
        <v>3232.13184</v>
      </c>
      <c r="Q419" s="213"/>
      <c r="R419" s="213"/>
      <c r="S419" s="213"/>
      <c r="T419" s="213">
        <f>T417*T418/1000</f>
        <v>3230.88024</v>
      </c>
      <c r="U419" s="213"/>
      <c r="V419" s="213"/>
      <c r="W419" s="213"/>
      <c r="X419" s="46"/>
      <c r="Y419" s="46"/>
      <c r="Z419" s="46"/>
      <c r="AA419" s="46"/>
      <c r="AB419" s="46"/>
      <c r="AC419" s="46"/>
      <c r="AD419" s="46"/>
      <c r="AE419" s="46"/>
      <c r="AF419" s="46"/>
      <c r="AG419" s="46"/>
      <c r="AH419" s="46"/>
      <c r="AI419" s="46"/>
      <c r="AJ419" s="46"/>
      <c r="AK419" s="46"/>
      <c r="AL419" s="46"/>
    </row>
    <row r="420" spans="1:38" ht="19.5" customHeight="1">
      <c r="A420" s="4"/>
      <c r="E420" s="183" t="s">
        <v>365</v>
      </c>
      <c r="F420" s="183"/>
      <c r="G420" s="183"/>
      <c r="H420" s="204" t="s">
        <v>366</v>
      </c>
      <c r="I420" s="204"/>
      <c r="J420" s="204"/>
      <c r="K420" s="204"/>
      <c r="L420" s="190">
        <f>$AH$261</f>
        <v>3800</v>
      </c>
      <c r="M420" s="190"/>
      <c r="N420" s="190"/>
      <c r="O420" s="190"/>
      <c r="P420" s="190">
        <f>$AH$246</f>
        <v>3000</v>
      </c>
      <c r="Q420" s="190"/>
      <c r="R420" s="190"/>
      <c r="S420" s="190"/>
      <c r="T420" s="190">
        <f>$AH$261</f>
        <v>3800</v>
      </c>
      <c r="U420" s="190"/>
      <c r="V420" s="190"/>
      <c r="W420" s="190"/>
      <c r="X420" s="77"/>
      <c r="Y420" s="77"/>
      <c r="Z420" s="77"/>
      <c r="AA420" s="77"/>
      <c r="AB420" s="77"/>
      <c r="AC420" s="77"/>
      <c r="AD420" s="77"/>
      <c r="AE420" s="77"/>
      <c r="AF420" s="77"/>
      <c r="AG420" s="77"/>
      <c r="AH420" s="77"/>
      <c r="AI420" s="77"/>
      <c r="AJ420" s="77"/>
      <c r="AK420" s="77"/>
      <c r="AL420" s="77"/>
    </row>
    <row r="421" spans="1:38" ht="19.5" customHeight="1">
      <c r="A421" s="4"/>
      <c r="E421" s="183" t="s">
        <v>367</v>
      </c>
      <c r="F421" s="183"/>
      <c r="G421" s="183"/>
      <c r="H421" s="204" t="s">
        <v>368</v>
      </c>
      <c r="I421" s="204"/>
      <c r="J421" s="204"/>
      <c r="K421" s="204"/>
      <c r="L421" s="190">
        <f>$AH$263*10</f>
        <v>-90</v>
      </c>
      <c r="M421" s="190"/>
      <c r="N421" s="190"/>
      <c r="O421" s="190"/>
      <c r="P421" s="190">
        <f>$AH$248*10</f>
        <v>50</v>
      </c>
      <c r="Q421" s="190"/>
      <c r="R421" s="190"/>
      <c r="S421" s="190"/>
      <c r="T421" s="190">
        <f>$AH$263*10</f>
        <v>-90</v>
      </c>
      <c r="U421" s="190"/>
      <c r="V421" s="190"/>
      <c r="W421" s="190"/>
      <c r="X421" s="77"/>
      <c r="Y421" s="77"/>
      <c r="Z421" s="77"/>
      <c r="AA421" s="77"/>
      <c r="AB421" s="77"/>
      <c r="AC421" s="77"/>
      <c r="AD421" s="77"/>
      <c r="AE421" s="77"/>
      <c r="AF421" s="77"/>
      <c r="AG421" s="77"/>
      <c r="AH421" s="77"/>
      <c r="AI421" s="77"/>
      <c r="AJ421" s="77"/>
      <c r="AK421" s="77"/>
      <c r="AL421" s="77"/>
    </row>
    <row r="422" spans="1:38" ht="19.5" customHeight="1">
      <c r="A422" s="4"/>
      <c r="E422" s="283" t="s">
        <v>369</v>
      </c>
      <c r="F422" s="284"/>
      <c r="G422" s="253"/>
      <c r="H422" s="204" t="s">
        <v>370</v>
      </c>
      <c r="I422" s="204"/>
      <c r="J422" s="204"/>
      <c r="K422" s="204"/>
      <c r="L422" s="213">
        <f>$AH$266</f>
        <v>-50807.40740740741</v>
      </c>
      <c r="M422" s="213"/>
      <c r="N422" s="213"/>
      <c r="O422" s="213"/>
      <c r="P422" s="213">
        <f>$AH$251</f>
        <v>45000</v>
      </c>
      <c r="Q422" s="213"/>
      <c r="R422" s="213"/>
      <c r="S422" s="213"/>
      <c r="T422" s="213">
        <f>$AH$266</f>
        <v>-50807.40740740741</v>
      </c>
      <c r="U422" s="213"/>
      <c r="V422" s="213"/>
      <c r="W422" s="213"/>
      <c r="X422" s="46"/>
      <c r="Y422" s="46"/>
      <c r="Z422" s="46"/>
      <c r="AA422" s="46"/>
      <c r="AB422" s="46"/>
      <c r="AC422" s="46"/>
      <c r="AD422" s="46"/>
      <c r="AE422" s="46"/>
      <c r="AF422" s="46"/>
      <c r="AG422" s="46"/>
      <c r="AH422" s="46"/>
      <c r="AI422" s="46"/>
      <c r="AJ422" s="46"/>
      <c r="AK422" s="46"/>
      <c r="AL422" s="46"/>
    </row>
    <row r="423" spans="1:38" ht="19.5" customHeight="1">
      <c r="A423" s="4"/>
      <c r="E423" s="283" t="s">
        <v>146</v>
      </c>
      <c r="F423" s="284"/>
      <c r="G423" s="253"/>
      <c r="H423" s="204" t="s">
        <v>360</v>
      </c>
      <c r="I423" s="204"/>
      <c r="J423" s="204"/>
      <c r="K423" s="204"/>
      <c r="L423" s="213">
        <f>L419*1000/(L420*100)+L419*1000*L421/(L422*1000)</f>
        <v>14.225482322204401</v>
      </c>
      <c r="M423" s="213"/>
      <c r="N423" s="213"/>
      <c r="O423" s="213"/>
      <c r="P423" s="213">
        <f>P419*1000/(P420*100)+P419*1000*P421/(P422*1000)</f>
        <v>14.3650304</v>
      </c>
      <c r="Q423" s="213"/>
      <c r="R423" s="213"/>
      <c r="S423" s="213"/>
      <c r="T423" s="213">
        <f>T419*1000/(T420*100)+T419*1000*T421/(T422*1000)</f>
        <v>14.225482322204401</v>
      </c>
      <c r="U423" s="213"/>
      <c r="V423" s="213"/>
      <c r="W423" s="213"/>
      <c r="X423" s="46"/>
      <c r="Y423" s="46"/>
      <c r="Z423" s="46"/>
      <c r="AA423" s="46"/>
      <c r="AB423" s="46"/>
      <c r="AC423" s="46"/>
      <c r="AD423" s="46"/>
      <c r="AE423" s="46"/>
      <c r="AF423" s="46"/>
      <c r="AG423" s="46"/>
      <c r="AH423" s="46"/>
      <c r="AI423" s="46"/>
      <c r="AJ423" s="46"/>
      <c r="AK423" s="46"/>
      <c r="AL423" s="46"/>
    </row>
    <row r="424" spans="1:38" ht="19.5" customHeight="1">
      <c r="A424" s="4"/>
      <c r="B424" s="4" t="s">
        <v>271</v>
      </c>
      <c r="C424" s="4"/>
      <c r="E424" s="283" t="s">
        <v>147</v>
      </c>
      <c r="F424" s="284"/>
      <c r="G424" s="253"/>
      <c r="H424" s="204" t="s">
        <v>360</v>
      </c>
      <c r="I424" s="204"/>
      <c r="J424" s="204"/>
      <c r="K424" s="204"/>
      <c r="L424" s="213">
        <f>-N274</f>
        <v>-0.4900269718617874</v>
      </c>
      <c r="M424" s="213"/>
      <c r="N424" s="213"/>
      <c r="O424" s="213"/>
      <c r="P424" s="213">
        <f>-R274</f>
        <v>-0.21944444444444444</v>
      </c>
      <c r="Q424" s="213"/>
      <c r="R424" s="213"/>
      <c r="S424" s="213"/>
      <c r="T424" s="213">
        <f>-V274</f>
        <v>-0.4900269718617874</v>
      </c>
      <c r="U424" s="213"/>
      <c r="V424" s="213"/>
      <c r="W424" s="213"/>
      <c r="X424" s="46"/>
      <c r="Y424" s="46"/>
      <c r="Z424" s="46"/>
      <c r="AA424" s="46"/>
      <c r="AB424" s="46"/>
      <c r="AC424" s="46"/>
      <c r="AD424" s="46"/>
      <c r="AE424" s="46"/>
      <c r="AF424" s="46"/>
      <c r="AG424" s="46"/>
      <c r="AH424" s="46"/>
      <c r="AI424" s="46"/>
      <c r="AJ424" s="46"/>
      <c r="AK424" s="46"/>
      <c r="AL424" s="46"/>
    </row>
    <row r="425" spans="1:38" ht="19.5" customHeight="1">
      <c r="A425" s="4"/>
      <c r="B425" s="4"/>
      <c r="C425" s="4" t="s">
        <v>271</v>
      </c>
      <c r="D425" s="4"/>
      <c r="E425" s="283" t="s">
        <v>342</v>
      </c>
      <c r="F425" s="284"/>
      <c r="G425" s="253"/>
      <c r="H425" s="204" t="s">
        <v>360</v>
      </c>
      <c r="I425" s="204"/>
      <c r="J425" s="204"/>
      <c r="K425" s="204"/>
      <c r="L425" s="213">
        <f>L423+L424</f>
        <v>13.735455350342614</v>
      </c>
      <c r="M425" s="213"/>
      <c r="N425" s="213"/>
      <c r="O425" s="213"/>
      <c r="P425" s="213">
        <f>P423+P424</f>
        <v>14.145585955555555</v>
      </c>
      <c r="Q425" s="213"/>
      <c r="R425" s="213"/>
      <c r="S425" s="213"/>
      <c r="T425" s="213">
        <f>T423+T424</f>
        <v>13.735455350342614</v>
      </c>
      <c r="U425" s="213"/>
      <c r="V425" s="213"/>
      <c r="W425" s="213"/>
      <c r="X425" s="46"/>
      <c r="Y425" s="46"/>
      <c r="Z425" s="46"/>
      <c r="AA425" s="46"/>
      <c r="AB425" s="46"/>
      <c r="AC425" s="46"/>
      <c r="AD425" s="46"/>
      <c r="AE425" s="46"/>
      <c r="AF425" s="46"/>
      <c r="AG425" s="46"/>
      <c r="AH425" s="46"/>
      <c r="AI425" s="46"/>
      <c r="AJ425" s="46"/>
      <c r="AK425" s="46"/>
      <c r="AL425" s="46"/>
    </row>
    <row r="426" spans="1:44" ht="19.5" customHeight="1">
      <c r="A426" s="4"/>
      <c r="B426" s="4"/>
      <c r="C426" s="4" t="s">
        <v>271</v>
      </c>
      <c r="D426" s="4"/>
      <c r="E426" s="283" t="s">
        <v>371</v>
      </c>
      <c r="F426" s="284"/>
      <c r="G426" s="253"/>
      <c r="H426" s="204" t="s">
        <v>360</v>
      </c>
      <c r="I426" s="204"/>
      <c r="J426" s="204"/>
      <c r="K426" s="204"/>
      <c r="L426" s="213">
        <f>1/2*$AJ$400*L425*(L416-1)/L416</f>
        <v>46.22509012134533</v>
      </c>
      <c r="M426" s="213"/>
      <c r="N426" s="213"/>
      <c r="O426" s="213"/>
      <c r="P426" s="213">
        <f>1/2*$AJ$400*P425*(P416-1)/P416</f>
        <v>47.60533735042735</v>
      </c>
      <c r="Q426" s="213"/>
      <c r="R426" s="213"/>
      <c r="S426" s="213"/>
      <c r="T426" s="213">
        <f>1/2*$AJ$400*T425*(T416-1)/T416</f>
        <v>46.22509012134533</v>
      </c>
      <c r="U426" s="213"/>
      <c r="V426" s="213"/>
      <c r="W426" s="213"/>
      <c r="X426" s="46"/>
      <c r="Y426" s="46"/>
      <c r="Z426" s="46"/>
      <c r="AA426" s="46"/>
      <c r="AB426" s="46"/>
      <c r="AC426" s="46"/>
      <c r="AD426" s="46"/>
      <c r="AE426" s="46"/>
      <c r="AF426" s="46"/>
      <c r="AG426" s="46"/>
      <c r="AH426" s="46"/>
      <c r="AI426" s="46"/>
      <c r="AJ426" s="46"/>
      <c r="AK426" s="46"/>
      <c r="AL426" s="46"/>
      <c r="AR426" s="42"/>
    </row>
    <row r="427" spans="1:23" ht="19.5" customHeight="1">
      <c r="A427" s="4"/>
      <c r="B427" s="4"/>
      <c r="D427" s="4"/>
      <c r="E427" s="183" t="s">
        <v>372</v>
      </c>
      <c r="F427" s="183"/>
      <c r="G427" s="183"/>
      <c r="H427" s="204" t="s">
        <v>360</v>
      </c>
      <c r="I427" s="204"/>
      <c r="J427" s="204"/>
      <c r="K427" s="204"/>
      <c r="L427" s="190">
        <f>L417-L426</f>
        <v>1244.4749098786547</v>
      </c>
      <c r="M427" s="190"/>
      <c r="N427" s="190"/>
      <c r="O427" s="190"/>
      <c r="P427" s="190">
        <f>P417-P426</f>
        <v>1243.5946626495727</v>
      </c>
      <c r="Q427" s="190"/>
      <c r="R427" s="190"/>
      <c r="S427" s="190"/>
      <c r="T427" s="190">
        <f>T417-T426</f>
        <v>1244.4749098786547</v>
      </c>
      <c r="U427" s="190"/>
      <c r="V427" s="190"/>
      <c r="W427" s="190"/>
    </row>
    <row r="428" spans="1:34" ht="19.5" customHeight="1">
      <c r="A428" s="4"/>
      <c r="B428" s="4"/>
      <c r="C428" s="4"/>
      <c r="D428" s="4"/>
      <c r="E428" s="27" t="s">
        <v>373</v>
      </c>
      <c r="H428" s="4" t="s">
        <v>1192</v>
      </c>
      <c r="J428" s="4"/>
      <c r="K428" s="35"/>
      <c r="L428" s="38"/>
      <c r="M428" s="38"/>
      <c r="N428" s="38"/>
      <c r="R428" s="44"/>
      <c r="AH428" s="27"/>
    </row>
    <row r="429" spans="1:18" ht="19.5" customHeight="1">
      <c r="A429" s="4"/>
      <c r="B429" s="4"/>
      <c r="C429" s="4"/>
      <c r="D429" s="4"/>
      <c r="I429" s="4" t="s">
        <v>374</v>
      </c>
      <c r="J429" s="4"/>
      <c r="K429" s="35"/>
      <c r="L429" s="27" t="s">
        <v>351</v>
      </c>
      <c r="M429" s="4" t="s">
        <v>375</v>
      </c>
      <c r="N429" s="38"/>
      <c r="R429" s="44"/>
    </row>
    <row r="430" spans="1:18" ht="19.5" customHeight="1">
      <c r="A430" s="4"/>
      <c r="B430" s="4"/>
      <c r="C430" s="4"/>
      <c r="D430" s="4"/>
      <c r="I430" s="4"/>
      <c r="J430" s="4"/>
      <c r="K430" s="35"/>
      <c r="M430" s="4"/>
      <c r="N430" s="38"/>
      <c r="R430" s="44"/>
    </row>
    <row r="431" spans="1:38" ht="19.5" customHeight="1">
      <c r="A431" s="4"/>
      <c r="E431" s="183" t="s">
        <v>917</v>
      </c>
      <c r="F431" s="183"/>
      <c r="G431" s="183"/>
      <c r="H431" s="183"/>
      <c r="I431" s="183"/>
      <c r="J431" s="183"/>
      <c r="K431" s="183"/>
      <c r="L431" s="204" t="s">
        <v>376</v>
      </c>
      <c r="M431" s="204"/>
      <c r="N431" s="204"/>
      <c r="O431" s="204"/>
      <c r="P431" s="204" t="s">
        <v>377</v>
      </c>
      <c r="Q431" s="204"/>
      <c r="R431" s="204"/>
      <c r="S431" s="204"/>
      <c r="T431" s="204" t="s">
        <v>378</v>
      </c>
      <c r="U431" s="204"/>
      <c r="V431" s="204"/>
      <c r="W431" s="204"/>
      <c r="X431" s="45"/>
      <c r="Y431" s="45"/>
      <c r="Z431" s="45"/>
      <c r="AA431" s="45"/>
      <c r="AB431" s="45"/>
      <c r="AC431" s="45"/>
      <c r="AD431" s="45"/>
      <c r="AE431" s="45"/>
      <c r="AF431" s="45"/>
      <c r="AG431" s="45"/>
      <c r="AH431" s="45"/>
      <c r="AI431" s="45"/>
      <c r="AJ431" s="45"/>
      <c r="AK431" s="45"/>
      <c r="AL431" s="45"/>
    </row>
    <row r="432" spans="1:38" ht="19.5" customHeight="1">
      <c r="A432" s="4"/>
      <c r="E432" s="183" t="s">
        <v>1365</v>
      </c>
      <c r="F432" s="183"/>
      <c r="G432" s="183"/>
      <c r="H432" s="204" t="s">
        <v>1018</v>
      </c>
      <c r="I432" s="204"/>
      <c r="J432" s="204"/>
      <c r="K432" s="204"/>
      <c r="L432" s="208">
        <f>1000/$M$317</f>
        <v>8</v>
      </c>
      <c r="M432" s="208"/>
      <c r="N432" s="208"/>
      <c r="O432" s="208"/>
      <c r="P432" s="208">
        <f>1000/$M$317</f>
        <v>8</v>
      </c>
      <c r="Q432" s="208"/>
      <c r="R432" s="208"/>
      <c r="S432" s="208"/>
      <c r="T432" s="208">
        <f>1000/$M$317</f>
        <v>8</v>
      </c>
      <c r="U432" s="208"/>
      <c r="V432" s="208"/>
      <c r="W432" s="208"/>
      <c r="X432" s="46"/>
      <c r="Y432" s="46"/>
      <c r="Z432" s="46"/>
      <c r="AA432" s="46"/>
      <c r="AB432" s="46"/>
      <c r="AC432" s="46"/>
      <c r="AD432" s="46"/>
      <c r="AE432" s="46"/>
      <c r="AF432" s="46"/>
      <c r="AG432" s="46"/>
      <c r="AH432" s="46"/>
      <c r="AI432" s="46"/>
      <c r="AJ432" s="46"/>
      <c r="AK432" s="46"/>
      <c r="AL432" s="46"/>
    </row>
    <row r="433" spans="1:38" ht="19.5" customHeight="1">
      <c r="A433" s="4" t="s">
        <v>271</v>
      </c>
      <c r="E433" s="183" t="s">
        <v>359</v>
      </c>
      <c r="F433" s="183"/>
      <c r="G433" s="183"/>
      <c r="H433" s="204" t="s">
        <v>360</v>
      </c>
      <c r="I433" s="204"/>
      <c r="J433" s="204"/>
      <c r="K433" s="204"/>
      <c r="L433" s="190">
        <f>R381</f>
        <v>1290.7</v>
      </c>
      <c r="M433" s="190"/>
      <c r="N433" s="190"/>
      <c r="O433" s="190"/>
      <c r="P433" s="190">
        <f>R384</f>
        <v>1291.2</v>
      </c>
      <c r="Q433" s="190"/>
      <c r="R433" s="190"/>
      <c r="S433" s="190"/>
      <c r="T433" s="190">
        <f>R387</f>
        <v>1290.7</v>
      </c>
      <c r="U433" s="190"/>
      <c r="V433" s="190"/>
      <c r="W433" s="190"/>
      <c r="X433" s="77"/>
      <c r="Y433" s="77"/>
      <c r="Z433" s="77"/>
      <c r="AA433" s="77"/>
      <c r="AB433" s="77"/>
      <c r="AC433" s="77"/>
      <c r="AD433" s="77"/>
      <c r="AE433" s="77"/>
      <c r="AF433" s="77"/>
      <c r="AG433" s="77"/>
      <c r="AH433" s="77"/>
      <c r="AI433" s="77"/>
      <c r="AJ433" s="77"/>
      <c r="AK433" s="77"/>
      <c r="AL433" s="77"/>
    </row>
    <row r="434" spans="1:38" ht="19.5" customHeight="1">
      <c r="A434" s="4"/>
      <c r="E434" s="183" t="s">
        <v>361</v>
      </c>
      <c r="F434" s="183"/>
      <c r="G434" s="183"/>
      <c r="H434" s="204" t="s">
        <v>362</v>
      </c>
      <c r="I434" s="204"/>
      <c r="J434" s="204"/>
      <c r="K434" s="204"/>
      <c r="L434" s="190">
        <f>$AG$256</f>
        <v>2503.2</v>
      </c>
      <c r="M434" s="190"/>
      <c r="N434" s="190"/>
      <c r="O434" s="190"/>
      <c r="P434" s="190">
        <f>$AG$241</f>
        <v>2503.2</v>
      </c>
      <c r="Q434" s="190"/>
      <c r="R434" s="190"/>
      <c r="S434" s="190"/>
      <c r="T434" s="190">
        <f>$AG$256</f>
        <v>2503.2</v>
      </c>
      <c r="U434" s="190"/>
      <c r="V434" s="190"/>
      <c r="W434" s="190"/>
      <c r="X434" s="77"/>
      <c r="Y434" s="77"/>
      <c r="Z434" s="77"/>
      <c r="AA434" s="77"/>
      <c r="AB434" s="77"/>
      <c r="AC434" s="77"/>
      <c r="AD434" s="77"/>
      <c r="AE434" s="77"/>
      <c r="AF434" s="77"/>
      <c r="AG434" s="77"/>
      <c r="AH434" s="77"/>
      <c r="AI434" s="77"/>
      <c r="AJ434" s="77"/>
      <c r="AK434" s="77"/>
      <c r="AL434" s="77"/>
    </row>
    <row r="435" spans="1:38" ht="19.5" customHeight="1">
      <c r="A435" s="4"/>
      <c r="E435" s="183" t="s">
        <v>363</v>
      </c>
      <c r="F435" s="183"/>
      <c r="G435" s="183"/>
      <c r="H435" s="204" t="s">
        <v>364</v>
      </c>
      <c r="I435" s="204"/>
      <c r="J435" s="204"/>
      <c r="K435" s="204"/>
      <c r="L435" s="213">
        <f>L433*L434/1000</f>
        <v>3230.88024</v>
      </c>
      <c r="M435" s="213"/>
      <c r="N435" s="213"/>
      <c r="O435" s="213"/>
      <c r="P435" s="213">
        <f>P433*P434/1000</f>
        <v>3232.13184</v>
      </c>
      <c r="Q435" s="213"/>
      <c r="R435" s="213"/>
      <c r="S435" s="213"/>
      <c r="T435" s="213">
        <f>T433*T434/1000</f>
        <v>3230.88024</v>
      </c>
      <c r="U435" s="213"/>
      <c r="V435" s="213"/>
      <c r="W435" s="213"/>
      <c r="X435" s="46"/>
      <c r="Y435" s="46"/>
      <c r="Z435" s="46"/>
      <c r="AA435" s="46"/>
      <c r="AB435" s="46"/>
      <c r="AC435" s="46"/>
      <c r="AD435" s="46"/>
      <c r="AE435" s="46"/>
      <c r="AF435" s="46"/>
      <c r="AG435" s="46"/>
      <c r="AH435" s="46"/>
      <c r="AI435" s="46"/>
      <c r="AJ435" s="46"/>
      <c r="AK435" s="46"/>
      <c r="AL435" s="46"/>
    </row>
    <row r="436" spans="1:38" ht="19.5" customHeight="1">
      <c r="A436" s="4"/>
      <c r="E436" s="183" t="s">
        <v>365</v>
      </c>
      <c r="F436" s="183"/>
      <c r="G436" s="183"/>
      <c r="H436" s="204" t="s">
        <v>366</v>
      </c>
      <c r="I436" s="204"/>
      <c r="J436" s="204"/>
      <c r="K436" s="204"/>
      <c r="L436" s="190">
        <f>$AH$261</f>
        <v>3800</v>
      </c>
      <c r="M436" s="190"/>
      <c r="N436" s="190"/>
      <c r="O436" s="190"/>
      <c r="P436" s="190">
        <f>$AH$246</f>
        <v>3000</v>
      </c>
      <c r="Q436" s="190"/>
      <c r="R436" s="190"/>
      <c r="S436" s="190"/>
      <c r="T436" s="190">
        <f>$AH$261</f>
        <v>3800</v>
      </c>
      <c r="U436" s="190"/>
      <c r="V436" s="190"/>
      <c r="W436" s="190"/>
      <c r="X436" s="77"/>
      <c r="Y436" s="77"/>
      <c r="Z436" s="77"/>
      <c r="AA436" s="77"/>
      <c r="AB436" s="77"/>
      <c r="AC436" s="77"/>
      <c r="AD436" s="77"/>
      <c r="AE436" s="77"/>
      <c r="AF436" s="77"/>
      <c r="AG436" s="77"/>
      <c r="AH436" s="77"/>
      <c r="AI436" s="77"/>
      <c r="AJ436" s="77"/>
      <c r="AK436" s="77"/>
      <c r="AL436" s="77"/>
    </row>
    <row r="437" spans="1:38" ht="19.5" customHeight="1">
      <c r="A437" s="4"/>
      <c r="E437" s="183" t="s">
        <v>367</v>
      </c>
      <c r="F437" s="183"/>
      <c r="G437" s="183"/>
      <c r="H437" s="204" t="s">
        <v>368</v>
      </c>
      <c r="I437" s="204"/>
      <c r="J437" s="204"/>
      <c r="K437" s="204"/>
      <c r="L437" s="190">
        <f>$AH$263*10</f>
        <v>-90</v>
      </c>
      <c r="M437" s="190"/>
      <c r="N437" s="190"/>
      <c r="O437" s="190"/>
      <c r="P437" s="190">
        <f>$AH$248*10</f>
        <v>50</v>
      </c>
      <c r="Q437" s="190"/>
      <c r="R437" s="190"/>
      <c r="S437" s="190"/>
      <c r="T437" s="190">
        <f>$AH$263*10</f>
        <v>-90</v>
      </c>
      <c r="U437" s="190"/>
      <c r="V437" s="190"/>
      <c r="W437" s="190"/>
      <c r="X437" s="77"/>
      <c r="Y437" s="77"/>
      <c r="Z437" s="77"/>
      <c r="AA437" s="77"/>
      <c r="AB437" s="77"/>
      <c r="AC437" s="77"/>
      <c r="AD437" s="77"/>
      <c r="AE437" s="77"/>
      <c r="AF437" s="77"/>
      <c r="AG437" s="77"/>
      <c r="AH437" s="77"/>
      <c r="AI437" s="77"/>
      <c r="AJ437" s="77"/>
      <c r="AK437" s="77"/>
      <c r="AL437" s="77"/>
    </row>
    <row r="438" spans="1:38" ht="19.5" customHeight="1">
      <c r="A438" s="4"/>
      <c r="E438" s="283" t="s">
        <v>369</v>
      </c>
      <c r="F438" s="284"/>
      <c r="G438" s="253"/>
      <c r="H438" s="204" t="s">
        <v>370</v>
      </c>
      <c r="I438" s="204"/>
      <c r="J438" s="204"/>
      <c r="K438" s="204"/>
      <c r="L438" s="213">
        <f>$AH$266</f>
        <v>-50807.40740740741</v>
      </c>
      <c r="M438" s="213"/>
      <c r="N438" s="213"/>
      <c r="O438" s="213"/>
      <c r="P438" s="213">
        <f>$AH$251</f>
        <v>45000</v>
      </c>
      <c r="Q438" s="213"/>
      <c r="R438" s="213"/>
      <c r="S438" s="213"/>
      <c r="T438" s="213">
        <f>$AH$266</f>
        <v>-50807.40740740741</v>
      </c>
      <c r="U438" s="213"/>
      <c r="V438" s="213"/>
      <c r="W438" s="213"/>
      <c r="X438" s="46"/>
      <c r="Y438" s="46"/>
      <c r="Z438" s="46"/>
      <c r="AA438" s="46"/>
      <c r="AB438" s="46"/>
      <c r="AC438" s="46"/>
      <c r="AD438" s="46"/>
      <c r="AE438" s="46"/>
      <c r="AF438" s="46"/>
      <c r="AG438" s="46"/>
      <c r="AH438" s="46"/>
      <c r="AI438" s="46"/>
      <c r="AJ438" s="46"/>
      <c r="AK438" s="46"/>
      <c r="AL438" s="46"/>
    </row>
    <row r="439" spans="1:38" ht="19.5" customHeight="1">
      <c r="A439" s="4"/>
      <c r="E439" s="283" t="s">
        <v>146</v>
      </c>
      <c r="F439" s="284"/>
      <c r="G439" s="253"/>
      <c r="H439" s="204" t="s">
        <v>360</v>
      </c>
      <c r="I439" s="204"/>
      <c r="J439" s="204"/>
      <c r="K439" s="204"/>
      <c r="L439" s="213">
        <f>L435*1000/(L436*100)+L435*1000*L437/(L438*1000)</f>
        <v>14.225482322204401</v>
      </c>
      <c r="M439" s="213"/>
      <c r="N439" s="213"/>
      <c r="O439" s="213"/>
      <c r="P439" s="213">
        <f>P435*1000/(P436*100)+P435*1000*P437/(P438*1000)</f>
        <v>14.3650304</v>
      </c>
      <c r="Q439" s="213"/>
      <c r="R439" s="213"/>
      <c r="S439" s="213"/>
      <c r="T439" s="213">
        <f>T435*1000/(T436*100)+T435*1000*T437/(T438*1000)</f>
        <v>14.225482322204401</v>
      </c>
      <c r="U439" s="213"/>
      <c r="V439" s="213"/>
      <c r="W439" s="213"/>
      <c r="X439" s="46"/>
      <c r="Y439" s="46"/>
      <c r="Z439" s="46"/>
      <c r="AA439" s="46"/>
      <c r="AB439" s="46"/>
      <c r="AC439" s="46"/>
      <c r="AD439" s="46"/>
      <c r="AE439" s="46"/>
      <c r="AF439" s="46"/>
      <c r="AG439" s="46"/>
      <c r="AH439" s="46"/>
      <c r="AI439" s="46"/>
      <c r="AJ439" s="46"/>
      <c r="AK439" s="46"/>
      <c r="AL439" s="46"/>
    </row>
    <row r="440" spans="1:38" ht="19.5" customHeight="1">
      <c r="A440" s="4"/>
      <c r="B440" s="4" t="s">
        <v>271</v>
      </c>
      <c r="C440" s="4"/>
      <c r="E440" s="283" t="s">
        <v>147</v>
      </c>
      <c r="F440" s="284"/>
      <c r="G440" s="253"/>
      <c r="H440" s="204" t="s">
        <v>360</v>
      </c>
      <c r="I440" s="204"/>
      <c r="J440" s="204"/>
      <c r="K440" s="204"/>
      <c r="L440" s="213">
        <f>-N288</f>
        <v>-0.4900269718617874</v>
      </c>
      <c r="M440" s="213"/>
      <c r="N440" s="213"/>
      <c r="O440" s="213"/>
      <c r="P440" s="213">
        <f>-R288</f>
        <v>-0.08471111111111111</v>
      </c>
      <c r="Q440" s="213"/>
      <c r="R440" s="213"/>
      <c r="S440" s="213"/>
      <c r="T440" s="213">
        <f>-V288</f>
        <v>-0.4900269718617874</v>
      </c>
      <c r="U440" s="213"/>
      <c r="V440" s="213"/>
      <c r="W440" s="213"/>
      <c r="X440" s="46"/>
      <c r="Y440" s="46"/>
      <c r="Z440" s="46"/>
      <c r="AA440" s="46"/>
      <c r="AB440" s="46"/>
      <c r="AC440" s="46"/>
      <c r="AD440" s="46"/>
      <c r="AE440" s="46"/>
      <c r="AF440" s="46"/>
      <c r="AG440" s="46"/>
      <c r="AH440" s="46"/>
      <c r="AI440" s="46"/>
      <c r="AJ440" s="46"/>
      <c r="AK440" s="46"/>
      <c r="AL440" s="46"/>
    </row>
    <row r="441" spans="1:38" ht="19.5" customHeight="1">
      <c r="A441" s="4"/>
      <c r="B441" s="4"/>
      <c r="C441" s="4" t="s">
        <v>271</v>
      </c>
      <c r="D441" s="4"/>
      <c r="E441" s="283" t="s">
        <v>342</v>
      </c>
      <c r="F441" s="284"/>
      <c r="G441" s="253"/>
      <c r="H441" s="204" t="s">
        <v>360</v>
      </c>
      <c r="I441" s="204"/>
      <c r="J441" s="204"/>
      <c r="K441" s="204"/>
      <c r="L441" s="213">
        <f>L439+L440</f>
        <v>13.735455350342614</v>
      </c>
      <c r="M441" s="213"/>
      <c r="N441" s="213"/>
      <c r="O441" s="213"/>
      <c r="P441" s="213">
        <f>P439+P440</f>
        <v>14.280319288888888</v>
      </c>
      <c r="Q441" s="213"/>
      <c r="R441" s="213"/>
      <c r="S441" s="213"/>
      <c r="T441" s="213">
        <f>T439+T440</f>
        <v>13.735455350342614</v>
      </c>
      <c r="U441" s="213"/>
      <c r="V441" s="213"/>
      <c r="W441" s="213"/>
      <c r="X441" s="46"/>
      <c r="Y441" s="46"/>
      <c r="Z441" s="46"/>
      <c r="AA441" s="46"/>
      <c r="AB441" s="46"/>
      <c r="AC441" s="46"/>
      <c r="AD441" s="46"/>
      <c r="AE441" s="46"/>
      <c r="AF441" s="46"/>
      <c r="AG441" s="46"/>
      <c r="AH441" s="46"/>
      <c r="AI441" s="46"/>
      <c r="AJ441" s="46"/>
      <c r="AK441" s="46"/>
      <c r="AL441" s="46"/>
    </row>
    <row r="442" spans="1:44" ht="19.5" customHeight="1">
      <c r="A442" s="4"/>
      <c r="B442" s="4"/>
      <c r="C442" s="4" t="s">
        <v>271</v>
      </c>
      <c r="D442" s="4"/>
      <c r="E442" s="283" t="s">
        <v>371</v>
      </c>
      <c r="F442" s="284"/>
      <c r="G442" s="253"/>
      <c r="H442" s="204" t="s">
        <v>360</v>
      </c>
      <c r="I442" s="204"/>
      <c r="J442" s="204"/>
      <c r="K442" s="204"/>
      <c r="L442" s="213">
        <f>1/2*$AJ$400*L441*(L432-1)/L432</f>
        <v>46.22509012134533</v>
      </c>
      <c r="M442" s="213"/>
      <c r="N442" s="213"/>
      <c r="O442" s="213"/>
      <c r="P442" s="213">
        <f>1/2*$AJ$400*P441*(P432-1)/P432</f>
        <v>48.05876683760683</v>
      </c>
      <c r="Q442" s="213"/>
      <c r="R442" s="213"/>
      <c r="S442" s="213"/>
      <c r="T442" s="213">
        <f>1/2*$AJ$400*T441*(T432-1)/T432</f>
        <v>46.22509012134533</v>
      </c>
      <c r="U442" s="213"/>
      <c r="V442" s="213"/>
      <c r="W442" s="213"/>
      <c r="X442" s="46"/>
      <c r="Y442" s="46"/>
      <c r="Z442" s="46"/>
      <c r="AA442" s="46"/>
      <c r="AB442" s="46"/>
      <c r="AC442" s="46"/>
      <c r="AD442" s="46"/>
      <c r="AE442" s="46"/>
      <c r="AF442" s="46"/>
      <c r="AG442" s="46"/>
      <c r="AH442" s="46"/>
      <c r="AI442" s="46"/>
      <c r="AJ442" s="46"/>
      <c r="AK442" s="46"/>
      <c r="AL442" s="46"/>
      <c r="AR442" s="42"/>
    </row>
    <row r="443" spans="1:23" ht="19.5" customHeight="1">
      <c r="A443" s="4"/>
      <c r="B443" s="4"/>
      <c r="D443" s="4"/>
      <c r="E443" s="183" t="s">
        <v>372</v>
      </c>
      <c r="F443" s="183"/>
      <c r="G443" s="183"/>
      <c r="H443" s="204" t="s">
        <v>360</v>
      </c>
      <c r="I443" s="204"/>
      <c r="J443" s="204"/>
      <c r="K443" s="204"/>
      <c r="L443" s="190">
        <f>L433-L442</f>
        <v>1244.4749098786547</v>
      </c>
      <c r="M443" s="190"/>
      <c r="N443" s="190"/>
      <c r="O443" s="190"/>
      <c r="P443" s="190">
        <f>P433-P442</f>
        <v>1243.1412331623933</v>
      </c>
      <c r="Q443" s="190"/>
      <c r="R443" s="190"/>
      <c r="S443" s="190"/>
      <c r="T443" s="190">
        <f>T433-T442</f>
        <v>1244.4749098786547</v>
      </c>
      <c r="U443" s="190"/>
      <c r="V443" s="190"/>
      <c r="W443" s="190"/>
    </row>
    <row r="444" spans="1:23" ht="19.5" customHeight="1">
      <c r="A444" s="4"/>
      <c r="B444" s="4"/>
      <c r="D444" s="4"/>
      <c r="E444" s="49"/>
      <c r="F444" s="49"/>
      <c r="G444" s="49"/>
      <c r="H444" s="45"/>
      <c r="I444" s="45"/>
      <c r="J444" s="45"/>
      <c r="K444" s="45"/>
      <c r="L444" s="37"/>
      <c r="M444" s="37"/>
      <c r="N444" s="37"/>
      <c r="O444" s="37"/>
      <c r="P444" s="37"/>
      <c r="Q444" s="37"/>
      <c r="R444" s="37"/>
      <c r="S444" s="37"/>
      <c r="T444" s="37"/>
      <c r="U444" s="37"/>
      <c r="V444" s="37"/>
      <c r="W444" s="37"/>
    </row>
    <row r="445" spans="1:12" ht="19.5" customHeight="1">
      <c r="A445" s="4"/>
      <c r="B445" s="4"/>
      <c r="D445" s="4" t="s">
        <v>1193</v>
      </c>
      <c r="E445" s="4"/>
      <c r="F445" s="4"/>
      <c r="G445" s="4"/>
      <c r="H445" s="4"/>
      <c r="I445" s="4"/>
      <c r="J445" s="4"/>
      <c r="K445" s="4"/>
      <c r="L445" s="4"/>
    </row>
    <row r="446" spans="1:33" ht="19.5" customHeight="1">
      <c r="A446" s="4"/>
      <c r="B446" s="4"/>
      <c r="C446" s="4"/>
      <c r="E446" s="4" t="s">
        <v>379</v>
      </c>
      <c r="F446" s="4"/>
      <c r="G446" s="4"/>
      <c r="H446" s="4"/>
      <c r="I446" s="4"/>
      <c r="J446" s="4"/>
      <c r="K446" s="4"/>
      <c r="L446" s="4"/>
      <c r="Y446" s="29"/>
      <c r="Z446" s="29"/>
      <c r="AA446" s="29"/>
      <c r="AB446" s="29"/>
      <c r="AC446" s="29"/>
      <c r="AD446" s="29"/>
      <c r="AE446" s="29"/>
      <c r="AF446" s="29"/>
      <c r="AG446" s="29"/>
    </row>
    <row r="447" spans="1:39" ht="19.5" customHeight="1">
      <c r="A447" s="4" t="s">
        <v>380</v>
      </c>
      <c r="B447" s="4"/>
      <c r="C447" s="4"/>
      <c r="D447" s="4"/>
      <c r="E447" s="4"/>
      <c r="F447" s="4"/>
      <c r="G447" s="33" t="s">
        <v>351</v>
      </c>
      <c r="H447" s="237">
        <f>-Z460</f>
        <v>-3112.9661595444104</v>
      </c>
      <c r="I447" s="237"/>
      <c r="J447" s="237"/>
      <c r="K447" s="27" t="s">
        <v>1364</v>
      </c>
      <c r="L447" s="39" t="s">
        <v>381</v>
      </c>
      <c r="N447" s="39" t="s">
        <v>382</v>
      </c>
      <c r="O447" s="237">
        <f>AH246</f>
        <v>3000</v>
      </c>
      <c r="P447" s="237"/>
      <c r="Q447" s="237"/>
      <c r="R447" s="27" t="s">
        <v>1364</v>
      </c>
      <c r="S447" s="39" t="s">
        <v>383</v>
      </c>
      <c r="U447" s="35" t="s">
        <v>384</v>
      </c>
      <c r="V447" s="237">
        <f>Z460</f>
        <v>3112.9661595444104</v>
      </c>
      <c r="W447" s="237"/>
      <c r="X447" s="237"/>
      <c r="Y447" s="27" t="s">
        <v>1364</v>
      </c>
      <c r="Z447" s="39" t="s">
        <v>381</v>
      </c>
      <c r="AB447" s="27" t="s">
        <v>1364</v>
      </c>
      <c r="AC447" s="40">
        <f>AH248*10</f>
        <v>50</v>
      </c>
      <c r="AD447" s="40"/>
      <c r="AE447" s="39" t="s">
        <v>382</v>
      </c>
      <c r="AF447" s="145">
        <f>AH249</f>
        <v>-15000</v>
      </c>
      <c r="AG447" s="145"/>
      <c r="AH447" s="145"/>
      <c r="AI447" s="145"/>
      <c r="AJ447" s="145"/>
      <c r="AK447" s="27" t="s">
        <v>1364</v>
      </c>
      <c r="AL447" s="39" t="s">
        <v>381</v>
      </c>
      <c r="AM447" s="27"/>
    </row>
    <row r="448" spans="1:24" ht="19.5" customHeight="1">
      <c r="A448" s="4" t="s">
        <v>380</v>
      </c>
      <c r="B448" s="4"/>
      <c r="C448" s="4"/>
      <c r="D448" s="4"/>
      <c r="E448" s="4"/>
      <c r="F448" s="4"/>
      <c r="G448" s="33" t="s">
        <v>351</v>
      </c>
      <c r="H448" s="244">
        <f>H447*10/O447-V447*AC447/AF447</f>
        <v>0</v>
      </c>
      <c r="I448" s="244"/>
      <c r="J448" s="244"/>
      <c r="K448" s="29" t="s">
        <v>385</v>
      </c>
      <c r="O448" s="27" t="str">
        <f>IF(ABS(H448)&lt;=ABS(U448),"≤","＞")</f>
        <v>≤</v>
      </c>
      <c r="R448" s="27" t="s">
        <v>386</v>
      </c>
      <c r="U448" s="237">
        <v>-19</v>
      </c>
      <c r="V448" s="237"/>
      <c r="W448" s="237"/>
      <c r="X448" s="29" t="s">
        <v>385</v>
      </c>
    </row>
    <row r="449" spans="1:12" ht="19.5" customHeight="1">
      <c r="A449" s="4"/>
      <c r="B449" s="4"/>
      <c r="C449" s="4"/>
      <c r="D449" s="4"/>
      <c r="E449" s="4" t="s">
        <v>387</v>
      </c>
      <c r="F449" s="4"/>
      <c r="G449" s="4"/>
      <c r="H449" s="4"/>
      <c r="I449" s="4"/>
      <c r="J449" s="4"/>
      <c r="K449" s="4"/>
      <c r="L449" s="4"/>
    </row>
    <row r="450" spans="1:39" ht="19.5" customHeight="1">
      <c r="A450" s="4" t="s">
        <v>380</v>
      </c>
      <c r="B450" s="4"/>
      <c r="C450" s="4"/>
      <c r="D450" s="4"/>
      <c r="E450" s="4"/>
      <c r="F450" s="4"/>
      <c r="G450" s="33" t="s">
        <v>351</v>
      </c>
      <c r="H450" s="237">
        <f>H447</f>
        <v>-3112.9661595444104</v>
      </c>
      <c r="I450" s="237"/>
      <c r="J450" s="237"/>
      <c r="K450" s="27" t="s">
        <v>1364</v>
      </c>
      <c r="L450" s="39" t="s">
        <v>381</v>
      </c>
      <c r="N450" s="39" t="s">
        <v>382</v>
      </c>
      <c r="O450" s="237">
        <f>O447</f>
        <v>3000</v>
      </c>
      <c r="P450" s="237"/>
      <c r="Q450" s="237"/>
      <c r="R450" s="27" t="s">
        <v>1364</v>
      </c>
      <c r="S450" s="39" t="s">
        <v>383</v>
      </c>
      <c r="U450" s="35" t="s">
        <v>384</v>
      </c>
      <c r="V450" s="237">
        <f>V447</f>
        <v>3112.9661595444104</v>
      </c>
      <c r="W450" s="237"/>
      <c r="X450" s="237"/>
      <c r="Y450" s="27" t="s">
        <v>1364</v>
      </c>
      <c r="Z450" s="39" t="s">
        <v>381</v>
      </c>
      <c r="AB450" s="27" t="s">
        <v>1364</v>
      </c>
      <c r="AC450" s="40">
        <f>AC447</f>
        <v>50</v>
      </c>
      <c r="AD450" s="40"/>
      <c r="AE450" s="39" t="s">
        <v>382</v>
      </c>
      <c r="AF450" s="145">
        <f>AH250</f>
        <v>15000</v>
      </c>
      <c r="AG450" s="145"/>
      <c r="AH450" s="145"/>
      <c r="AI450" s="145"/>
      <c r="AJ450" s="145"/>
      <c r="AK450" s="27" t="s">
        <v>1364</v>
      </c>
      <c r="AL450" s="39" t="s">
        <v>381</v>
      </c>
      <c r="AM450" s="27"/>
    </row>
    <row r="451" spans="1:24" ht="19.5" customHeight="1">
      <c r="A451" s="4" t="s">
        <v>380</v>
      </c>
      <c r="B451" s="4"/>
      <c r="C451" s="4"/>
      <c r="D451" s="4"/>
      <c r="E451" s="4"/>
      <c r="F451" s="4"/>
      <c r="G451" s="33" t="s">
        <v>351</v>
      </c>
      <c r="H451" s="244">
        <f>H450*10/O450-V450*AC450/AF450</f>
        <v>-20.75310773029607</v>
      </c>
      <c r="I451" s="244"/>
      <c r="J451" s="244"/>
      <c r="K451" s="29" t="s">
        <v>385</v>
      </c>
      <c r="O451" s="27" t="str">
        <f>IF(ABS(H451)&lt;=ABS(U451),"≤","＞")</f>
        <v>＞</v>
      </c>
      <c r="R451" s="27" t="s">
        <v>386</v>
      </c>
      <c r="U451" s="237">
        <v>-19</v>
      </c>
      <c r="V451" s="237"/>
      <c r="W451" s="237"/>
      <c r="X451" s="29" t="s">
        <v>385</v>
      </c>
    </row>
    <row r="452" spans="1:12" ht="19.5" customHeight="1">
      <c r="A452" s="4"/>
      <c r="B452" s="4"/>
      <c r="C452" s="4"/>
      <c r="D452" s="4"/>
      <c r="E452" s="4" t="s">
        <v>388</v>
      </c>
      <c r="F452" s="4"/>
      <c r="G452" s="4"/>
      <c r="H452" s="4"/>
      <c r="I452" s="4"/>
      <c r="J452" s="4"/>
      <c r="K452" s="4"/>
      <c r="L452" s="4"/>
    </row>
    <row r="453" spans="1:39" ht="19.5" customHeight="1">
      <c r="A453" s="4" t="s">
        <v>380</v>
      </c>
      <c r="B453" s="4"/>
      <c r="C453" s="4"/>
      <c r="D453" s="4"/>
      <c r="E453" s="4"/>
      <c r="F453" s="4"/>
      <c r="G453" s="33" t="s">
        <v>351</v>
      </c>
      <c r="H453" s="237">
        <f>H450</f>
        <v>-3112.9661595444104</v>
      </c>
      <c r="I453" s="237"/>
      <c r="J453" s="237"/>
      <c r="K453" s="27" t="s">
        <v>1364</v>
      </c>
      <c r="L453" s="39" t="s">
        <v>381</v>
      </c>
      <c r="N453" s="39" t="s">
        <v>382</v>
      </c>
      <c r="O453" s="237">
        <f>O450</f>
        <v>3000</v>
      </c>
      <c r="P453" s="237"/>
      <c r="Q453" s="237"/>
      <c r="R453" s="27" t="s">
        <v>1364</v>
      </c>
      <c r="S453" s="39" t="s">
        <v>383</v>
      </c>
      <c r="U453" s="35" t="s">
        <v>384</v>
      </c>
      <c r="V453" s="237">
        <f>V450</f>
        <v>3112.9661595444104</v>
      </c>
      <c r="W453" s="237"/>
      <c r="X453" s="237"/>
      <c r="Y453" s="27" t="s">
        <v>1364</v>
      </c>
      <c r="Z453" s="39" t="s">
        <v>381</v>
      </c>
      <c r="AB453" s="27" t="s">
        <v>1364</v>
      </c>
      <c r="AC453" s="40">
        <f>AC450</f>
        <v>50</v>
      </c>
      <c r="AD453" s="40"/>
      <c r="AE453" s="39" t="s">
        <v>382</v>
      </c>
      <c r="AF453" s="145">
        <f>AH251</f>
        <v>45000</v>
      </c>
      <c r="AG453" s="145"/>
      <c r="AH453" s="145"/>
      <c r="AI453" s="145"/>
      <c r="AJ453" s="145"/>
      <c r="AK453" s="27" t="s">
        <v>1364</v>
      </c>
      <c r="AL453" s="39" t="s">
        <v>381</v>
      </c>
      <c r="AM453" s="27"/>
    </row>
    <row r="454" spans="1:24" ht="19.5" customHeight="1">
      <c r="A454" s="4" t="s">
        <v>380</v>
      </c>
      <c r="B454" s="4"/>
      <c r="C454" s="4"/>
      <c r="D454" s="4"/>
      <c r="E454" s="4"/>
      <c r="F454" s="4"/>
      <c r="G454" s="33" t="s">
        <v>351</v>
      </c>
      <c r="H454" s="244">
        <f>H453*10/O453-V453*AC453/AF453</f>
        <v>-13.835405153530711</v>
      </c>
      <c r="I454" s="244"/>
      <c r="J454" s="244"/>
      <c r="K454" s="29" t="s">
        <v>385</v>
      </c>
      <c r="O454" s="27" t="str">
        <f>IF(ABS(H454)&lt;=ABS(U454),"≤","＞")</f>
        <v>≤</v>
      </c>
      <c r="R454" s="27" t="s">
        <v>386</v>
      </c>
      <c r="U454" s="237">
        <v>-19</v>
      </c>
      <c r="V454" s="237"/>
      <c r="W454" s="237"/>
      <c r="X454" s="29" t="s">
        <v>385</v>
      </c>
    </row>
    <row r="455" spans="1:12" ht="19.5" customHeight="1">
      <c r="A455" s="4"/>
      <c r="B455" s="4"/>
      <c r="C455" s="4"/>
      <c r="E455" s="4" t="s">
        <v>929</v>
      </c>
      <c r="F455" s="4"/>
      <c r="G455" s="4"/>
      <c r="H455" s="4"/>
      <c r="I455" s="4"/>
      <c r="J455" s="4"/>
      <c r="K455" s="4"/>
      <c r="L455" s="4"/>
    </row>
    <row r="456" spans="1:13" ht="19.5" customHeight="1">
      <c r="A456" s="4"/>
      <c r="B456" s="4"/>
      <c r="C456" s="4"/>
      <c r="D456" s="4"/>
      <c r="E456" s="27" t="s">
        <v>389</v>
      </c>
      <c r="F456" s="4"/>
      <c r="G456" s="4"/>
      <c r="H456" s="4"/>
      <c r="I456" s="4"/>
      <c r="J456" s="4"/>
      <c r="M456" s="4" t="s">
        <v>1194</v>
      </c>
    </row>
    <row r="457" spans="1:14" ht="19.5" customHeight="1">
      <c r="A457" s="4"/>
      <c r="B457" s="4"/>
      <c r="C457" s="4"/>
      <c r="D457" s="4"/>
      <c r="F457" s="4"/>
      <c r="G457" s="4"/>
      <c r="H457" s="4"/>
      <c r="I457" s="4"/>
      <c r="J457" s="4"/>
      <c r="N457" s="27" t="s">
        <v>390</v>
      </c>
    </row>
    <row r="458" spans="1:13" ht="19.5" customHeight="1">
      <c r="A458" s="4"/>
      <c r="B458" s="4"/>
      <c r="C458" s="4"/>
      <c r="D458" s="4"/>
      <c r="E458" s="4" t="s">
        <v>391</v>
      </c>
      <c r="F458" s="4"/>
      <c r="G458" s="4"/>
      <c r="J458" s="4"/>
      <c r="K458" s="4"/>
      <c r="M458" s="4" t="s">
        <v>1195</v>
      </c>
    </row>
    <row r="459" spans="1:17" ht="19.5" customHeight="1">
      <c r="A459" s="4"/>
      <c r="B459" s="4"/>
      <c r="C459" s="4"/>
      <c r="D459" s="4"/>
      <c r="F459" s="4"/>
      <c r="G459" s="4"/>
      <c r="N459" s="4" t="s">
        <v>391</v>
      </c>
      <c r="O459" s="4"/>
      <c r="P459" s="35" t="s">
        <v>351</v>
      </c>
      <c r="Q459" s="27" t="s">
        <v>392</v>
      </c>
    </row>
    <row r="460" spans="1:34" ht="19.5" customHeight="1">
      <c r="A460" s="4"/>
      <c r="B460" s="4"/>
      <c r="C460" s="4"/>
      <c r="D460" s="4"/>
      <c r="F460" s="4"/>
      <c r="G460" s="4"/>
      <c r="N460" s="4"/>
      <c r="O460" s="4"/>
      <c r="P460" s="35" t="s">
        <v>351</v>
      </c>
      <c r="Q460" s="38">
        <f>P418</f>
        <v>2503.2</v>
      </c>
      <c r="R460" s="38"/>
      <c r="S460" s="38"/>
      <c r="T460" s="27" t="s">
        <v>1364</v>
      </c>
      <c r="U460" s="237">
        <f>P427</f>
        <v>1243.5946626495727</v>
      </c>
      <c r="V460" s="237"/>
      <c r="W460" s="237"/>
      <c r="X460" s="237"/>
      <c r="Y460" s="35" t="s">
        <v>351</v>
      </c>
      <c r="Z460" s="237">
        <f>Q460*U460/1000</f>
        <v>3112.9661595444104</v>
      </c>
      <c r="AA460" s="237"/>
      <c r="AB460" s="237"/>
      <c r="AC460" s="237"/>
      <c r="AD460" s="154" t="s">
        <v>353</v>
      </c>
      <c r="AH460" s="27"/>
    </row>
    <row r="461" spans="1:13" ht="19.5" customHeight="1">
      <c r="A461" s="4"/>
      <c r="B461" s="4"/>
      <c r="C461" s="4"/>
      <c r="D461" s="4"/>
      <c r="E461" s="4" t="s">
        <v>393</v>
      </c>
      <c r="F461" s="4"/>
      <c r="G461" s="4"/>
      <c r="J461" s="4"/>
      <c r="M461" s="4" t="s">
        <v>1196</v>
      </c>
    </row>
    <row r="462" spans="1:13" ht="19.5" customHeight="1">
      <c r="A462" s="4"/>
      <c r="B462" s="4"/>
      <c r="C462" s="4"/>
      <c r="D462" s="4"/>
      <c r="E462" s="4" t="s">
        <v>394</v>
      </c>
      <c r="F462" s="4"/>
      <c r="G462" s="4"/>
      <c r="J462" s="4"/>
      <c r="M462" s="4" t="s">
        <v>1197</v>
      </c>
    </row>
    <row r="463" spans="1:13" ht="19.5" customHeight="1">
      <c r="A463" s="4"/>
      <c r="B463" s="4"/>
      <c r="C463" s="4"/>
      <c r="D463" s="4"/>
      <c r="E463" s="151" t="s">
        <v>395</v>
      </c>
      <c r="F463" s="151"/>
      <c r="G463" s="100"/>
      <c r="H463" s="100"/>
      <c r="I463" s="151"/>
      <c r="J463" s="42"/>
      <c r="M463" s="4" t="s">
        <v>1198</v>
      </c>
    </row>
    <row r="464" spans="1:13" ht="19.5" customHeight="1">
      <c r="A464" s="4"/>
      <c r="B464" s="4"/>
      <c r="C464" s="4"/>
      <c r="D464" s="4"/>
      <c r="E464" s="151"/>
      <c r="F464" s="151"/>
      <c r="G464" s="100"/>
      <c r="H464" s="100"/>
      <c r="I464" s="151"/>
      <c r="J464" s="42"/>
      <c r="M464" s="4"/>
    </row>
    <row r="465" spans="1:12" ht="19.5" customHeight="1">
      <c r="A465" s="4"/>
      <c r="B465" s="4"/>
      <c r="C465" s="4"/>
      <c r="E465" s="4" t="s">
        <v>1199</v>
      </c>
      <c r="F465" s="4"/>
      <c r="G465" s="4"/>
      <c r="H465" s="4"/>
      <c r="I465" s="4"/>
      <c r="J465" s="4"/>
      <c r="K465" s="4"/>
      <c r="L465" s="4"/>
    </row>
    <row r="466" spans="1:38" ht="19.5" customHeight="1">
      <c r="A466" s="4"/>
      <c r="E466" s="183" t="s">
        <v>1021</v>
      </c>
      <c r="F466" s="183"/>
      <c r="G466" s="183"/>
      <c r="H466" s="183"/>
      <c r="I466" s="183"/>
      <c r="J466" s="183"/>
      <c r="K466" s="183"/>
      <c r="L466" s="204" t="s">
        <v>376</v>
      </c>
      <c r="M466" s="204"/>
      <c r="N466" s="204"/>
      <c r="O466" s="204"/>
      <c r="P466" s="204" t="s">
        <v>377</v>
      </c>
      <c r="Q466" s="204"/>
      <c r="R466" s="204"/>
      <c r="S466" s="204"/>
      <c r="T466" s="204" t="s">
        <v>378</v>
      </c>
      <c r="U466" s="204"/>
      <c r="V466" s="204"/>
      <c r="W466" s="204"/>
      <c r="X466" s="45"/>
      <c r="Y466" s="45"/>
      <c r="Z466" s="45"/>
      <c r="AA466" s="45"/>
      <c r="AB466" s="45"/>
      <c r="AC466" s="45"/>
      <c r="AD466" s="45"/>
      <c r="AE466" s="45"/>
      <c r="AF466" s="45"/>
      <c r="AG466" s="45"/>
      <c r="AH466" s="45"/>
      <c r="AI466" s="45"/>
      <c r="AJ466" s="45"/>
      <c r="AK466" s="45"/>
      <c r="AL466" s="45"/>
    </row>
    <row r="467" spans="1:38" ht="19.5" customHeight="1">
      <c r="A467" s="4" t="s">
        <v>380</v>
      </c>
      <c r="E467" s="183" t="s">
        <v>396</v>
      </c>
      <c r="F467" s="183"/>
      <c r="G467" s="183"/>
      <c r="H467" s="204" t="s">
        <v>325</v>
      </c>
      <c r="I467" s="204"/>
      <c r="J467" s="204"/>
      <c r="K467" s="204"/>
      <c r="L467" s="190">
        <f>L427</f>
        <v>1244.4749098786547</v>
      </c>
      <c r="M467" s="190"/>
      <c r="N467" s="190"/>
      <c r="O467" s="190"/>
      <c r="P467" s="190">
        <f>P427</f>
        <v>1243.5946626495727</v>
      </c>
      <c r="Q467" s="190"/>
      <c r="R467" s="190"/>
      <c r="S467" s="190"/>
      <c r="T467" s="190">
        <f>T427</f>
        <v>1244.4749098786547</v>
      </c>
      <c r="U467" s="190"/>
      <c r="V467" s="190"/>
      <c r="W467" s="190"/>
      <c r="X467" s="77"/>
      <c r="Y467" s="77"/>
      <c r="Z467" s="77"/>
      <c r="AA467" s="77"/>
      <c r="AB467" s="77"/>
      <c r="AC467" s="77"/>
      <c r="AD467" s="77"/>
      <c r="AE467" s="77"/>
      <c r="AF467" s="77"/>
      <c r="AG467" s="77"/>
      <c r="AH467" s="77"/>
      <c r="AI467" s="77"/>
      <c r="AJ467" s="77"/>
      <c r="AK467" s="77"/>
      <c r="AL467" s="77"/>
    </row>
    <row r="468" spans="1:38" ht="19.5" customHeight="1">
      <c r="A468" s="4"/>
      <c r="E468" s="183" t="s">
        <v>393</v>
      </c>
      <c r="F468" s="183"/>
      <c r="G468" s="183"/>
      <c r="H468" s="204" t="s">
        <v>397</v>
      </c>
      <c r="I468" s="204"/>
      <c r="J468" s="204"/>
      <c r="K468" s="204"/>
      <c r="L468" s="190">
        <f>$AG$256</f>
        <v>2503.2</v>
      </c>
      <c r="M468" s="190"/>
      <c r="N468" s="190"/>
      <c r="O468" s="190"/>
      <c r="P468" s="190">
        <f>$AG$241</f>
        <v>2503.2</v>
      </c>
      <c r="Q468" s="190"/>
      <c r="R468" s="190"/>
      <c r="S468" s="190"/>
      <c r="T468" s="190">
        <f>$AG$256</f>
        <v>2503.2</v>
      </c>
      <c r="U468" s="190"/>
      <c r="V468" s="190"/>
      <c r="W468" s="190"/>
      <c r="X468" s="77"/>
      <c r="Y468" s="77"/>
      <c r="Z468" s="77"/>
      <c r="AA468" s="77"/>
      <c r="AB468" s="77"/>
      <c r="AC468" s="77"/>
      <c r="AD468" s="77"/>
      <c r="AE468" s="77"/>
      <c r="AF468" s="77"/>
      <c r="AG468" s="77"/>
      <c r="AH468" s="77"/>
      <c r="AI468" s="77"/>
      <c r="AJ468" s="77"/>
      <c r="AK468" s="77"/>
      <c r="AL468" s="77"/>
    </row>
    <row r="469" spans="1:38" ht="19.5" customHeight="1">
      <c r="A469" s="4"/>
      <c r="E469" s="183" t="s">
        <v>391</v>
      </c>
      <c r="F469" s="183"/>
      <c r="G469" s="183"/>
      <c r="H469" s="204" t="s">
        <v>398</v>
      </c>
      <c r="I469" s="204"/>
      <c r="J469" s="204"/>
      <c r="K469" s="204"/>
      <c r="L469" s="213">
        <f>L467*L468/1000</f>
        <v>3115.169594408248</v>
      </c>
      <c r="M469" s="213"/>
      <c r="N469" s="213"/>
      <c r="O469" s="213"/>
      <c r="P469" s="213">
        <f>P467*P468/1000</f>
        <v>3112.9661595444104</v>
      </c>
      <c r="Q469" s="213"/>
      <c r="R469" s="213"/>
      <c r="S469" s="213"/>
      <c r="T469" s="213">
        <f>T467*T468/1000</f>
        <v>3115.169594408248</v>
      </c>
      <c r="U469" s="213"/>
      <c r="V469" s="213"/>
      <c r="W469" s="213"/>
      <c r="X469" s="46"/>
      <c r="Y469" s="46"/>
      <c r="Z469" s="46"/>
      <c r="AA469" s="46"/>
      <c r="AB469" s="46"/>
      <c r="AC469" s="46"/>
      <c r="AD469" s="46"/>
      <c r="AE469" s="46"/>
      <c r="AF469" s="46"/>
      <c r="AG469" s="46"/>
      <c r="AH469" s="46"/>
      <c r="AI469" s="46"/>
      <c r="AJ469" s="46"/>
      <c r="AK469" s="46"/>
      <c r="AL469" s="46"/>
    </row>
    <row r="470" spans="1:38" ht="19.5" customHeight="1">
      <c r="A470" s="4"/>
      <c r="E470" s="183" t="s">
        <v>399</v>
      </c>
      <c r="F470" s="183"/>
      <c r="G470" s="183"/>
      <c r="H470" s="204" t="s">
        <v>400</v>
      </c>
      <c r="I470" s="204"/>
      <c r="J470" s="204"/>
      <c r="K470" s="204"/>
      <c r="L470" s="190">
        <f>$AH$261</f>
        <v>3800</v>
      </c>
      <c r="M470" s="190"/>
      <c r="N470" s="190"/>
      <c r="O470" s="190"/>
      <c r="P470" s="190">
        <f>$AH$246</f>
        <v>3000</v>
      </c>
      <c r="Q470" s="190"/>
      <c r="R470" s="190"/>
      <c r="S470" s="190"/>
      <c r="T470" s="190">
        <f>$AH$261</f>
        <v>3800</v>
      </c>
      <c r="U470" s="190"/>
      <c r="V470" s="190"/>
      <c r="W470" s="190"/>
      <c r="X470" s="77"/>
      <c r="Y470" s="77"/>
      <c r="Z470" s="77"/>
      <c r="AA470" s="77"/>
      <c r="AB470" s="77"/>
      <c r="AC470" s="77"/>
      <c r="AD470" s="77"/>
      <c r="AE470" s="77"/>
      <c r="AF470" s="77"/>
      <c r="AG470" s="77"/>
      <c r="AH470" s="77"/>
      <c r="AI470" s="77"/>
      <c r="AJ470" s="77"/>
      <c r="AK470" s="77"/>
      <c r="AL470" s="77"/>
    </row>
    <row r="471" spans="1:38" ht="19.5" customHeight="1">
      <c r="A471" s="4"/>
      <c r="E471" s="183" t="s">
        <v>401</v>
      </c>
      <c r="F471" s="183"/>
      <c r="G471" s="183"/>
      <c r="H471" s="204" t="s">
        <v>402</v>
      </c>
      <c r="I471" s="204"/>
      <c r="J471" s="204"/>
      <c r="K471" s="204"/>
      <c r="L471" s="190">
        <f>$AH$263*10</f>
        <v>-90</v>
      </c>
      <c r="M471" s="190"/>
      <c r="N471" s="190"/>
      <c r="O471" s="190"/>
      <c r="P471" s="190">
        <f>$AH$248*10</f>
        <v>50</v>
      </c>
      <c r="Q471" s="190"/>
      <c r="R471" s="190"/>
      <c r="S471" s="190"/>
      <c r="T471" s="190">
        <f>$AH$263*10</f>
        <v>-90</v>
      </c>
      <c r="U471" s="190"/>
      <c r="V471" s="190"/>
      <c r="W471" s="190"/>
      <c r="X471" s="77"/>
      <c r="Y471" s="77"/>
      <c r="Z471" s="77"/>
      <c r="AA471" s="77"/>
      <c r="AB471" s="77"/>
      <c r="AC471" s="77"/>
      <c r="AD471" s="77"/>
      <c r="AE471" s="77"/>
      <c r="AF471" s="77"/>
      <c r="AG471" s="77"/>
      <c r="AH471" s="77"/>
      <c r="AI471" s="77"/>
      <c r="AJ471" s="77"/>
      <c r="AK471" s="77"/>
      <c r="AL471" s="77"/>
    </row>
    <row r="472" spans="1:38" ht="19.5" customHeight="1">
      <c r="A472" s="4"/>
      <c r="E472" s="283" t="s">
        <v>403</v>
      </c>
      <c r="F472" s="284"/>
      <c r="G472" s="253"/>
      <c r="H472" s="204" t="s">
        <v>404</v>
      </c>
      <c r="I472" s="204"/>
      <c r="J472" s="204"/>
      <c r="K472" s="204"/>
      <c r="L472" s="213">
        <f>$AH$264</f>
        <v>-24066.666666666668</v>
      </c>
      <c r="M472" s="213"/>
      <c r="N472" s="213"/>
      <c r="O472" s="213"/>
      <c r="P472" s="213">
        <f>$AH$249</f>
        <v>-15000</v>
      </c>
      <c r="Q472" s="213"/>
      <c r="R472" s="213"/>
      <c r="S472" s="213"/>
      <c r="T472" s="213">
        <f>$AH$264</f>
        <v>-24066.666666666668</v>
      </c>
      <c r="U472" s="213"/>
      <c r="V472" s="213"/>
      <c r="W472" s="213"/>
      <c r="X472" s="46"/>
      <c r="Y472" s="46"/>
      <c r="Z472" s="46"/>
      <c r="AA472" s="46"/>
      <c r="AB472" s="46"/>
      <c r="AC472" s="46"/>
      <c r="AD472" s="46"/>
      <c r="AE472" s="46"/>
      <c r="AF472" s="46"/>
      <c r="AG472" s="46"/>
      <c r="AH472" s="46"/>
      <c r="AI472" s="46"/>
      <c r="AJ472" s="46"/>
      <c r="AK472" s="46"/>
      <c r="AL472" s="46"/>
    </row>
    <row r="473" spans="1:38" ht="19.5" customHeight="1">
      <c r="A473" s="4"/>
      <c r="B473" s="4"/>
      <c r="C473" s="4"/>
      <c r="D473" s="4"/>
      <c r="E473" s="283" t="s">
        <v>405</v>
      </c>
      <c r="F473" s="284"/>
      <c r="G473" s="253"/>
      <c r="H473" s="204" t="s">
        <v>404</v>
      </c>
      <c r="I473" s="204"/>
      <c r="J473" s="204"/>
      <c r="K473" s="204"/>
      <c r="L473" s="213">
        <f>$AH$265</f>
        <v>24066.666666666668</v>
      </c>
      <c r="M473" s="213"/>
      <c r="N473" s="213"/>
      <c r="O473" s="213"/>
      <c r="P473" s="213">
        <f>$AH$250</f>
        <v>15000</v>
      </c>
      <c r="Q473" s="213"/>
      <c r="R473" s="213"/>
      <c r="S473" s="213"/>
      <c r="T473" s="213">
        <f>$AH$265</f>
        <v>24066.666666666668</v>
      </c>
      <c r="U473" s="213"/>
      <c r="V473" s="213"/>
      <c r="W473" s="213"/>
      <c r="X473" s="46"/>
      <c r="Y473" s="46"/>
      <c r="Z473" s="46"/>
      <c r="AA473" s="46"/>
      <c r="AB473" s="46"/>
      <c r="AC473" s="46"/>
      <c r="AD473" s="46"/>
      <c r="AE473" s="46"/>
      <c r="AF473" s="46"/>
      <c r="AG473" s="46"/>
      <c r="AH473" s="46"/>
      <c r="AI473" s="46"/>
      <c r="AJ473" s="46"/>
      <c r="AK473" s="46"/>
      <c r="AL473" s="46"/>
    </row>
    <row r="474" spans="1:38" ht="19.5" customHeight="1">
      <c r="A474" s="4"/>
      <c r="B474" s="4" t="s">
        <v>380</v>
      </c>
      <c r="C474" s="4"/>
      <c r="E474" s="283" t="s">
        <v>406</v>
      </c>
      <c r="F474" s="284"/>
      <c r="G474" s="253"/>
      <c r="H474" s="204" t="s">
        <v>404</v>
      </c>
      <c r="I474" s="204"/>
      <c r="J474" s="204"/>
      <c r="K474" s="204"/>
      <c r="L474" s="213">
        <f>$AH$266</f>
        <v>-50807.40740740741</v>
      </c>
      <c r="M474" s="213"/>
      <c r="N474" s="213"/>
      <c r="O474" s="213"/>
      <c r="P474" s="213">
        <f>$AH$251</f>
        <v>45000</v>
      </c>
      <c r="Q474" s="213"/>
      <c r="R474" s="213"/>
      <c r="S474" s="213"/>
      <c r="T474" s="213">
        <f>$AH$266</f>
        <v>-50807.40740740741</v>
      </c>
      <c r="U474" s="213"/>
      <c r="V474" s="213"/>
      <c r="W474" s="213"/>
      <c r="X474" s="46"/>
      <c r="Y474" s="46"/>
      <c r="Z474" s="46"/>
      <c r="AA474" s="46"/>
      <c r="AB474" s="46"/>
      <c r="AC474" s="46"/>
      <c r="AD474" s="46"/>
      <c r="AE474" s="46"/>
      <c r="AF474" s="46"/>
      <c r="AG474" s="46"/>
      <c r="AH474" s="46"/>
      <c r="AI474" s="46"/>
      <c r="AJ474" s="46"/>
      <c r="AK474" s="46"/>
      <c r="AL474" s="46"/>
    </row>
    <row r="475" spans="1:38" ht="19.5" customHeight="1">
      <c r="A475" s="4"/>
      <c r="B475" s="4"/>
      <c r="C475" s="4" t="s">
        <v>380</v>
      </c>
      <c r="D475" s="4"/>
      <c r="E475" s="283" t="s">
        <v>407</v>
      </c>
      <c r="F475" s="284"/>
      <c r="G475" s="253"/>
      <c r="H475" s="204" t="s">
        <v>325</v>
      </c>
      <c r="I475" s="204"/>
      <c r="J475" s="204"/>
      <c r="K475" s="204"/>
      <c r="L475" s="213">
        <f>-L$469*10/L$470-L$469*L$471/L472</f>
        <v>-19.847340906202135</v>
      </c>
      <c r="M475" s="213"/>
      <c r="N475" s="213"/>
      <c r="O475" s="213"/>
      <c r="P475" s="213">
        <f>-P$469*10/P$470-P$469*P$471/P472</f>
        <v>0</v>
      </c>
      <c r="Q475" s="213"/>
      <c r="R475" s="213"/>
      <c r="S475" s="213"/>
      <c r="T475" s="213">
        <f>-T$469*10/T$470-T$469*T$471/T472</f>
        <v>-19.847340906202135</v>
      </c>
      <c r="U475" s="213"/>
      <c r="V475" s="213"/>
      <c r="W475" s="213"/>
      <c r="X475" s="46"/>
      <c r="Y475" s="46"/>
      <c r="Z475" s="46"/>
      <c r="AA475" s="46"/>
      <c r="AB475" s="46"/>
      <c r="AC475" s="46"/>
      <c r="AD475" s="46"/>
      <c r="AE475" s="46"/>
      <c r="AF475" s="46"/>
      <c r="AG475" s="46"/>
      <c r="AH475" s="46"/>
      <c r="AI475" s="46"/>
      <c r="AJ475" s="46"/>
      <c r="AK475" s="46"/>
      <c r="AL475" s="46"/>
    </row>
    <row r="476" spans="1:44" ht="19.5" customHeight="1">
      <c r="A476" s="4"/>
      <c r="B476" s="4"/>
      <c r="C476" s="4" t="s">
        <v>380</v>
      </c>
      <c r="D476" s="4"/>
      <c r="E476" s="283" t="s">
        <v>408</v>
      </c>
      <c r="F476" s="284"/>
      <c r="G476" s="253"/>
      <c r="H476" s="204" t="s">
        <v>325</v>
      </c>
      <c r="I476" s="204"/>
      <c r="J476" s="204"/>
      <c r="K476" s="204"/>
      <c r="L476" s="213">
        <f>-L$469*10/L$470-L$469*L$471/L473</f>
        <v>3.4517114619481966</v>
      </c>
      <c r="M476" s="213"/>
      <c r="N476" s="213"/>
      <c r="O476" s="213"/>
      <c r="P476" s="213">
        <f>-P$469*10/P$470-P$469*P$471/P473</f>
        <v>-20.75310773029607</v>
      </c>
      <c r="Q476" s="213"/>
      <c r="R476" s="213"/>
      <c r="S476" s="213"/>
      <c r="T476" s="213">
        <f>-T$469*10/T$470-T$469*T$471/T473</f>
        <v>3.4517114619481966</v>
      </c>
      <c r="U476" s="213"/>
      <c r="V476" s="213"/>
      <c r="W476" s="213"/>
      <c r="X476" s="46"/>
      <c r="Y476" s="46"/>
      <c r="Z476" s="46"/>
      <c r="AA476" s="46"/>
      <c r="AB476" s="46"/>
      <c r="AC476" s="46"/>
      <c r="AD476" s="46"/>
      <c r="AE476" s="46"/>
      <c r="AF476" s="46"/>
      <c r="AG476" s="46"/>
      <c r="AH476" s="46"/>
      <c r="AI476" s="46"/>
      <c r="AJ476" s="46"/>
      <c r="AK476" s="46"/>
      <c r="AL476" s="46"/>
      <c r="AR476" s="42"/>
    </row>
    <row r="477" spans="1:38" ht="19.5" customHeight="1">
      <c r="A477" s="4"/>
      <c r="B477" s="4"/>
      <c r="C477" s="4" t="s">
        <v>380</v>
      </c>
      <c r="D477" s="4"/>
      <c r="E477" s="283" t="s">
        <v>409</v>
      </c>
      <c r="F477" s="284"/>
      <c r="G477" s="253"/>
      <c r="H477" s="204" t="s">
        <v>325</v>
      </c>
      <c r="I477" s="204"/>
      <c r="J477" s="204"/>
      <c r="K477" s="204"/>
      <c r="L477" s="213">
        <f>-L$469*10/L$470-L$469*L$471/L474</f>
        <v>-13.716011335636258</v>
      </c>
      <c r="M477" s="213"/>
      <c r="N477" s="213"/>
      <c r="O477" s="213"/>
      <c r="P477" s="213">
        <f>-P$469*10/P$470-P$469*P$471/P474</f>
        <v>-13.835405153530711</v>
      </c>
      <c r="Q477" s="213"/>
      <c r="R477" s="213"/>
      <c r="S477" s="213"/>
      <c r="T477" s="213">
        <f>-T$469*10/T$470-T$469*T$471/T474</f>
        <v>-13.716011335636258</v>
      </c>
      <c r="U477" s="213"/>
      <c r="V477" s="213"/>
      <c r="W477" s="213"/>
      <c r="X477" s="46"/>
      <c r="Y477" s="46"/>
      <c r="Z477" s="46"/>
      <c r="AA477" s="46"/>
      <c r="AB477" s="46"/>
      <c r="AC477" s="46"/>
      <c r="AD477" s="46"/>
      <c r="AE477" s="46"/>
      <c r="AF477" s="46"/>
      <c r="AG477" s="46"/>
      <c r="AH477" s="46"/>
      <c r="AI477" s="46"/>
      <c r="AJ477" s="46"/>
      <c r="AK477" s="46"/>
      <c r="AL477" s="46"/>
    </row>
    <row r="478" spans="1:12" ht="19.5" customHeight="1">
      <c r="A478" s="4"/>
      <c r="B478" s="4"/>
      <c r="C478" s="4" t="s">
        <v>380</v>
      </c>
      <c r="D478" s="4"/>
      <c r="E478" s="4"/>
      <c r="F478" s="4"/>
      <c r="G478" s="4"/>
      <c r="H478" s="4"/>
      <c r="I478" s="4"/>
      <c r="J478" s="4"/>
      <c r="K478" s="4"/>
      <c r="L478" s="4"/>
    </row>
    <row r="479" spans="1:38" ht="19.5" customHeight="1">
      <c r="A479" s="4"/>
      <c r="E479" s="183" t="s">
        <v>917</v>
      </c>
      <c r="F479" s="183"/>
      <c r="G479" s="183"/>
      <c r="H479" s="183"/>
      <c r="I479" s="183"/>
      <c r="J479" s="183"/>
      <c r="K479" s="183"/>
      <c r="L479" s="204" t="s">
        <v>376</v>
      </c>
      <c r="M479" s="204"/>
      <c r="N479" s="204"/>
      <c r="O479" s="204"/>
      <c r="P479" s="204" t="s">
        <v>377</v>
      </c>
      <c r="Q479" s="204"/>
      <c r="R479" s="204"/>
      <c r="S479" s="204"/>
      <c r="T479" s="204" t="s">
        <v>378</v>
      </c>
      <c r="U479" s="204"/>
      <c r="V479" s="204"/>
      <c r="W479" s="204"/>
      <c r="X479" s="45"/>
      <c r="Y479" s="45"/>
      <c r="Z479" s="45"/>
      <c r="AA479" s="45"/>
      <c r="AB479" s="45"/>
      <c r="AC479" s="45"/>
      <c r="AD479" s="45"/>
      <c r="AE479" s="45"/>
      <c r="AF479" s="45"/>
      <c r="AG479" s="45"/>
      <c r="AH479" s="45"/>
      <c r="AI479" s="45"/>
      <c r="AJ479" s="45"/>
      <c r="AK479" s="45"/>
      <c r="AL479" s="45"/>
    </row>
    <row r="480" spans="1:38" ht="19.5" customHeight="1">
      <c r="A480" s="4" t="s">
        <v>380</v>
      </c>
      <c r="E480" s="183" t="s">
        <v>396</v>
      </c>
      <c r="F480" s="183"/>
      <c r="G480" s="183"/>
      <c r="H480" s="204" t="s">
        <v>325</v>
      </c>
      <c r="I480" s="204"/>
      <c r="J480" s="204"/>
      <c r="K480" s="204"/>
      <c r="L480" s="190">
        <f>L443</f>
        <v>1244.4749098786547</v>
      </c>
      <c r="M480" s="190"/>
      <c r="N480" s="190"/>
      <c r="O480" s="190"/>
      <c r="P480" s="205">
        <f>P443</f>
        <v>1243.1412331623933</v>
      </c>
      <c r="Q480" s="206"/>
      <c r="R480" s="206"/>
      <c r="S480" s="207"/>
      <c r="T480" s="205">
        <f>T443</f>
        <v>1244.4749098786547</v>
      </c>
      <c r="U480" s="206"/>
      <c r="V480" s="206"/>
      <c r="W480" s="207"/>
      <c r="X480" s="77"/>
      <c r="Y480" s="77"/>
      <c r="Z480" s="77"/>
      <c r="AA480" s="77"/>
      <c r="AB480" s="77"/>
      <c r="AC480" s="77"/>
      <c r="AD480" s="77"/>
      <c r="AE480" s="77"/>
      <c r="AF480" s="77"/>
      <c r="AG480" s="77"/>
      <c r="AH480" s="77"/>
      <c r="AI480" s="77"/>
      <c r="AJ480" s="77"/>
      <c r="AK480" s="77"/>
      <c r="AL480" s="77"/>
    </row>
    <row r="481" spans="1:38" ht="19.5" customHeight="1">
      <c r="A481" s="4"/>
      <c r="E481" s="183" t="s">
        <v>393</v>
      </c>
      <c r="F481" s="183"/>
      <c r="G481" s="183"/>
      <c r="H481" s="204" t="s">
        <v>397</v>
      </c>
      <c r="I481" s="204"/>
      <c r="J481" s="204"/>
      <c r="K481" s="204"/>
      <c r="L481" s="190">
        <f>$AG$256</f>
        <v>2503.2</v>
      </c>
      <c r="M481" s="190"/>
      <c r="N481" s="190"/>
      <c r="O481" s="190"/>
      <c r="P481" s="190">
        <f>$AG$241</f>
        <v>2503.2</v>
      </c>
      <c r="Q481" s="190"/>
      <c r="R481" s="190"/>
      <c r="S481" s="190"/>
      <c r="T481" s="190">
        <f>$AG$256</f>
        <v>2503.2</v>
      </c>
      <c r="U481" s="190"/>
      <c r="V481" s="190"/>
      <c r="W481" s="190"/>
      <c r="X481" s="77"/>
      <c r="Y481" s="77"/>
      <c r="Z481" s="77"/>
      <c r="AA481" s="77"/>
      <c r="AB481" s="77"/>
      <c r="AC481" s="77"/>
      <c r="AD481" s="77"/>
      <c r="AE481" s="77"/>
      <c r="AF481" s="77"/>
      <c r="AG481" s="77"/>
      <c r="AH481" s="77"/>
      <c r="AI481" s="77"/>
      <c r="AJ481" s="77"/>
      <c r="AK481" s="77"/>
      <c r="AL481" s="77"/>
    </row>
    <row r="482" spans="1:38" ht="19.5" customHeight="1">
      <c r="A482" s="4"/>
      <c r="E482" s="183" t="s">
        <v>391</v>
      </c>
      <c r="F482" s="183"/>
      <c r="G482" s="183"/>
      <c r="H482" s="204" t="s">
        <v>398</v>
      </c>
      <c r="I482" s="204"/>
      <c r="J482" s="204"/>
      <c r="K482" s="204"/>
      <c r="L482" s="213">
        <f>L480*L481/1000</f>
        <v>3115.169594408248</v>
      </c>
      <c r="M482" s="213"/>
      <c r="N482" s="213"/>
      <c r="O482" s="213"/>
      <c r="P482" s="213">
        <f>P480*P481/1000</f>
        <v>3111.8311348521024</v>
      </c>
      <c r="Q482" s="213"/>
      <c r="R482" s="213"/>
      <c r="S482" s="213"/>
      <c r="T482" s="213">
        <f>T480*T481/1000</f>
        <v>3115.169594408248</v>
      </c>
      <c r="U482" s="213"/>
      <c r="V482" s="213"/>
      <c r="W482" s="213"/>
      <c r="X482" s="46"/>
      <c r="Y482" s="46"/>
      <c r="Z482" s="46"/>
      <c r="AA482" s="46"/>
      <c r="AB482" s="46"/>
      <c r="AC482" s="46"/>
      <c r="AD482" s="46"/>
      <c r="AE482" s="46"/>
      <c r="AF482" s="46"/>
      <c r="AG482" s="46"/>
      <c r="AH482" s="46"/>
      <c r="AI482" s="46"/>
      <c r="AJ482" s="46"/>
      <c r="AK482" s="46"/>
      <c r="AL482" s="46"/>
    </row>
    <row r="483" spans="1:38" ht="19.5" customHeight="1">
      <c r="A483" s="4"/>
      <c r="E483" s="183" t="s">
        <v>399</v>
      </c>
      <c r="F483" s="183"/>
      <c r="G483" s="183"/>
      <c r="H483" s="204" t="s">
        <v>400</v>
      </c>
      <c r="I483" s="204"/>
      <c r="J483" s="204"/>
      <c r="K483" s="204"/>
      <c r="L483" s="190">
        <f>$AH$261</f>
        <v>3800</v>
      </c>
      <c r="M483" s="190"/>
      <c r="N483" s="190"/>
      <c r="O483" s="190"/>
      <c r="P483" s="190">
        <f>$AH$246</f>
        <v>3000</v>
      </c>
      <c r="Q483" s="190"/>
      <c r="R483" s="190"/>
      <c r="S483" s="190"/>
      <c r="T483" s="190">
        <f>$AH$261</f>
        <v>3800</v>
      </c>
      <c r="U483" s="190"/>
      <c r="V483" s="190"/>
      <c r="W483" s="190"/>
      <c r="X483" s="77"/>
      <c r="Y483" s="77"/>
      <c r="Z483" s="77"/>
      <c r="AA483" s="77"/>
      <c r="AB483" s="77"/>
      <c r="AC483" s="77"/>
      <c r="AD483" s="77"/>
      <c r="AE483" s="77"/>
      <c r="AF483" s="77"/>
      <c r="AG483" s="77"/>
      <c r="AH483" s="77"/>
      <c r="AI483" s="77"/>
      <c r="AJ483" s="77"/>
      <c r="AK483" s="77"/>
      <c r="AL483" s="77"/>
    </row>
    <row r="484" spans="1:38" ht="19.5" customHeight="1">
      <c r="A484" s="4"/>
      <c r="E484" s="183" t="s">
        <v>401</v>
      </c>
      <c r="F484" s="183"/>
      <c r="G484" s="183"/>
      <c r="H484" s="204" t="s">
        <v>402</v>
      </c>
      <c r="I484" s="204"/>
      <c r="J484" s="204"/>
      <c r="K484" s="204"/>
      <c r="L484" s="190">
        <f>$AH$263*10</f>
        <v>-90</v>
      </c>
      <c r="M484" s="190"/>
      <c r="N484" s="190"/>
      <c r="O484" s="190"/>
      <c r="P484" s="190">
        <f>$AH$248*10</f>
        <v>50</v>
      </c>
      <c r="Q484" s="190"/>
      <c r="R484" s="190"/>
      <c r="S484" s="190"/>
      <c r="T484" s="190">
        <f>$AH$263*10</f>
        <v>-90</v>
      </c>
      <c r="U484" s="190"/>
      <c r="V484" s="190"/>
      <c r="W484" s="190"/>
      <c r="X484" s="77"/>
      <c r="Y484" s="77"/>
      <c r="Z484" s="77"/>
      <c r="AA484" s="77"/>
      <c r="AB484" s="77"/>
      <c r="AC484" s="77"/>
      <c r="AD484" s="77"/>
      <c r="AE484" s="77"/>
      <c r="AF484" s="77"/>
      <c r="AG484" s="77"/>
      <c r="AH484" s="77"/>
      <c r="AI484" s="77"/>
      <c r="AJ484" s="77"/>
      <c r="AK484" s="77"/>
      <c r="AL484" s="77"/>
    </row>
    <row r="485" spans="1:38" ht="19.5" customHeight="1">
      <c r="A485" s="4"/>
      <c r="E485" s="283" t="s">
        <v>403</v>
      </c>
      <c r="F485" s="284"/>
      <c r="G485" s="253"/>
      <c r="H485" s="204" t="s">
        <v>404</v>
      </c>
      <c r="I485" s="204"/>
      <c r="J485" s="204"/>
      <c r="K485" s="204"/>
      <c r="L485" s="213">
        <f>$AH$264</f>
        <v>-24066.666666666668</v>
      </c>
      <c r="M485" s="213"/>
      <c r="N485" s="213"/>
      <c r="O485" s="213"/>
      <c r="P485" s="213">
        <f>$AH$249</f>
        <v>-15000</v>
      </c>
      <c r="Q485" s="213"/>
      <c r="R485" s="213"/>
      <c r="S485" s="213"/>
      <c r="T485" s="213">
        <f>$AH$264</f>
        <v>-24066.666666666668</v>
      </c>
      <c r="U485" s="213"/>
      <c r="V485" s="213"/>
      <c r="W485" s="213"/>
      <c r="X485" s="46"/>
      <c r="Y485" s="46"/>
      <c r="Z485" s="46"/>
      <c r="AA485" s="46"/>
      <c r="AB485" s="46"/>
      <c r="AC485" s="46"/>
      <c r="AD485" s="46"/>
      <c r="AE485" s="46"/>
      <c r="AF485" s="46"/>
      <c r="AG485" s="46"/>
      <c r="AH485" s="46"/>
      <c r="AI485" s="46"/>
      <c r="AJ485" s="46"/>
      <c r="AK485" s="46"/>
      <c r="AL485" s="46"/>
    </row>
    <row r="486" spans="1:38" ht="19.5" customHeight="1">
      <c r="A486" s="4"/>
      <c r="B486" s="4"/>
      <c r="C486" s="4"/>
      <c r="D486" s="4"/>
      <c r="E486" s="283" t="s">
        <v>405</v>
      </c>
      <c r="F486" s="284"/>
      <c r="G486" s="253"/>
      <c r="H486" s="204" t="s">
        <v>404</v>
      </c>
      <c r="I486" s="204"/>
      <c r="J486" s="204"/>
      <c r="K486" s="204"/>
      <c r="L486" s="213">
        <f>$AH$265</f>
        <v>24066.666666666668</v>
      </c>
      <c r="M486" s="213"/>
      <c r="N486" s="213"/>
      <c r="O486" s="213"/>
      <c r="P486" s="213">
        <f>$AH$250</f>
        <v>15000</v>
      </c>
      <c r="Q486" s="213"/>
      <c r="R486" s="213"/>
      <c r="S486" s="213"/>
      <c r="T486" s="213">
        <f>$AH$265</f>
        <v>24066.666666666668</v>
      </c>
      <c r="U486" s="213"/>
      <c r="V486" s="213"/>
      <c r="W486" s="213"/>
      <c r="X486" s="46"/>
      <c r="Y486" s="46"/>
      <c r="Z486" s="46"/>
      <c r="AA486" s="46"/>
      <c r="AB486" s="46"/>
      <c r="AC486" s="46"/>
      <c r="AD486" s="46"/>
      <c r="AE486" s="46"/>
      <c r="AF486" s="46"/>
      <c r="AG486" s="46"/>
      <c r="AH486" s="46"/>
      <c r="AI486" s="46"/>
      <c r="AJ486" s="46"/>
      <c r="AK486" s="46"/>
      <c r="AL486" s="46"/>
    </row>
    <row r="487" spans="1:38" ht="19.5" customHeight="1">
      <c r="A487" s="4"/>
      <c r="B487" s="4" t="s">
        <v>380</v>
      </c>
      <c r="C487" s="4"/>
      <c r="E487" s="283" t="s">
        <v>406</v>
      </c>
      <c r="F487" s="284"/>
      <c r="G487" s="253"/>
      <c r="H487" s="204" t="s">
        <v>404</v>
      </c>
      <c r="I487" s="204"/>
      <c r="J487" s="204"/>
      <c r="K487" s="204"/>
      <c r="L487" s="213">
        <f>$AH$266</f>
        <v>-50807.40740740741</v>
      </c>
      <c r="M487" s="213"/>
      <c r="N487" s="213"/>
      <c r="O487" s="213"/>
      <c r="P487" s="213">
        <f>$AH$251</f>
        <v>45000</v>
      </c>
      <c r="Q487" s="213"/>
      <c r="R487" s="213"/>
      <c r="S487" s="213"/>
      <c r="T487" s="213">
        <f>$AH$266</f>
        <v>-50807.40740740741</v>
      </c>
      <c r="U487" s="213"/>
      <c r="V487" s="213"/>
      <c r="W487" s="213"/>
      <c r="X487" s="46"/>
      <c r="Y487" s="46"/>
      <c r="Z487" s="46"/>
      <c r="AA487" s="46"/>
      <c r="AB487" s="46"/>
      <c r="AC487" s="46"/>
      <c r="AD487" s="46"/>
      <c r="AE487" s="46"/>
      <c r="AF487" s="46"/>
      <c r="AG487" s="46"/>
      <c r="AH487" s="46"/>
      <c r="AI487" s="46"/>
      <c r="AJ487" s="46"/>
      <c r="AK487" s="46"/>
      <c r="AL487" s="46"/>
    </row>
    <row r="488" spans="1:38" ht="19.5" customHeight="1">
      <c r="A488" s="4"/>
      <c r="B488" s="4"/>
      <c r="C488" s="4" t="s">
        <v>380</v>
      </c>
      <c r="D488" s="4"/>
      <c r="E488" s="283" t="s">
        <v>407</v>
      </c>
      <c r="F488" s="284"/>
      <c r="G488" s="253"/>
      <c r="H488" s="204" t="s">
        <v>325</v>
      </c>
      <c r="I488" s="204"/>
      <c r="J488" s="204"/>
      <c r="K488" s="204"/>
      <c r="L488" s="213">
        <f>-L482*10/L483-L482*L484/L485</f>
        <v>-19.847340906202135</v>
      </c>
      <c r="M488" s="213"/>
      <c r="N488" s="213"/>
      <c r="O488" s="213"/>
      <c r="P488" s="213">
        <f>-P482*10/P483-P482*P484/P485</f>
        <v>0</v>
      </c>
      <c r="Q488" s="213"/>
      <c r="R488" s="213"/>
      <c r="S488" s="213"/>
      <c r="T488" s="213">
        <f>-T482*10/T483-T482*T484/T485</f>
        <v>-19.847340906202135</v>
      </c>
      <c r="U488" s="213"/>
      <c r="V488" s="213"/>
      <c r="W488" s="213"/>
      <c r="X488" s="46"/>
      <c r="Y488" s="46"/>
      <c r="Z488" s="46"/>
      <c r="AA488" s="46"/>
      <c r="AB488" s="46"/>
      <c r="AC488" s="46"/>
      <c r="AD488" s="46"/>
      <c r="AE488" s="46"/>
      <c r="AF488" s="46"/>
      <c r="AG488" s="46"/>
      <c r="AH488" s="46"/>
      <c r="AI488" s="46"/>
      <c r="AJ488" s="46"/>
      <c r="AK488" s="46"/>
      <c r="AL488" s="46"/>
    </row>
    <row r="489" spans="1:44" ht="19.5" customHeight="1">
      <c r="A489" s="4"/>
      <c r="B489" s="4"/>
      <c r="C489" s="4" t="s">
        <v>380</v>
      </c>
      <c r="D489" s="4"/>
      <c r="E489" s="283" t="s">
        <v>408</v>
      </c>
      <c r="F489" s="284"/>
      <c r="G489" s="253"/>
      <c r="H489" s="204" t="s">
        <v>325</v>
      </c>
      <c r="I489" s="204"/>
      <c r="J489" s="204"/>
      <c r="K489" s="204"/>
      <c r="L489" s="213">
        <f>-L482*10/L483-L482*L484/L486</f>
        <v>3.4517114619481966</v>
      </c>
      <c r="M489" s="213"/>
      <c r="N489" s="213"/>
      <c r="O489" s="213"/>
      <c r="P489" s="213">
        <f>-P482*10/P483-P482*P484/P486</f>
        <v>-20.745540899014017</v>
      </c>
      <c r="Q489" s="213"/>
      <c r="R489" s="213"/>
      <c r="S489" s="213"/>
      <c r="T489" s="213">
        <f>-T482*10/T483-T482*T484/T486</f>
        <v>3.4517114619481966</v>
      </c>
      <c r="U489" s="213"/>
      <c r="V489" s="213"/>
      <c r="W489" s="213"/>
      <c r="X489" s="46"/>
      <c r="Y489" s="46"/>
      <c r="Z489" s="46"/>
      <c r="AA489" s="46"/>
      <c r="AB489" s="46"/>
      <c r="AC489" s="46"/>
      <c r="AD489" s="46"/>
      <c r="AE489" s="46"/>
      <c r="AF489" s="46"/>
      <c r="AG489" s="46"/>
      <c r="AH489" s="46"/>
      <c r="AI489" s="46"/>
      <c r="AJ489" s="46"/>
      <c r="AK489" s="46"/>
      <c r="AL489" s="46"/>
      <c r="AR489" s="42"/>
    </row>
    <row r="490" spans="1:38" ht="19.5" customHeight="1">
      <c r="A490" s="4"/>
      <c r="B490" s="4"/>
      <c r="C490" s="4" t="s">
        <v>380</v>
      </c>
      <c r="D490" s="4"/>
      <c r="E490" s="283" t="s">
        <v>409</v>
      </c>
      <c r="F490" s="284"/>
      <c r="G490" s="253"/>
      <c r="H490" s="204" t="s">
        <v>325</v>
      </c>
      <c r="I490" s="204"/>
      <c r="J490" s="204"/>
      <c r="K490" s="204"/>
      <c r="L490" s="213">
        <f>-L482*10/L483-L482*L484/L487</f>
        <v>-13.716011335636258</v>
      </c>
      <c r="M490" s="213"/>
      <c r="N490" s="213"/>
      <c r="O490" s="213"/>
      <c r="P490" s="213">
        <f>-P482*10/P483-P482*P484/P487</f>
        <v>-13.830360599342677</v>
      </c>
      <c r="Q490" s="213"/>
      <c r="R490" s="213"/>
      <c r="S490" s="213"/>
      <c r="T490" s="213">
        <f>-T482*10/T483-T482*T484/T487</f>
        <v>-13.716011335636258</v>
      </c>
      <c r="U490" s="213"/>
      <c r="V490" s="213"/>
      <c r="W490" s="213"/>
      <c r="X490" s="46"/>
      <c r="Y490" s="46"/>
      <c r="Z490" s="46"/>
      <c r="AA490" s="46"/>
      <c r="AB490" s="46"/>
      <c r="AC490" s="46"/>
      <c r="AD490" s="46"/>
      <c r="AE490" s="46"/>
      <c r="AF490" s="46"/>
      <c r="AG490" s="46"/>
      <c r="AH490" s="46"/>
      <c r="AI490" s="46"/>
      <c r="AJ490" s="46"/>
      <c r="AK490" s="46"/>
      <c r="AL490" s="46"/>
    </row>
    <row r="491" spans="1:12" ht="19.5" customHeight="1">
      <c r="A491" s="4"/>
      <c r="B491" s="4"/>
      <c r="C491" s="4" t="s">
        <v>380</v>
      </c>
      <c r="D491" s="4"/>
      <c r="E491" s="4"/>
      <c r="F491" s="4"/>
      <c r="G491" s="4"/>
      <c r="H491" s="4"/>
      <c r="I491" s="4"/>
      <c r="J491" s="4"/>
      <c r="K491" s="4"/>
      <c r="L491" s="4"/>
    </row>
    <row r="492" spans="1:43" ht="19.5" customHeight="1">
      <c r="A492" s="4"/>
      <c r="B492" s="4"/>
      <c r="C492" s="4" t="s">
        <v>1200</v>
      </c>
      <c r="D492" s="4"/>
      <c r="E492" s="4"/>
      <c r="F492" s="4"/>
      <c r="G492" s="4"/>
      <c r="H492" s="4"/>
      <c r="I492" s="4"/>
      <c r="J492" s="4"/>
      <c r="K492" s="4"/>
      <c r="L492" s="4"/>
      <c r="M492" s="4"/>
      <c r="AH492" s="27"/>
      <c r="AQ492" s="29"/>
    </row>
    <row r="493" spans="1:43" ht="19.5" customHeight="1">
      <c r="A493" s="4"/>
      <c r="B493" s="4"/>
      <c r="C493" s="4"/>
      <c r="D493" s="4" t="s">
        <v>1201</v>
      </c>
      <c r="E493" s="4"/>
      <c r="F493" s="4"/>
      <c r="G493" s="4"/>
      <c r="H493" s="4"/>
      <c r="I493" s="4"/>
      <c r="J493" s="4"/>
      <c r="K493" s="4"/>
      <c r="L493" s="4"/>
      <c r="M493" s="4"/>
      <c r="AH493" s="27"/>
      <c r="AQ493" s="29"/>
    </row>
    <row r="494" spans="1:43" ht="19.5" customHeight="1">
      <c r="A494" s="4"/>
      <c r="B494" s="4"/>
      <c r="C494" s="4"/>
      <c r="D494" s="4"/>
      <c r="E494" s="4" t="s">
        <v>1202</v>
      </c>
      <c r="F494" s="4"/>
      <c r="G494" s="4"/>
      <c r="H494" s="4"/>
      <c r="I494" s="4"/>
      <c r="J494" s="4"/>
      <c r="K494" s="4"/>
      <c r="L494" s="4"/>
      <c r="M494" s="4"/>
      <c r="AH494" s="27"/>
      <c r="AQ494" s="29"/>
    </row>
    <row r="495" spans="1:43" ht="19.5" customHeight="1">
      <c r="A495" s="4"/>
      <c r="B495" s="4"/>
      <c r="C495" s="4"/>
      <c r="D495" s="4"/>
      <c r="E495" s="4" t="s">
        <v>1203</v>
      </c>
      <c r="F495" s="4"/>
      <c r="G495" s="4"/>
      <c r="H495" s="4"/>
      <c r="I495" s="4"/>
      <c r="J495" s="4"/>
      <c r="K495" s="4"/>
      <c r="L495" s="4"/>
      <c r="M495" s="4"/>
      <c r="AH495" s="27"/>
      <c r="AQ495" s="29"/>
    </row>
    <row r="496" spans="1:43" ht="19.5" customHeight="1">
      <c r="A496" s="4"/>
      <c r="B496" s="4"/>
      <c r="C496" s="4"/>
      <c r="D496" s="4"/>
      <c r="E496" s="4" t="s">
        <v>1204</v>
      </c>
      <c r="F496" s="4"/>
      <c r="G496" s="4"/>
      <c r="H496" s="4"/>
      <c r="I496" s="4"/>
      <c r="J496" s="4"/>
      <c r="K496" s="4"/>
      <c r="L496" s="4"/>
      <c r="M496" s="4"/>
      <c r="AH496" s="27"/>
      <c r="AQ496" s="29"/>
    </row>
    <row r="497" spans="1:43" ht="19.5" customHeight="1">
      <c r="A497" s="4"/>
      <c r="B497" s="4"/>
      <c r="C497" s="4"/>
      <c r="D497" s="4"/>
      <c r="E497" s="4"/>
      <c r="F497" s="4"/>
      <c r="G497" s="4"/>
      <c r="H497" s="4"/>
      <c r="I497" s="4"/>
      <c r="J497" s="4"/>
      <c r="K497" s="4"/>
      <c r="L497" s="4"/>
      <c r="M497" s="4"/>
      <c r="AH497" s="27"/>
      <c r="AQ497" s="29"/>
    </row>
    <row r="498" spans="1:43" ht="19.5" customHeight="1">
      <c r="A498" s="4"/>
      <c r="B498" s="4"/>
      <c r="C498" s="4"/>
      <c r="D498" s="4"/>
      <c r="E498" s="4" t="s">
        <v>410</v>
      </c>
      <c r="F498" s="4"/>
      <c r="G498" s="4"/>
      <c r="H498" s="4"/>
      <c r="I498" s="4"/>
      <c r="J498" s="4"/>
      <c r="K498" s="4"/>
      <c r="L498" s="4"/>
      <c r="M498" s="4"/>
      <c r="AH498" s="27"/>
      <c r="AQ498" s="29"/>
    </row>
    <row r="499" spans="1:43" ht="19.5" customHeight="1">
      <c r="A499" s="4"/>
      <c r="B499" s="4"/>
      <c r="C499" s="4"/>
      <c r="D499" s="4"/>
      <c r="E499" s="4"/>
      <c r="F499" s="4" t="s">
        <v>411</v>
      </c>
      <c r="G499" s="4"/>
      <c r="H499" s="4"/>
      <c r="I499" s="4"/>
      <c r="J499" s="4"/>
      <c r="K499" s="4"/>
      <c r="L499" s="4"/>
      <c r="M499" s="4"/>
      <c r="AH499" s="27"/>
      <c r="AQ499" s="29"/>
    </row>
    <row r="500" spans="1:42" ht="19.5" customHeight="1">
      <c r="A500" s="4"/>
      <c r="B500" s="4"/>
      <c r="C500" s="4"/>
      <c r="D500" s="4"/>
      <c r="E500" s="4" t="s">
        <v>1366</v>
      </c>
      <c r="F500" s="4"/>
      <c r="G500" s="4"/>
      <c r="I500" s="235" t="s">
        <v>1360</v>
      </c>
      <c r="J500" s="285">
        <f>AI509</f>
        <v>7.692307692307692</v>
      </c>
      <c r="K500" s="285"/>
      <c r="L500" s="285"/>
      <c r="M500" s="73" t="s">
        <v>1026</v>
      </c>
      <c r="N500" s="282">
        <f>W506</f>
        <v>2.6</v>
      </c>
      <c r="O500" s="282"/>
      <c r="P500" s="73" t="s">
        <v>1026</v>
      </c>
      <c r="Q500" s="282">
        <f>AB511</f>
        <v>13.56238293130849</v>
      </c>
      <c r="R500" s="282"/>
      <c r="S500" s="282"/>
      <c r="T500" s="73" t="s">
        <v>1027</v>
      </c>
      <c r="U500" s="155">
        <v>2</v>
      </c>
      <c r="V500" s="155"/>
      <c r="W500" s="73" t="s">
        <v>1026</v>
      </c>
      <c r="X500" s="156" t="s">
        <v>412</v>
      </c>
      <c r="Y500" s="73"/>
      <c r="Z500" s="73" t="s">
        <v>1026</v>
      </c>
      <c r="AA500" s="282">
        <v>2</v>
      </c>
      <c r="AB500" s="282"/>
      <c r="AC500" s="73" t="s">
        <v>1026</v>
      </c>
      <c r="AD500" s="156" t="s">
        <v>413</v>
      </c>
      <c r="AE500" s="73"/>
      <c r="AH500" s="27"/>
      <c r="AI500" s="27"/>
      <c r="AJ500" s="27"/>
      <c r="AK500" s="27"/>
      <c r="AL500" s="27"/>
      <c r="AM500" s="27"/>
      <c r="AN500" s="27"/>
      <c r="AO500" s="27"/>
      <c r="AP500" s="27"/>
    </row>
    <row r="501" spans="1:43" ht="19.5" customHeight="1">
      <c r="A501" s="4"/>
      <c r="B501" s="4"/>
      <c r="C501" s="4"/>
      <c r="D501" s="4"/>
      <c r="E501" s="4"/>
      <c r="F501" s="4" t="s">
        <v>1366</v>
      </c>
      <c r="G501" s="4"/>
      <c r="H501" s="4"/>
      <c r="I501" s="235"/>
      <c r="M501" s="4"/>
      <c r="N501" s="27" t="s">
        <v>414</v>
      </c>
      <c r="O501" s="29"/>
      <c r="P501" s="280">
        <f>L515</f>
        <v>0.18865532888978653</v>
      </c>
      <c r="Q501" s="280"/>
      <c r="R501" s="280"/>
      <c r="S501" s="27" t="s">
        <v>1026</v>
      </c>
      <c r="T501" s="29" t="s">
        <v>415</v>
      </c>
      <c r="U501" s="29"/>
      <c r="V501" s="29"/>
      <c r="W501" s="237">
        <v>2.6</v>
      </c>
      <c r="X501" s="237"/>
      <c r="Y501" s="39" t="s">
        <v>416</v>
      </c>
      <c r="AH501" s="27"/>
      <c r="AQ501" s="29"/>
    </row>
    <row r="502" spans="1:43" ht="19.5" customHeight="1">
      <c r="A502" s="4"/>
      <c r="B502" s="4"/>
      <c r="C502" s="4"/>
      <c r="D502" s="4"/>
      <c r="E502" s="4"/>
      <c r="F502" s="4" t="s">
        <v>1366</v>
      </c>
      <c r="G502" s="4"/>
      <c r="H502" s="4"/>
      <c r="I502" s="33" t="s">
        <v>1360</v>
      </c>
      <c r="J502" s="244">
        <f>(J500*N500*Q500+U500*AA500*10)/(1+P501*(1+W501/2))</f>
        <v>217.0626149124176</v>
      </c>
      <c r="K502" s="244"/>
      <c r="L502" s="244"/>
      <c r="M502" s="29" t="s">
        <v>417</v>
      </c>
      <c r="AH502" s="27"/>
      <c r="AQ502" s="29"/>
    </row>
    <row r="503" spans="1:43" ht="19.5" customHeight="1">
      <c r="A503" s="4"/>
      <c r="B503" s="4"/>
      <c r="C503" s="4"/>
      <c r="D503" s="4"/>
      <c r="E503" s="4"/>
      <c r="F503" s="4"/>
      <c r="G503" s="4"/>
      <c r="H503" s="4"/>
      <c r="I503" s="33"/>
      <c r="J503" s="78"/>
      <c r="K503" s="78"/>
      <c r="L503" s="78"/>
      <c r="M503" s="29"/>
      <c r="AH503" s="27"/>
      <c r="AQ503" s="29"/>
    </row>
    <row r="504" spans="1:43" ht="19.5" customHeight="1">
      <c r="A504" s="4"/>
      <c r="B504" s="4"/>
      <c r="C504" s="4"/>
      <c r="D504" s="4"/>
      <c r="E504" s="4" t="s">
        <v>929</v>
      </c>
      <c r="F504" s="4"/>
      <c r="G504" s="4"/>
      <c r="H504" s="4"/>
      <c r="I504" s="4"/>
      <c r="J504" s="4"/>
      <c r="K504" s="4"/>
      <c r="L504" s="4"/>
      <c r="M504" s="4"/>
      <c r="AH504" s="27"/>
      <c r="AQ504" s="29"/>
    </row>
    <row r="505" spans="1:43" ht="19.5" customHeight="1">
      <c r="A505" s="4"/>
      <c r="B505" s="4"/>
      <c r="C505" s="4"/>
      <c r="D505" s="4"/>
      <c r="F505" s="4" t="s">
        <v>418</v>
      </c>
      <c r="G505" s="4"/>
      <c r="H505" s="4"/>
      <c r="I505" s="4" t="s">
        <v>419</v>
      </c>
      <c r="J505" s="4"/>
      <c r="AF505" s="29"/>
      <c r="AG505" s="29"/>
      <c r="AN505" s="27"/>
      <c r="AO505" s="27"/>
      <c r="AP505" s="27"/>
      <c r="AQ505" s="29"/>
    </row>
    <row r="506" spans="1:43" ht="19.5" customHeight="1">
      <c r="A506" s="4"/>
      <c r="B506" s="4"/>
      <c r="C506" s="4"/>
      <c r="D506" s="4"/>
      <c r="E506" s="4"/>
      <c r="F506" s="4" t="s">
        <v>960</v>
      </c>
      <c r="G506" s="4"/>
      <c r="H506" s="4"/>
      <c r="I506" s="4" t="s">
        <v>1205</v>
      </c>
      <c r="J506" s="4"/>
      <c r="U506" s="27" t="s">
        <v>420</v>
      </c>
      <c r="W506" s="325">
        <v>2.6</v>
      </c>
      <c r="X506" s="325"/>
      <c r="Y506" s="27" t="s">
        <v>421</v>
      </c>
      <c r="AC506" s="92" t="s">
        <v>910</v>
      </c>
      <c r="AF506" s="29"/>
      <c r="AG506" s="29"/>
      <c r="AN506" s="27"/>
      <c r="AO506" s="27"/>
      <c r="AP506" s="27"/>
      <c r="AQ506" s="29"/>
    </row>
    <row r="507" spans="1:43" ht="19.5" customHeight="1">
      <c r="A507" s="4"/>
      <c r="B507" s="4"/>
      <c r="C507" s="4"/>
      <c r="D507" s="4"/>
      <c r="E507" s="4"/>
      <c r="F507" s="4" t="s">
        <v>961</v>
      </c>
      <c r="G507" s="4"/>
      <c r="H507" s="4"/>
      <c r="I507" s="4" t="s">
        <v>1206</v>
      </c>
      <c r="J507" s="4"/>
      <c r="U507" s="27" t="s">
        <v>1363</v>
      </c>
      <c r="W507" s="325">
        <v>2</v>
      </c>
      <c r="X507" s="325"/>
      <c r="Y507" s="27" t="s">
        <v>1364</v>
      </c>
      <c r="Z507" s="39" t="s">
        <v>422</v>
      </c>
      <c r="AA507" s="29"/>
      <c r="AB507" s="27" t="s">
        <v>423</v>
      </c>
      <c r="AF507" s="29"/>
      <c r="AG507" s="29"/>
      <c r="AN507" s="27"/>
      <c r="AO507" s="27"/>
      <c r="AP507" s="27"/>
      <c r="AQ507" s="29"/>
    </row>
    <row r="508" spans="1:43" ht="19.5" customHeight="1">
      <c r="A508" s="4"/>
      <c r="B508" s="4"/>
      <c r="C508" s="4"/>
      <c r="D508" s="4"/>
      <c r="E508" s="4"/>
      <c r="F508" s="4" t="s">
        <v>424</v>
      </c>
      <c r="G508" s="4"/>
      <c r="H508" s="4"/>
      <c r="I508" s="4" t="s">
        <v>1207</v>
      </c>
      <c r="J508" s="4"/>
      <c r="AC508" s="92" t="s">
        <v>909</v>
      </c>
      <c r="AF508" s="29"/>
      <c r="AG508" s="29"/>
      <c r="AN508" s="27"/>
      <c r="AO508" s="27"/>
      <c r="AP508" s="27"/>
      <c r="AQ508" s="29"/>
    </row>
    <row r="509" spans="1:43" ht="19.5" customHeight="1">
      <c r="A509" s="4"/>
      <c r="B509" s="4"/>
      <c r="C509" s="4"/>
      <c r="D509" s="4"/>
      <c r="E509" s="4"/>
      <c r="F509" s="4" t="s">
        <v>334</v>
      </c>
      <c r="G509" s="4"/>
      <c r="H509" s="4"/>
      <c r="I509" s="4" t="s">
        <v>930</v>
      </c>
      <c r="J509" s="4"/>
      <c r="O509" s="27" t="s">
        <v>425</v>
      </c>
      <c r="T509" s="27" t="s">
        <v>1361</v>
      </c>
      <c r="U509" s="250">
        <f>W360</f>
        <v>2</v>
      </c>
      <c r="V509" s="250"/>
      <c r="W509" s="250"/>
      <c r="X509" s="27" t="s">
        <v>329</v>
      </c>
      <c r="Y509" s="39" t="s">
        <v>336</v>
      </c>
      <c r="Z509" s="29"/>
      <c r="AA509" s="39" t="s">
        <v>1362</v>
      </c>
      <c r="AB509" s="327">
        <v>2.6</v>
      </c>
      <c r="AC509" s="327"/>
      <c r="AD509" s="327"/>
      <c r="AE509" s="27" t="s">
        <v>329</v>
      </c>
      <c r="AF509" s="39" t="s">
        <v>337</v>
      </c>
      <c r="AH509" s="29" t="s">
        <v>1361</v>
      </c>
      <c r="AI509" s="255">
        <f>U509/AB509*10</f>
        <v>7.692307692307692</v>
      </c>
      <c r="AJ509" s="255"/>
      <c r="AK509" s="255"/>
      <c r="AN509" s="27"/>
      <c r="AO509" s="27"/>
      <c r="AP509" s="27"/>
      <c r="AQ509" s="29"/>
    </row>
    <row r="510" spans="1:43" ht="19.5" customHeight="1">
      <c r="A510" s="4"/>
      <c r="B510" s="4"/>
      <c r="C510" s="4"/>
      <c r="D510" s="4"/>
      <c r="E510" s="4"/>
      <c r="F510" s="4" t="s">
        <v>962</v>
      </c>
      <c r="G510" s="4"/>
      <c r="H510" s="4"/>
      <c r="I510" s="4" t="s">
        <v>1208</v>
      </c>
      <c r="J510" s="4"/>
      <c r="AF510" s="29"/>
      <c r="AG510" s="29"/>
      <c r="AN510" s="27"/>
      <c r="AO510" s="27"/>
      <c r="AP510" s="27"/>
      <c r="AQ510" s="29"/>
    </row>
    <row r="511" spans="1:45" ht="19.5" customHeight="1">
      <c r="A511" s="4" t="s">
        <v>877</v>
      </c>
      <c r="B511" s="4"/>
      <c r="C511" s="4"/>
      <c r="D511" s="4"/>
      <c r="E511" s="4"/>
      <c r="F511" s="4"/>
      <c r="G511" s="4"/>
      <c r="H511" s="4"/>
      <c r="J511" s="4" t="s">
        <v>1028</v>
      </c>
      <c r="T511" s="261">
        <f>ABS(P477)</f>
        <v>13.835405153530711</v>
      </c>
      <c r="U511" s="261"/>
      <c r="V511" s="261"/>
      <c r="W511" s="35" t="s">
        <v>1029</v>
      </c>
      <c r="X511" s="261">
        <f>-R283</f>
        <v>-0.2730222222222222</v>
      </c>
      <c r="Y511" s="261"/>
      <c r="Z511" s="261"/>
      <c r="AA511" s="27" t="s">
        <v>993</v>
      </c>
      <c r="AB511" s="261">
        <f>T511+X511</f>
        <v>13.56238293130849</v>
      </c>
      <c r="AC511" s="261"/>
      <c r="AD511" s="261"/>
      <c r="AE511" s="29" t="s">
        <v>1116</v>
      </c>
      <c r="AG511" s="29"/>
      <c r="AN511" s="27"/>
      <c r="AO511" s="27"/>
      <c r="AP511" s="27"/>
      <c r="AQ511" s="29"/>
      <c r="AS511" s="36"/>
    </row>
    <row r="512" spans="1:43" ht="19.5" customHeight="1">
      <c r="A512" s="4"/>
      <c r="B512" s="4"/>
      <c r="C512" s="4"/>
      <c r="D512" s="4"/>
      <c r="E512" s="4"/>
      <c r="F512" s="4" t="s">
        <v>1030</v>
      </c>
      <c r="G512" s="4"/>
      <c r="H512" s="4"/>
      <c r="I512" s="4" t="s">
        <v>1031</v>
      </c>
      <c r="J512" s="4"/>
      <c r="T512" s="37"/>
      <c r="U512" s="37"/>
      <c r="V512" s="37"/>
      <c r="W512" s="35"/>
      <c r="X512" s="37"/>
      <c r="Y512" s="37"/>
      <c r="Z512" s="37"/>
      <c r="AB512" s="37"/>
      <c r="AC512" s="37"/>
      <c r="AD512" s="37"/>
      <c r="AE512" s="29"/>
      <c r="AG512" s="29"/>
      <c r="AN512" s="27"/>
      <c r="AO512" s="27"/>
      <c r="AP512" s="27"/>
      <c r="AQ512" s="29"/>
    </row>
    <row r="513" spans="1:43" ht="19.5" customHeight="1">
      <c r="A513" s="4" t="s">
        <v>877</v>
      </c>
      <c r="B513" s="4"/>
      <c r="C513" s="4"/>
      <c r="D513" s="4"/>
      <c r="E513" s="4"/>
      <c r="F513" s="4" t="s">
        <v>1032</v>
      </c>
      <c r="G513" s="4"/>
      <c r="H513" s="4"/>
      <c r="I513" s="4" t="s">
        <v>1033</v>
      </c>
      <c r="J513" s="4"/>
      <c r="AF513" s="29"/>
      <c r="AG513" s="29"/>
      <c r="AN513" s="27"/>
      <c r="AO513" s="27"/>
      <c r="AP513" s="27"/>
      <c r="AQ513" s="29"/>
    </row>
    <row r="514" spans="1:42" ht="19.5" customHeight="1">
      <c r="A514" s="4"/>
      <c r="B514" s="4"/>
      <c r="C514" s="4"/>
      <c r="D514" s="4"/>
      <c r="E514" s="4"/>
      <c r="F514" s="4"/>
      <c r="G514" s="4"/>
      <c r="H514" s="4"/>
      <c r="I514" s="4"/>
      <c r="J514" s="4"/>
      <c r="K514" s="35" t="s">
        <v>993</v>
      </c>
      <c r="L514" s="255">
        <f>AI509</f>
        <v>7.692307692307692</v>
      </c>
      <c r="M514" s="255"/>
      <c r="N514" s="255"/>
      <c r="O514" s="27" t="s">
        <v>1353</v>
      </c>
      <c r="P514" s="237">
        <f>X517</f>
        <v>5941.2</v>
      </c>
      <c r="Q514" s="237"/>
      <c r="R514" s="237"/>
      <c r="S514" s="27" t="s">
        <v>1353</v>
      </c>
      <c r="T514" s="27" t="s">
        <v>1034</v>
      </c>
      <c r="V514" s="237">
        <f>AH246</f>
        <v>3000</v>
      </c>
      <c r="W514" s="237"/>
      <c r="X514" s="237"/>
      <c r="Y514" s="27" t="s">
        <v>1353</v>
      </c>
      <c r="Z514" s="39" t="s">
        <v>1035</v>
      </c>
      <c r="AA514" s="29"/>
      <c r="AB514" s="35" t="s">
        <v>1029</v>
      </c>
      <c r="AC514" s="281">
        <f>L520</f>
        <v>42.28438699252676</v>
      </c>
      <c r="AD514" s="281"/>
      <c r="AE514" s="281"/>
      <c r="AF514" s="281"/>
      <c r="AG514" s="237">
        <f>AH247</f>
        <v>225000</v>
      </c>
      <c r="AH514" s="237"/>
      <c r="AI514" s="237"/>
      <c r="AJ514" s="237"/>
      <c r="AK514" s="27" t="s">
        <v>1353</v>
      </c>
      <c r="AL514" s="39" t="s">
        <v>1117</v>
      </c>
      <c r="AN514" s="29" t="s">
        <v>1118</v>
      </c>
      <c r="AO514" s="27"/>
      <c r="AP514" s="27"/>
    </row>
    <row r="515" spans="1:43" ht="19.5" customHeight="1">
      <c r="A515" s="4"/>
      <c r="B515" s="4"/>
      <c r="C515" s="4"/>
      <c r="D515" s="4"/>
      <c r="E515" s="4"/>
      <c r="F515" s="4"/>
      <c r="G515" s="4"/>
      <c r="H515" s="4"/>
      <c r="I515" s="4"/>
      <c r="J515" s="4"/>
      <c r="K515" s="35" t="s">
        <v>993</v>
      </c>
      <c r="L515" s="280">
        <f>L514*P514*(1/(V514*100)+AC514^2/(AG514*10000))</f>
        <v>0.18865532888978653</v>
      </c>
      <c r="M515" s="280"/>
      <c r="N515" s="280"/>
      <c r="P515" s="44"/>
      <c r="Q515" s="44"/>
      <c r="R515" s="44"/>
      <c r="V515" s="44"/>
      <c r="W515" s="44"/>
      <c r="X515" s="44"/>
      <c r="Z515" s="39"/>
      <c r="AA515" s="29"/>
      <c r="AB515" s="35"/>
      <c r="AC515" s="157"/>
      <c r="AD515" s="157"/>
      <c r="AE515" s="157"/>
      <c r="AF515" s="157"/>
      <c r="AG515" s="44"/>
      <c r="AH515" s="44"/>
      <c r="AI515" s="44"/>
      <c r="AJ515" s="44"/>
      <c r="AK515" s="27"/>
      <c r="AL515" s="39"/>
      <c r="AN515" s="27"/>
      <c r="AO515" s="27"/>
      <c r="AP515" s="27"/>
      <c r="AQ515" s="29"/>
    </row>
    <row r="516" spans="1:43" ht="19.5" customHeight="1">
      <c r="A516" s="4"/>
      <c r="B516" s="4"/>
      <c r="C516" s="4"/>
      <c r="D516" s="4"/>
      <c r="E516" s="4"/>
      <c r="F516" s="4" t="s">
        <v>1036</v>
      </c>
      <c r="G516" s="4"/>
      <c r="H516" s="4"/>
      <c r="I516" s="4" t="s">
        <v>1209</v>
      </c>
      <c r="J516" s="4"/>
      <c r="AF516" s="29"/>
      <c r="AG516" s="29"/>
      <c r="AN516" s="27"/>
      <c r="AO516" s="27"/>
      <c r="AP516" s="27"/>
      <c r="AQ516" s="29"/>
    </row>
    <row r="517" spans="1:43" ht="19.5" customHeight="1">
      <c r="A517" s="4"/>
      <c r="B517" s="4"/>
      <c r="C517" s="4"/>
      <c r="D517" s="4"/>
      <c r="E517" s="4"/>
      <c r="F517" s="4"/>
      <c r="G517" s="4"/>
      <c r="H517" s="4"/>
      <c r="I517" s="4" t="s">
        <v>426</v>
      </c>
      <c r="K517" s="27" t="s">
        <v>427</v>
      </c>
      <c r="L517" s="237">
        <f>I240</f>
        <v>1146</v>
      </c>
      <c r="M517" s="237"/>
      <c r="N517" s="237"/>
      <c r="O517" s="27" t="s">
        <v>428</v>
      </c>
      <c r="P517" s="237">
        <f>AG241</f>
        <v>2503.2</v>
      </c>
      <c r="Q517" s="237"/>
      <c r="R517" s="237"/>
      <c r="S517" s="27" t="s">
        <v>428</v>
      </c>
      <c r="T517" s="237">
        <f>AI244</f>
        <v>2292</v>
      </c>
      <c r="U517" s="237"/>
      <c r="V517" s="237"/>
      <c r="W517" s="27" t="s">
        <v>427</v>
      </c>
      <c r="X517" s="237">
        <f>L517+T517+P517</f>
        <v>5941.2</v>
      </c>
      <c r="Y517" s="237"/>
      <c r="Z517" s="237"/>
      <c r="AA517" s="27" t="s">
        <v>429</v>
      </c>
      <c r="AF517" s="29"/>
      <c r="AG517" s="29"/>
      <c r="AN517" s="27"/>
      <c r="AO517" s="27"/>
      <c r="AP517" s="27"/>
      <c r="AQ517" s="29"/>
    </row>
    <row r="518" spans="1:43" ht="19.5" customHeight="1">
      <c r="A518" s="4"/>
      <c r="B518" s="4"/>
      <c r="C518" s="4"/>
      <c r="D518" s="4"/>
      <c r="E518" s="4"/>
      <c r="F518" s="4" t="s">
        <v>430</v>
      </c>
      <c r="G518" s="4"/>
      <c r="H518" s="4"/>
      <c r="I518" s="4" t="s">
        <v>1210</v>
      </c>
      <c r="J518" s="4"/>
      <c r="AF518" s="29"/>
      <c r="AG518" s="29"/>
      <c r="AN518" s="27"/>
      <c r="AO518" s="27"/>
      <c r="AP518" s="27"/>
      <c r="AQ518" s="29"/>
    </row>
    <row r="519" spans="1:43" ht="19.5" customHeight="1">
      <c r="A519" s="4"/>
      <c r="B519" s="4"/>
      <c r="C519" s="4"/>
      <c r="D519" s="4"/>
      <c r="E519" s="4"/>
      <c r="F519" s="4"/>
      <c r="G519" s="4"/>
      <c r="H519" s="4"/>
      <c r="I519" s="4" t="s">
        <v>431</v>
      </c>
      <c r="K519" s="27" t="s">
        <v>1037</v>
      </c>
      <c r="L519" s="236">
        <f>AC240/2</f>
        <v>150</v>
      </c>
      <c r="M519" s="236"/>
      <c r="N519" s="27" t="s">
        <v>1038</v>
      </c>
      <c r="O519" s="27" t="s">
        <v>1039</v>
      </c>
      <c r="P519" s="237">
        <f>AI244</f>
        <v>2292</v>
      </c>
      <c r="Q519" s="237"/>
      <c r="R519" s="237"/>
      <c r="S519" s="27" t="s">
        <v>1040</v>
      </c>
      <c r="T519" s="236">
        <f>O242</f>
        <v>40</v>
      </c>
      <c r="U519" s="236"/>
      <c r="V519" s="27" t="s">
        <v>432</v>
      </c>
      <c r="W519" s="237">
        <f>AG241</f>
        <v>2503.2</v>
      </c>
      <c r="X519" s="237"/>
      <c r="Y519" s="237"/>
      <c r="Z519" s="27" t="s">
        <v>1040</v>
      </c>
      <c r="AA519" s="236">
        <f>AB242</f>
        <v>100</v>
      </c>
      <c r="AB519" s="236"/>
      <c r="AC519" s="27" t="s">
        <v>432</v>
      </c>
      <c r="AD519" s="237">
        <f>I240</f>
        <v>1146</v>
      </c>
      <c r="AE519" s="237"/>
      <c r="AF519" s="237"/>
      <c r="AG519" s="27" t="s">
        <v>1040</v>
      </c>
      <c r="AH519" s="236">
        <f>O242+O241</f>
        <v>260</v>
      </c>
      <c r="AI519" s="236"/>
      <c r="AJ519" s="29" t="s">
        <v>433</v>
      </c>
      <c r="AK519" s="237">
        <f>X517</f>
        <v>5941.2</v>
      </c>
      <c r="AL519" s="237"/>
      <c r="AM519" s="237"/>
      <c r="AN519" s="27"/>
      <c r="AO519" s="27"/>
      <c r="AP519" s="27"/>
      <c r="AQ519" s="29"/>
    </row>
    <row r="520" spans="1:43" ht="19.5" customHeight="1">
      <c r="A520" s="4"/>
      <c r="B520" s="4"/>
      <c r="C520" s="4"/>
      <c r="D520" s="4"/>
      <c r="E520" s="4"/>
      <c r="F520" s="4"/>
      <c r="G520" s="4"/>
      <c r="H520" s="4"/>
      <c r="I520" s="4"/>
      <c r="J520" s="4"/>
      <c r="K520" s="27" t="s">
        <v>1037</v>
      </c>
      <c r="L520" s="237">
        <f>L519-(P519*T519+W519*AA519+AD519*AH519)/AK519</f>
        <v>42.28438699252676</v>
      </c>
      <c r="M520" s="237"/>
      <c r="N520" s="237"/>
      <c r="O520" s="27" t="s">
        <v>434</v>
      </c>
      <c r="AF520" s="29"/>
      <c r="AG520" s="29"/>
      <c r="AN520" s="27"/>
      <c r="AO520" s="27"/>
      <c r="AP520" s="27"/>
      <c r="AQ520" s="29"/>
    </row>
    <row r="521" spans="1:43" ht="19.5" customHeight="1">
      <c r="A521" s="4"/>
      <c r="B521" s="4"/>
      <c r="C521" s="4"/>
      <c r="D521" s="4"/>
      <c r="E521" s="4"/>
      <c r="F521" s="4" t="s">
        <v>1041</v>
      </c>
      <c r="G521" s="4"/>
      <c r="H521" s="4"/>
      <c r="I521" s="4" t="s">
        <v>1211</v>
      </c>
      <c r="J521" s="4"/>
      <c r="AF521" s="29"/>
      <c r="AG521" s="29"/>
      <c r="AN521" s="27"/>
      <c r="AO521" s="27"/>
      <c r="AP521" s="27"/>
      <c r="AQ521" s="29"/>
    </row>
    <row r="522" spans="1:43" ht="19.5" customHeight="1">
      <c r="A522" s="4"/>
      <c r="B522" s="4"/>
      <c r="C522" s="4"/>
      <c r="D522" s="4"/>
      <c r="E522" s="4"/>
      <c r="F522" s="4" t="s">
        <v>435</v>
      </c>
      <c r="G522" s="4"/>
      <c r="H522" s="4"/>
      <c r="I522" s="4" t="s">
        <v>1212</v>
      </c>
      <c r="J522" s="4"/>
      <c r="AA522" s="107"/>
      <c r="AF522" s="29"/>
      <c r="AG522" s="29"/>
      <c r="AN522" s="27"/>
      <c r="AO522" s="27"/>
      <c r="AP522" s="27"/>
      <c r="AQ522" s="29"/>
    </row>
    <row r="523" spans="1:43" ht="19.5" customHeight="1">
      <c r="A523" s="4"/>
      <c r="B523" s="4"/>
      <c r="C523" s="4"/>
      <c r="D523" s="4"/>
      <c r="E523" s="4"/>
      <c r="F523" s="4"/>
      <c r="H523" s="4"/>
      <c r="I523" s="4"/>
      <c r="J523" s="4"/>
      <c r="K523" s="4"/>
      <c r="L523" s="4"/>
      <c r="M523" s="4"/>
      <c r="AD523" s="107"/>
      <c r="AH523" s="27"/>
      <c r="AQ523" s="29"/>
    </row>
    <row r="524" spans="1:43" ht="19.5" customHeight="1">
      <c r="A524" s="4"/>
      <c r="B524" s="4"/>
      <c r="C524" s="4"/>
      <c r="D524" s="4"/>
      <c r="E524" s="4"/>
      <c r="F524" s="4"/>
      <c r="H524" s="4"/>
      <c r="I524" s="4"/>
      <c r="J524" s="4"/>
      <c r="K524" s="4"/>
      <c r="L524" s="4"/>
      <c r="M524" s="4"/>
      <c r="AD524" s="107"/>
      <c r="AH524" s="27"/>
      <c r="AQ524" s="29"/>
    </row>
    <row r="525" spans="1:43" ht="19.5" customHeight="1">
      <c r="A525" s="4"/>
      <c r="B525" s="4"/>
      <c r="C525" s="4"/>
      <c r="D525" s="4"/>
      <c r="E525" s="4"/>
      <c r="F525" s="4" t="s">
        <v>436</v>
      </c>
      <c r="G525" s="4"/>
      <c r="H525" s="4"/>
      <c r="I525" s="4"/>
      <c r="J525" s="4"/>
      <c r="K525" s="4"/>
      <c r="L525" s="4"/>
      <c r="M525" s="4"/>
      <c r="AB525" s="45"/>
      <c r="AC525" s="45"/>
      <c r="AD525" s="45"/>
      <c r="AH525" s="27"/>
      <c r="AQ525" s="29"/>
    </row>
    <row r="526" spans="1:43" ht="19.5" customHeight="1">
      <c r="A526" s="4"/>
      <c r="B526" s="4"/>
      <c r="F526" s="183" t="s">
        <v>1021</v>
      </c>
      <c r="G526" s="183"/>
      <c r="H526" s="183"/>
      <c r="I526" s="183"/>
      <c r="J526" s="183"/>
      <c r="K526" s="183"/>
      <c r="L526" s="183"/>
      <c r="M526" s="204" t="s">
        <v>437</v>
      </c>
      <c r="N526" s="204"/>
      <c r="O526" s="204"/>
      <c r="P526" s="204"/>
      <c r="Q526" s="204" t="s">
        <v>438</v>
      </c>
      <c r="R526" s="204"/>
      <c r="S526" s="204"/>
      <c r="T526" s="204"/>
      <c r="U526" s="204" t="s">
        <v>439</v>
      </c>
      <c r="V526" s="204"/>
      <c r="W526" s="204"/>
      <c r="X526" s="204"/>
      <c r="Y526" s="45"/>
      <c r="Z526" s="45"/>
      <c r="AA526" s="45"/>
      <c r="AB526" s="45"/>
      <c r="AC526" s="45"/>
      <c r="AD526" s="45"/>
      <c r="AE526" s="45"/>
      <c r="AF526" s="45"/>
      <c r="AG526" s="45"/>
      <c r="AH526" s="45"/>
      <c r="AI526" s="45"/>
      <c r="AJ526" s="45"/>
      <c r="AK526" s="45"/>
      <c r="AL526" s="45"/>
      <c r="AM526" s="45"/>
      <c r="AQ526" s="29"/>
    </row>
    <row r="527" spans="1:43" ht="19.5" customHeight="1">
      <c r="A527" s="4"/>
      <c r="B527" s="4"/>
      <c r="F527" s="183" t="s">
        <v>440</v>
      </c>
      <c r="G527" s="183"/>
      <c r="H527" s="183"/>
      <c r="I527" s="204" t="s">
        <v>441</v>
      </c>
      <c r="J527" s="204"/>
      <c r="K527" s="204"/>
      <c r="L527" s="204"/>
      <c r="M527" s="213">
        <f>$AC$255/2-($AI$259*$O$257+$AG$256*($AC$255-$AA$255)+$I$255*($O$257+$O$256))/$M$528</f>
        <v>-66.85316097758027</v>
      </c>
      <c r="N527" s="213"/>
      <c r="O527" s="213"/>
      <c r="P527" s="213"/>
      <c r="Q527" s="213">
        <f>$AC$240/2-($AI$244*$O$242+$AG$241*$AB$242+$I$240*($O$242+$O$241))/$Q$528</f>
        <v>42.28438699252676</v>
      </c>
      <c r="R527" s="213"/>
      <c r="S527" s="213"/>
      <c r="T527" s="213"/>
      <c r="U527" s="213">
        <f>$AC$255/2-($AI$259*$O$257+$AG$256*($AC$255-$AA$255)+$I$255*($O$257+$O$256))/$M$528</f>
        <v>-66.85316097758027</v>
      </c>
      <c r="V527" s="213"/>
      <c r="W527" s="213"/>
      <c r="X527" s="213"/>
      <c r="Y527" s="46"/>
      <c r="Z527" s="46"/>
      <c r="AA527" s="46"/>
      <c r="AB527" s="46"/>
      <c r="AC527" s="46"/>
      <c r="AD527" s="46"/>
      <c r="AE527" s="46"/>
      <c r="AF527" s="46"/>
      <c r="AG527" s="46"/>
      <c r="AH527" s="46"/>
      <c r="AI527" s="46"/>
      <c r="AJ527" s="46"/>
      <c r="AK527" s="46"/>
      <c r="AL527" s="46"/>
      <c r="AM527" s="46"/>
      <c r="AQ527" s="29"/>
    </row>
    <row r="528" spans="1:43" ht="19.5" customHeight="1">
      <c r="A528" s="4" t="s">
        <v>877</v>
      </c>
      <c r="B528" s="4"/>
      <c r="F528" s="183" t="s">
        <v>1036</v>
      </c>
      <c r="G528" s="183"/>
      <c r="H528" s="183"/>
      <c r="I528" s="204" t="s">
        <v>442</v>
      </c>
      <c r="J528" s="204"/>
      <c r="K528" s="204"/>
      <c r="L528" s="204"/>
      <c r="M528" s="190">
        <f>$I$255+$AG$256+$AI$259</f>
        <v>5941.2</v>
      </c>
      <c r="N528" s="190"/>
      <c r="O528" s="190"/>
      <c r="P528" s="190"/>
      <c r="Q528" s="190">
        <f>$I$240+$AG$241+$AI$244</f>
        <v>5941.2</v>
      </c>
      <c r="R528" s="190"/>
      <c r="S528" s="190"/>
      <c r="T528" s="190"/>
      <c r="U528" s="190">
        <f>$I$255+$AG$256+$AI$259</f>
        <v>5941.2</v>
      </c>
      <c r="V528" s="190"/>
      <c r="W528" s="190"/>
      <c r="X528" s="190"/>
      <c r="Y528" s="77"/>
      <c r="Z528" s="77"/>
      <c r="AA528" s="77"/>
      <c r="AB528" s="77"/>
      <c r="AC528" s="77"/>
      <c r="AD528" s="77"/>
      <c r="AE528" s="77"/>
      <c r="AF528" s="77"/>
      <c r="AG528" s="77"/>
      <c r="AH528" s="77"/>
      <c r="AI528" s="77"/>
      <c r="AJ528" s="77"/>
      <c r="AK528" s="77"/>
      <c r="AL528" s="77"/>
      <c r="AM528" s="77"/>
      <c r="AQ528" s="29"/>
    </row>
    <row r="529" spans="1:43" ht="19.5" customHeight="1">
      <c r="A529" s="4"/>
      <c r="B529" s="4"/>
      <c r="F529" s="183" t="s">
        <v>874</v>
      </c>
      <c r="G529" s="183"/>
      <c r="H529" s="183"/>
      <c r="I529" s="204" t="s">
        <v>443</v>
      </c>
      <c r="J529" s="204"/>
      <c r="K529" s="204"/>
      <c r="L529" s="204"/>
      <c r="M529" s="190">
        <f>$AH$261</f>
        <v>3800</v>
      </c>
      <c r="N529" s="190"/>
      <c r="O529" s="190"/>
      <c r="P529" s="190"/>
      <c r="Q529" s="190">
        <f>$AH$246</f>
        <v>3000</v>
      </c>
      <c r="R529" s="190"/>
      <c r="S529" s="190"/>
      <c r="T529" s="190"/>
      <c r="U529" s="190">
        <f>$AH$261</f>
        <v>3800</v>
      </c>
      <c r="V529" s="190"/>
      <c r="W529" s="190"/>
      <c r="X529" s="190"/>
      <c r="Y529" s="77"/>
      <c r="Z529" s="77"/>
      <c r="AA529" s="77"/>
      <c r="AB529" s="77"/>
      <c r="AC529" s="77"/>
      <c r="AD529" s="77"/>
      <c r="AE529" s="77"/>
      <c r="AF529" s="77"/>
      <c r="AG529" s="77"/>
      <c r="AH529" s="77"/>
      <c r="AI529" s="77"/>
      <c r="AJ529" s="77"/>
      <c r="AK529" s="77"/>
      <c r="AL529" s="77"/>
      <c r="AM529" s="77"/>
      <c r="AQ529" s="29"/>
    </row>
    <row r="530" spans="1:43" ht="19.5" customHeight="1">
      <c r="A530" s="4"/>
      <c r="B530" s="4"/>
      <c r="F530" s="183" t="s">
        <v>444</v>
      </c>
      <c r="G530" s="183"/>
      <c r="H530" s="183"/>
      <c r="I530" s="204" t="s">
        <v>445</v>
      </c>
      <c r="J530" s="204"/>
      <c r="K530" s="204"/>
      <c r="L530" s="204"/>
      <c r="M530" s="213">
        <f>$AH$262</f>
        <v>457266.6666666667</v>
      </c>
      <c r="N530" s="213"/>
      <c r="O530" s="213"/>
      <c r="P530" s="213"/>
      <c r="Q530" s="213">
        <f>$AH$247</f>
        <v>225000</v>
      </c>
      <c r="R530" s="213"/>
      <c r="S530" s="213"/>
      <c r="T530" s="213"/>
      <c r="U530" s="213">
        <f>$AH$262</f>
        <v>457266.6666666667</v>
      </c>
      <c r="V530" s="213"/>
      <c r="W530" s="213"/>
      <c r="X530" s="213"/>
      <c r="Y530" s="46"/>
      <c r="Z530" s="46"/>
      <c r="AA530" s="46"/>
      <c r="AB530" s="46"/>
      <c r="AC530" s="46"/>
      <c r="AD530" s="46"/>
      <c r="AE530" s="46"/>
      <c r="AF530" s="46"/>
      <c r="AG530" s="46"/>
      <c r="AH530" s="46"/>
      <c r="AI530" s="46"/>
      <c r="AJ530" s="46"/>
      <c r="AK530" s="46"/>
      <c r="AL530" s="46"/>
      <c r="AM530" s="46"/>
      <c r="AQ530" s="29"/>
    </row>
    <row r="531" spans="1:43" ht="19.5" customHeight="1">
      <c r="A531" s="4"/>
      <c r="B531" s="4"/>
      <c r="F531" s="183" t="s">
        <v>1032</v>
      </c>
      <c r="G531" s="183"/>
      <c r="H531" s="183"/>
      <c r="I531" s="204"/>
      <c r="J531" s="204"/>
      <c r="K531" s="204"/>
      <c r="L531" s="204"/>
      <c r="M531" s="254">
        <f>$AI$509*M528*(1/(M529*100)+M527^2/(M530*10000))</f>
        <v>0.16493609738305057</v>
      </c>
      <c r="N531" s="254"/>
      <c r="O531" s="254"/>
      <c r="P531" s="254"/>
      <c r="Q531" s="254">
        <f>$AI$509*Q528*(1/(Q529*100)+Q527^2/(Q530*10000))</f>
        <v>0.18865532888978653</v>
      </c>
      <c r="R531" s="254"/>
      <c r="S531" s="254"/>
      <c r="T531" s="254"/>
      <c r="U531" s="254">
        <f>$AI$509*U528*(1/(U529*100)+U527^2/(U530*10000))</f>
        <v>0.16493609738305057</v>
      </c>
      <c r="V531" s="254"/>
      <c r="W531" s="254"/>
      <c r="X531" s="254"/>
      <c r="Y531" s="77"/>
      <c r="Z531" s="77"/>
      <c r="AA531" s="77"/>
      <c r="AB531" s="77"/>
      <c r="AC531" s="77"/>
      <c r="AD531" s="77"/>
      <c r="AE531" s="77"/>
      <c r="AF531" s="77"/>
      <c r="AG531" s="77"/>
      <c r="AH531" s="77"/>
      <c r="AI531" s="77"/>
      <c r="AJ531" s="77"/>
      <c r="AK531" s="77"/>
      <c r="AL531" s="77"/>
      <c r="AM531" s="77"/>
      <c r="AQ531" s="29"/>
    </row>
    <row r="532" spans="1:43" ht="19.5" customHeight="1">
      <c r="A532" s="4"/>
      <c r="B532" s="4"/>
      <c r="F532" s="183" t="s">
        <v>446</v>
      </c>
      <c r="G532" s="183"/>
      <c r="H532" s="183"/>
      <c r="I532" s="204" t="s">
        <v>447</v>
      </c>
      <c r="J532" s="204"/>
      <c r="K532" s="204"/>
      <c r="L532" s="204"/>
      <c r="M532" s="213">
        <f>ABS(L477)</f>
        <v>13.716011335636258</v>
      </c>
      <c r="N532" s="213"/>
      <c r="O532" s="213"/>
      <c r="P532" s="213"/>
      <c r="Q532" s="213">
        <f>ABS(P477)</f>
        <v>13.835405153530711</v>
      </c>
      <c r="R532" s="213"/>
      <c r="S532" s="213"/>
      <c r="T532" s="213"/>
      <c r="U532" s="213">
        <f>ABS(T477)</f>
        <v>13.716011335636258</v>
      </c>
      <c r="V532" s="213"/>
      <c r="W532" s="213"/>
      <c r="X532" s="213"/>
      <c r="Y532" s="77"/>
      <c r="Z532" s="77"/>
      <c r="AA532" s="77"/>
      <c r="AB532" s="77"/>
      <c r="AC532" s="77"/>
      <c r="AD532" s="77"/>
      <c r="AE532" s="77"/>
      <c r="AF532" s="77"/>
      <c r="AG532" s="77"/>
      <c r="AH532" s="77"/>
      <c r="AI532" s="77"/>
      <c r="AJ532" s="77"/>
      <c r="AK532" s="77"/>
      <c r="AL532" s="77"/>
      <c r="AM532" s="77"/>
      <c r="AQ532" s="29"/>
    </row>
    <row r="533" spans="1:43" ht="19.5" customHeight="1">
      <c r="A533" s="4"/>
      <c r="B533" s="4"/>
      <c r="F533" s="204" t="s">
        <v>1030</v>
      </c>
      <c r="G533" s="204"/>
      <c r="H533" s="204"/>
      <c r="I533" s="204" t="s">
        <v>447</v>
      </c>
      <c r="J533" s="204"/>
      <c r="K533" s="204"/>
      <c r="L533" s="204"/>
      <c r="M533" s="213">
        <f>-N283</f>
        <v>-0.8256276425134859</v>
      </c>
      <c r="N533" s="213"/>
      <c r="O533" s="213"/>
      <c r="P533" s="213"/>
      <c r="Q533" s="213">
        <f>-R283</f>
        <v>-0.2730222222222222</v>
      </c>
      <c r="R533" s="213"/>
      <c r="S533" s="213"/>
      <c r="T533" s="213"/>
      <c r="U533" s="213">
        <f>-V283</f>
        <v>-0.8256276425134859</v>
      </c>
      <c r="V533" s="213"/>
      <c r="W533" s="213"/>
      <c r="X533" s="213"/>
      <c r="Y533" s="46"/>
      <c r="Z533" s="46"/>
      <c r="AA533" s="46"/>
      <c r="AB533" s="46"/>
      <c r="AC533" s="46"/>
      <c r="AD533" s="46"/>
      <c r="AE533" s="46"/>
      <c r="AF533" s="46"/>
      <c r="AG533" s="46"/>
      <c r="AH533" s="46"/>
      <c r="AI533" s="46"/>
      <c r="AJ533" s="46"/>
      <c r="AK533" s="46"/>
      <c r="AL533" s="46"/>
      <c r="AM533" s="46"/>
      <c r="AQ533" s="29"/>
    </row>
    <row r="534" spans="1:43" ht="19.5" customHeight="1">
      <c r="A534" s="4"/>
      <c r="B534" s="4"/>
      <c r="C534" s="4"/>
      <c r="D534" s="4"/>
      <c r="E534" s="4"/>
      <c r="F534" s="184" t="s">
        <v>448</v>
      </c>
      <c r="G534" s="184"/>
      <c r="H534" s="184"/>
      <c r="I534" s="204" t="s">
        <v>447</v>
      </c>
      <c r="J534" s="204"/>
      <c r="K534" s="204"/>
      <c r="L534" s="204"/>
      <c r="M534" s="213">
        <f>($AI$509*$W$506*(M532+M533)+2*2*10)/(1+M531*(1+$W$506/2))</f>
        <v>215.90388296894332</v>
      </c>
      <c r="N534" s="213"/>
      <c r="O534" s="213"/>
      <c r="P534" s="213"/>
      <c r="Q534" s="213">
        <f>($AI$509*$W$506*(Q532+Q533)+2*2*10)/(1+Q531*(1+$W$506/2))</f>
        <v>217.0626149124176</v>
      </c>
      <c r="R534" s="213"/>
      <c r="S534" s="213"/>
      <c r="T534" s="213"/>
      <c r="U534" s="213">
        <f>($AI$509*$W$506*(U532+U533)+2*2*10)/(1+U531*(1+$W$506/2))</f>
        <v>215.90388296894332</v>
      </c>
      <c r="V534" s="213"/>
      <c r="W534" s="213"/>
      <c r="X534" s="213"/>
      <c r="Y534" s="46"/>
      <c r="Z534" s="46"/>
      <c r="AA534" s="46"/>
      <c r="AB534" s="46"/>
      <c r="AC534" s="46"/>
      <c r="AD534" s="46"/>
      <c r="AE534" s="46"/>
      <c r="AF534" s="46"/>
      <c r="AG534" s="46"/>
      <c r="AH534" s="46"/>
      <c r="AI534" s="46"/>
      <c r="AJ534" s="46"/>
      <c r="AK534" s="46"/>
      <c r="AL534" s="46"/>
      <c r="AM534" s="46"/>
      <c r="AQ534" s="29"/>
    </row>
    <row r="535" spans="1:43" ht="19.5" customHeight="1">
      <c r="A535" s="4"/>
      <c r="B535" s="4"/>
      <c r="C535" s="4"/>
      <c r="D535" s="4"/>
      <c r="E535" s="4"/>
      <c r="F535" s="58"/>
      <c r="G535" s="58"/>
      <c r="H535" s="58"/>
      <c r="I535" s="45"/>
      <c r="J535" s="45"/>
      <c r="K535" s="45"/>
      <c r="L535" s="45"/>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Q535" s="29"/>
    </row>
    <row r="536" spans="1:43" ht="19.5" customHeight="1">
      <c r="A536" s="4"/>
      <c r="B536" s="4"/>
      <c r="F536" s="183" t="s">
        <v>917</v>
      </c>
      <c r="G536" s="183"/>
      <c r="H536" s="183"/>
      <c r="I536" s="183"/>
      <c r="J536" s="183"/>
      <c r="K536" s="183"/>
      <c r="L536" s="183"/>
      <c r="M536" s="204" t="s">
        <v>437</v>
      </c>
      <c r="N536" s="204"/>
      <c r="O536" s="204"/>
      <c r="P536" s="204"/>
      <c r="Q536" s="204" t="s">
        <v>438</v>
      </c>
      <c r="R536" s="204"/>
      <c r="S536" s="204"/>
      <c r="T536" s="204"/>
      <c r="U536" s="204" t="s">
        <v>439</v>
      </c>
      <c r="V536" s="204"/>
      <c r="W536" s="204"/>
      <c r="X536" s="204"/>
      <c r="Y536" s="45"/>
      <c r="Z536" s="45"/>
      <c r="AA536" s="45"/>
      <c r="AB536" s="45"/>
      <c r="AC536" s="45"/>
      <c r="AD536" s="45"/>
      <c r="AE536" s="45"/>
      <c r="AF536" s="45"/>
      <c r="AG536" s="45"/>
      <c r="AH536" s="45"/>
      <c r="AI536" s="45"/>
      <c r="AJ536" s="45"/>
      <c r="AK536" s="45"/>
      <c r="AL536" s="45"/>
      <c r="AM536" s="45"/>
      <c r="AQ536" s="29"/>
    </row>
    <row r="537" spans="1:43" ht="19.5" customHeight="1">
      <c r="A537" s="4"/>
      <c r="B537" s="4"/>
      <c r="F537" s="183" t="s">
        <v>440</v>
      </c>
      <c r="G537" s="183"/>
      <c r="H537" s="183"/>
      <c r="I537" s="204" t="s">
        <v>441</v>
      </c>
      <c r="J537" s="204"/>
      <c r="K537" s="204"/>
      <c r="L537" s="204"/>
      <c r="M537" s="213">
        <f>$AC$255/2-($AI$259*$O$257+$AG$256*($AC$255-$AA$255)+$I$255*($O$257+$O$256))/M538</f>
        <v>-66.85316097758027</v>
      </c>
      <c r="N537" s="213"/>
      <c r="O537" s="213"/>
      <c r="P537" s="213"/>
      <c r="Q537" s="213">
        <f>$AC$240/2-($AI$244*$O$242+$AG$241*$AB$242+$I$240*($O$242+$O$241))/Q538</f>
        <v>42.28438699252676</v>
      </c>
      <c r="R537" s="213"/>
      <c r="S537" s="213"/>
      <c r="T537" s="213"/>
      <c r="U537" s="213">
        <f>$AC$255/2-($AI$259*$O$257+$AG$256*($AC$255-$AA$255)+$I$255*($O$257+$O$256))/U538</f>
        <v>-66.85316097758027</v>
      </c>
      <c r="V537" s="213"/>
      <c r="W537" s="213"/>
      <c r="X537" s="213"/>
      <c r="Y537" s="46"/>
      <c r="Z537" s="46"/>
      <c r="AA537" s="46"/>
      <c r="AB537" s="46"/>
      <c r="AC537" s="46"/>
      <c r="AD537" s="46"/>
      <c r="AE537" s="46"/>
      <c r="AF537" s="46"/>
      <c r="AG537" s="46"/>
      <c r="AH537" s="46"/>
      <c r="AI537" s="46"/>
      <c r="AJ537" s="46"/>
      <c r="AK537" s="46"/>
      <c r="AL537" s="46"/>
      <c r="AM537" s="46"/>
      <c r="AQ537" s="29"/>
    </row>
    <row r="538" spans="1:43" ht="19.5" customHeight="1">
      <c r="A538" s="4" t="s">
        <v>877</v>
      </c>
      <c r="B538" s="4"/>
      <c r="F538" s="183" t="s">
        <v>1036</v>
      </c>
      <c r="G538" s="183"/>
      <c r="H538" s="183"/>
      <c r="I538" s="204" t="s">
        <v>442</v>
      </c>
      <c r="J538" s="204"/>
      <c r="K538" s="204"/>
      <c r="L538" s="204"/>
      <c r="M538" s="190">
        <f>$I$255+$AG$256+$AI$259</f>
        <v>5941.2</v>
      </c>
      <c r="N538" s="190"/>
      <c r="O538" s="190"/>
      <c r="P538" s="190"/>
      <c r="Q538" s="190">
        <f>$I$240+$AG$241+$AI$244</f>
        <v>5941.2</v>
      </c>
      <c r="R538" s="190"/>
      <c r="S538" s="190"/>
      <c r="T538" s="190"/>
      <c r="U538" s="190">
        <f>$I$255+$AG$256+$AI$259</f>
        <v>5941.2</v>
      </c>
      <c r="V538" s="190"/>
      <c r="W538" s="190"/>
      <c r="X538" s="190"/>
      <c r="Y538" s="77"/>
      <c r="Z538" s="77"/>
      <c r="AA538" s="77"/>
      <c r="AB538" s="77"/>
      <c r="AC538" s="77"/>
      <c r="AD538" s="77"/>
      <c r="AE538" s="77"/>
      <c r="AF538" s="77"/>
      <c r="AG538" s="77"/>
      <c r="AH538" s="77"/>
      <c r="AI538" s="77"/>
      <c r="AJ538" s="77"/>
      <c r="AK538" s="77"/>
      <c r="AL538" s="77"/>
      <c r="AM538" s="77"/>
      <c r="AQ538" s="29"/>
    </row>
    <row r="539" spans="1:43" ht="19.5" customHeight="1">
      <c r="A539" s="4"/>
      <c r="B539" s="4"/>
      <c r="F539" s="183" t="s">
        <v>874</v>
      </c>
      <c r="G539" s="183"/>
      <c r="H539" s="183"/>
      <c r="I539" s="204" t="s">
        <v>443</v>
      </c>
      <c r="J539" s="204"/>
      <c r="K539" s="204"/>
      <c r="L539" s="204"/>
      <c r="M539" s="190">
        <f>$AH$261</f>
        <v>3800</v>
      </c>
      <c r="N539" s="190"/>
      <c r="O539" s="190"/>
      <c r="P539" s="190"/>
      <c r="Q539" s="190">
        <f>$AH$246</f>
        <v>3000</v>
      </c>
      <c r="R539" s="190"/>
      <c r="S539" s="190"/>
      <c r="T539" s="190"/>
      <c r="U539" s="190">
        <f>$AH$261</f>
        <v>3800</v>
      </c>
      <c r="V539" s="190"/>
      <c r="W539" s="190"/>
      <c r="X539" s="190"/>
      <c r="Y539" s="77"/>
      <c r="Z539" s="77"/>
      <c r="AA539" s="77"/>
      <c r="AB539" s="77"/>
      <c r="AC539" s="77"/>
      <c r="AD539" s="77"/>
      <c r="AE539" s="77"/>
      <c r="AF539" s="77"/>
      <c r="AG539" s="77"/>
      <c r="AH539" s="77"/>
      <c r="AI539" s="77"/>
      <c r="AJ539" s="77"/>
      <c r="AK539" s="77"/>
      <c r="AL539" s="77"/>
      <c r="AM539" s="77"/>
      <c r="AQ539" s="29"/>
    </row>
    <row r="540" spans="1:43" ht="19.5" customHeight="1">
      <c r="A540" s="4"/>
      <c r="B540" s="4"/>
      <c r="F540" s="183" t="s">
        <v>444</v>
      </c>
      <c r="G540" s="183"/>
      <c r="H540" s="183"/>
      <c r="I540" s="204" t="s">
        <v>445</v>
      </c>
      <c r="J540" s="204"/>
      <c r="K540" s="204"/>
      <c r="L540" s="204"/>
      <c r="M540" s="213">
        <f>$AH$262</f>
        <v>457266.6666666667</v>
      </c>
      <c r="N540" s="213"/>
      <c r="O540" s="213"/>
      <c r="P540" s="213"/>
      <c r="Q540" s="213">
        <f>$AH$247</f>
        <v>225000</v>
      </c>
      <c r="R540" s="213"/>
      <c r="S540" s="213"/>
      <c r="T540" s="213"/>
      <c r="U540" s="213">
        <f>$AH$262</f>
        <v>457266.6666666667</v>
      </c>
      <c r="V540" s="213"/>
      <c r="W540" s="213"/>
      <c r="X540" s="213"/>
      <c r="Y540" s="46"/>
      <c r="Z540" s="46"/>
      <c r="AA540" s="46"/>
      <c r="AB540" s="46"/>
      <c r="AC540" s="46"/>
      <c r="AD540" s="46"/>
      <c r="AE540" s="46"/>
      <c r="AF540" s="46"/>
      <c r="AG540" s="46"/>
      <c r="AH540" s="46"/>
      <c r="AI540" s="46"/>
      <c r="AJ540" s="46"/>
      <c r="AK540" s="46"/>
      <c r="AL540" s="46"/>
      <c r="AM540" s="46"/>
      <c r="AQ540" s="29"/>
    </row>
    <row r="541" spans="1:43" ht="19.5" customHeight="1">
      <c r="A541" s="4"/>
      <c r="B541" s="4"/>
      <c r="F541" s="183" t="s">
        <v>1032</v>
      </c>
      <c r="G541" s="183"/>
      <c r="H541" s="183"/>
      <c r="I541" s="204"/>
      <c r="J541" s="204"/>
      <c r="K541" s="204"/>
      <c r="L541" s="204"/>
      <c r="M541" s="254">
        <f>$AI$509*M538*(1/(M539*100)+M537^2/(M540*10000))</f>
        <v>0.16493609738305057</v>
      </c>
      <c r="N541" s="254"/>
      <c r="O541" s="254"/>
      <c r="P541" s="254"/>
      <c r="Q541" s="254">
        <f>$AI$509*Q538*(1/(Q539*100)+Q537^2/(Q540*10000))</f>
        <v>0.18865532888978653</v>
      </c>
      <c r="R541" s="254"/>
      <c r="S541" s="254"/>
      <c r="T541" s="254"/>
      <c r="U541" s="254">
        <f>$AI$509*U538*(1/(U539*100)+U537^2/(U540*10000))</f>
        <v>0.16493609738305057</v>
      </c>
      <c r="V541" s="254"/>
      <c r="W541" s="254"/>
      <c r="X541" s="254"/>
      <c r="Y541" s="77"/>
      <c r="Z541" s="77"/>
      <c r="AA541" s="77"/>
      <c r="AB541" s="77"/>
      <c r="AC541" s="77"/>
      <c r="AD541" s="77"/>
      <c r="AE541" s="77"/>
      <c r="AF541" s="77"/>
      <c r="AG541" s="77"/>
      <c r="AH541" s="77"/>
      <c r="AI541" s="77"/>
      <c r="AJ541" s="77"/>
      <c r="AK541" s="77"/>
      <c r="AL541" s="77"/>
      <c r="AM541" s="77"/>
      <c r="AQ541" s="29"/>
    </row>
    <row r="542" spans="1:43" ht="19.5" customHeight="1">
      <c r="A542" s="4"/>
      <c r="B542" s="4"/>
      <c r="F542" s="183" t="s">
        <v>446</v>
      </c>
      <c r="G542" s="183"/>
      <c r="H542" s="183"/>
      <c r="I542" s="204" t="s">
        <v>447</v>
      </c>
      <c r="J542" s="204"/>
      <c r="K542" s="204"/>
      <c r="L542" s="204"/>
      <c r="M542" s="213">
        <f>ABS(L490)</f>
        <v>13.716011335636258</v>
      </c>
      <c r="N542" s="213"/>
      <c r="O542" s="213"/>
      <c r="P542" s="213"/>
      <c r="Q542" s="213">
        <f>ABS(P490)</f>
        <v>13.830360599342677</v>
      </c>
      <c r="R542" s="213"/>
      <c r="S542" s="213"/>
      <c r="T542" s="213"/>
      <c r="U542" s="213">
        <f>ABS(T490)</f>
        <v>13.716011335636258</v>
      </c>
      <c r="V542" s="213"/>
      <c r="W542" s="213"/>
      <c r="X542" s="213"/>
      <c r="Y542" s="77"/>
      <c r="Z542" s="77"/>
      <c r="AA542" s="77"/>
      <c r="AB542" s="77"/>
      <c r="AC542" s="77"/>
      <c r="AD542" s="77"/>
      <c r="AE542" s="77"/>
      <c r="AF542" s="77"/>
      <c r="AG542" s="77"/>
      <c r="AH542" s="77"/>
      <c r="AI542" s="77"/>
      <c r="AJ542" s="77"/>
      <c r="AK542" s="77"/>
      <c r="AL542" s="77"/>
      <c r="AM542" s="77"/>
      <c r="AQ542" s="29"/>
    </row>
    <row r="543" spans="1:43" ht="19.5" customHeight="1">
      <c r="A543" s="4"/>
      <c r="B543" s="4"/>
      <c r="F543" s="204" t="s">
        <v>1030</v>
      </c>
      <c r="G543" s="204"/>
      <c r="H543" s="204"/>
      <c r="I543" s="204" t="s">
        <v>447</v>
      </c>
      <c r="J543" s="204"/>
      <c r="K543" s="204"/>
      <c r="L543" s="204"/>
      <c r="M543" s="213">
        <f>-N297</f>
        <v>-0.8256276425134859</v>
      </c>
      <c r="N543" s="213"/>
      <c r="O543" s="213"/>
      <c r="P543" s="213"/>
      <c r="Q543" s="213">
        <f>-R297</f>
        <v>0.1399111111111111</v>
      </c>
      <c r="R543" s="213"/>
      <c r="S543" s="213"/>
      <c r="T543" s="213"/>
      <c r="U543" s="213">
        <f>-V297</f>
        <v>-0.8256276425134859</v>
      </c>
      <c r="V543" s="213"/>
      <c r="W543" s="213"/>
      <c r="X543" s="213"/>
      <c r="Y543" s="46"/>
      <c r="Z543" s="46"/>
      <c r="AA543" s="46"/>
      <c r="AB543" s="46"/>
      <c r="AC543" s="46"/>
      <c r="AD543" s="46"/>
      <c r="AE543" s="46"/>
      <c r="AF543" s="46"/>
      <c r="AG543" s="46"/>
      <c r="AH543" s="46"/>
      <c r="AI543" s="46"/>
      <c r="AJ543" s="46"/>
      <c r="AK543" s="46"/>
      <c r="AL543" s="46"/>
      <c r="AM543" s="46"/>
      <c r="AQ543" s="29"/>
    </row>
    <row r="544" spans="1:43" ht="19.5" customHeight="1">
      <c r="A544" s="4"/>
      <c r="B544" s="4"/>
      <c r="C544" s="4"/>
      <c r="D544" s="4"/>
      <c r="E544" s="4"/>
      <c r="F544" s="184" t="s">
        <v>448</v>
      </c>
      <c r="G544" s="184"/>
      <c r="H544" s="184"/>
      <c r="I544" s="204" t="s">
        <v>447</v>
      </c>
      <c r="J544" s="204"/>
      <c r="K544" s="204"/>
      <c r="L544" s="204"/>
      <c r="M544" s="213">
        <f>($AI$509*$W$506*(M542+M543)+2*2*10)/(1+M541*(1+$W$506/2))</f>
        <v>215.90388296894332</v>
      </c>
      <c r="N544" s="213"/>
      <c r="O544" s="213"/>
      <c r="P544" s="213"/>
      <c r="Q544" s="213">
        <f>($AI$509*$W$506*(Q542+Q543)+2*2*10)/(1+Q541*(1+$W$506/2))</f>
        <v>222.7518082310444</v>
      </c>
      <c r="R544" s="213"/>
      <c r="S544" s="213"/>
      <c r="T544" s="213"/>
      <c r="U544" s="213">
        <f>($AI$509*$W$506*(U542+U543)+2*2*10)/(1+U541*(1+$W$506/2))</f>
        <v>215.90388296894332</v>
      </c>
      <c r="V544" s="213"/>
      <c r="W544" s="213"/>
      <c r="X544" s="213"/>
      <c r="Y544" s="46"/>
      <c r="Z544" s="46"/>
      <c r="AA544" s="46"/>
      <c r="AB544" s="46"/>
      <c r="AC544" s="46"/>
      <c r="AD544" s="46"/>
      <c r="AE544" s="46"/>
      <c r="AF544" s="46"/>
      <c r="AG544" s="46"/>
      <c r="AH544" s="46"/>
      <c r="AI544" s="46"/>
      <c r="AJ544" s="46"/>
      <c r="AK544" s="46"/>
      <c r="AL544" s="46"/>
      <c r="AM544" s="46"/>
      <c r="AQ544" s="29"/>
    </row>
    <row r="545" spans="1:43" ht="19.5" customHeight="1">
      <c r="A545" s="4"/>
      <c r="B545" s="4"/>
      <c r="C545" s="4"/>
      <c r="D545" s="4"/>
      <c r="E545" s="4"/>
      <c r="F545" s="58"/>
      <c r="G545" s="58"/>
      <c r="H545" s="58"/>
      <c r="I545" s="45"/>
      <c r="J545" s="45"/>
      <c r="K545" s="45"/>
      <c r="L545" s="45"/>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Q545" s="29"/>
    </row>
    <row r="546" spans="1:43" ht="19.5" customHeight="1">
      <c r="A546" s="4"/>
      <c r="B546" s="4"/>
      <c r="C546" s="4"/>
      <c r="D546" s="4"/>
      <c r="E546" s="4" t="s">
        <v>1279</v>
      </c>
      <c r="F546" s="4"/>
      <c r="G546" s="4"/>
      <c r="H546" s="4"/>
      <c r="I546" s="4"/>
      <c r="J546" s="4"/>
      <c r="K546" s="4"/>
      <c r="L546" s="4"/>
      <c r="M546" s="4"/>
      <c r="AH546" s="27"/>
      <c r="AQ546" s="29"/>
    </row>
    <row r="547" spans="1:43" ht="19.5" customHeight="1">
      <c r="A547" s="4"/>
      <c r="B547" s="4"/>
      <c r="C547" s="4"/>
      <c r="D547" s="4"/>
      <c r="F547" s="4" t="s">
        <v>1213</v>
      </c>
      <c r="G547" s="4"/>
      <c r="H547" s="4"/>
      <c r="I547" s="4"/>
      <c r="J547" s="4"/>
      <c r="K547" s="4"/>
      <c r="L547" s="4"/>
      <c r="M547" s="4"/>
      <c r="AH547" s="27"/>
      <c r="AQ547" s="29"/>
    </row>
    <row r="548" spans="1:43" ht="19.5" customHeight="1">
      <c r="A548" s="4"/>
      <c r="B548" s="4"/>
      <c r="C548" s="4"/>
      <c r="D548" s="4"/>
      <c r="F548" s="4" t="s">
        <v>1119</v>
      </c>
      <c r="G548" s="4"/>
      <c r="H548" s="4"/>
      <c r="I548" s="4"/>
      <c r="J548" s="4"/>
      <c r="K548" s="4"/>
      <c r="L548" s="4"/>
      <c r="M548" s="4"/>
      <c r="AH548" s="27"/>
      <c r="AQ548" s="29"/>
    </row>
    <row r="549" spans="1:43" ht="19.5" customHeight="1">
      <c r="A549" s="4"/>
      <c r="B549" s="4"/>
      <c r="C549" s="4"/>
      <c r="D549" s="4"/>
      <c r="E549" s="4"/>
      <c r="F549" s="4" t="s">
        <v>1000</v>
      </c>
      <c r="G549" s="4"/>
      <c r="H549" s="4"/>
      <c r="I549" s="4"/>
      <c r="J549" s="4"/>
      <c r="K549" s="4"/>
      <c r="L549" s="4"/>
      <c r="M549" s="4"/>
      <c r="AH549" s="27"/>
      <c r="AQ549" s="29"/>
    </row>
    <row r="550" spans="1:43" ht="19.5" customHeight="1">
      <c r="A550" s="4"/>
      <c r="B550" s="4"/>
      <c r="C550" s="4" t="s">
        <v>323</v>
      </c>
      <c r="D550" s="4"/>
      <c r="E550" s="4"/>
      <c r="F550" s="4"/>
      <c r="G550" s="4" t="s">
        <v>449</v>
      </c>
      <c r="H550" s="4"/>
      <c r="I550" s="4" t="s">
        <v>450</v>
      </c>
      <c r="J550" s="4"/>
      <c r="K550" s="4"/>
      <c r="L550" s="4"/>
      <c r="M550" s="4"/>
      <c r="AH550" s="27"/>
      <c r="AQ550" s="29"/>
    </row>
    <row r="551" spans="1:43" ht="19.5" customHeight="1">
      <c r="A551" s="4"/>
      <c r="B551" s="4"/>
      <c r="C551" s="4"/>
      <c r="D551" s="4" t="s">
        <v>323</v>
      </c>
      <c r="E551" s="4"/>
      <c r="F551" s="4"/>
      <c r="G551" s="4"/>
      <c r="H551" s="33" t="s">
        <v>317</v>
      </c>
      <c r="I551" s="237">
        <f>I240+AI244</f>
        <v>3438</v>
      </c>
      <c r="J551" s="237"/>
      <c r="K551" s="237"/>
      <c r="L551" s="4" t="s">
        <v>956</v>
      </c>
      <c r="M551" s="244">
        <f>Q534</f>
        <v>217.0626149124176</v>
      </c>
      <c r="N551" s="244"/>
      <c r="O551" s="244"/>
      <c r="P551" s="35" t="s">
        <v>317</v>
      </c>
      <c r="Q551" s="237">
        <f>I551*M551</f>
        <v>746261.2700688917</v>
      </c>
      <c r="R551" s="237"/>
      <c r="S551" s="237"/>
      <c r="T551" s="237"/>
      <c r="U551" s="27" t="s">
        <v>451</v>
      </c>
      <c r="V551" s="27" t="s">
        <v>1323</v>
      </c>
      <c r="Z551" s="27" t="s">
        <v>452</v>
      </c>
      <c r="AH551" s="27"/>
      <c r="AQ551" s="29"/>
    </row>
    <row r="552" spans="1:43" ht="19.5" customHeight="1">
      <c r="A552" s="4"/>
      <c r="B552" s="4"/>
      <c r="C552" s="4"/>
      <c r="D552" s="4"/>
      <c r="E552" s="4" t="s">
        <v>323</v>
      </c>
      <c r="F552" s="4"/>
      <c r="G552" s="4" t="s">
        <v>453</v>
      </c>
      <c r="H552" s="4"/>
      <c r="I552" s="4" t="s">
        <v>454</v>
      </c>
      <c r="J552" s="4"/>
      <c r="K552" s="4"/>
      <c r="L552" s="4"/>
      <c r="M552" s="4"/>
      <c r="AH552" s="27"/>
      <c r="AQ552" s="29"/>
    </row>
    <row r="553" spans="1:43" ht="19.5" customHeight="1">
      <c r="A553" s="4"/>
      <c r="B553" s="4"/>
      <c r="C553" s="4"/>
      <c r="D553" s="4"/>
      <c r="E553" s="4" t="s">
        <v>323</v>
      </c>
      <c r="F553" s="4"/>
      <c r="G553" s="4"/>
      <c r="H553" s="33" t="s">
        <v>317</v>
      </c>
      <c r="I553" s="237">
        <f>AL555</f>
        <v>36.66666666666667</v>
      </c>
      <c r="J553" s="237"/>
      <c r="K553" s="237"/>
      <c r="L553" s="4" t="s">
        <v>956</v>
      </c>
      <c r="M553" s="237">
        <f>Q551</f>
        <v>746261.2700688917</v>
      </c>
      <c r="N553" s="237"/>
      <c r="O553" s="237"/>
      <c r="P553" s="237"/>
      <c r="Q553" s="27" t="s">
        <v>317</v>
      </c>
      <c r="R553" s="236">
        <f>I553*M553</f>
        <v>27362913.235859364</v>
      </c>
      <c r="S553" s="236"/>
      <c r="T553" s="236"/>
      <c r="U553" s="236"/>
      <c r="V553" s="27" t="s">
        <v>455</v>
      </c>
      <c r="AH553" s="27"/>
      <c r="AQ553" s="29"/>
    </row>
    <row r="554" spans="1:43" ht="19.5" customHeight="1">
      <c r="A554" s="4"/>
      <c r="B554" s="4"/>
      <c r="C554" s="4"/>
      <c r="D554" s="4"/>
      <c r="G554" s="4" t="s">
        <v>929</v>
      </c>
      <c r="H554" s="4"/>
      <c r="I554" s="4"/>
      <c r="J554" s="4"/>
      <c r="K554" s="4" t="s">
        <v>1214</v>
      </c>
      <c r="L554" s="4"/>
      <c r="M554" s="4"/>
      <c r="AH554" s="27"/>
      <c r="AQ554" s="29"/>
    </row>
    <row r="555" spans="1:42" ht="19.5" customHeight="1">
      <c r="A555" s="4"/>
      <c r="B555" s="4"/>
      <c r="C555" s="4"/>
      <c r="D555" s="4"/>
      <c r="E555" s="4"/>
      <c r="F555" s="4"/>
      <c r="G555" s="4"/>
      <c r="H555" s="4"/>
      <c r="I555" s="4"/>
      <c r="J555" s="4"/>
      <c r="K555" s="4"/>
      <c r="L555" s="4"/>
      <c r="M555" s="235" t="s">
        <v>456</v>
      </c>
      <c r="N555" s="235"/>
      <c r="O555" s="27" t="s">
        <v>1361</v>
      </c>
      <c r="P555" s="236">
        <f>AC240/2</f>
        <v>150</v>
      </c>
      <c r="Q555" s="236"/>
      <c r="R555" s="27" t="s">
        <v>331</v>
      </c>
      <c r="S555" s="27" t="s">
        <v>330</v>
      </c>
      <c r="T555" s="237">
        <f>AI244</f>
        <v>2292</v>
      </c>
      <c r="U555" s="237"/>
      <c r="V555" s="237"/>
      <c r="W555" s="27" t="s">
        <v>329</v>
      </c>
      <c r="X555" s="236">
        <f>O242</f>
        <v>40</v>
      </c>
      <c r="Y555" s="236"/>
      <c r="Z555" s="27" t="s">
        <v>1044</v>
      </c>
      <c r="AA555" s="237">
        <f>I240</f>
        <v>1146</v>
      </c>
      <c r="AB555" s="237"/>
      <c r="AC555" s="237"/>
      <c r="AD555" s="27" t="s">
        <v>329</v>
      </c>
      <c r="AE555" s="236">
        <f>O242+O241</f>
        <v>260</v>
      </c>
      <c r="AF555" s="236"/>
      <c r="AG555" s="29" t="s">
        <v>457</v>
      </c>
      <c r="AH555" s="237">
        <f>I240+AI244</f>
        <v>3438</v>
      </c>
      <c r="AI555" s="237"/>
      <c r="AJ555" s="237"/>
      <c r="AK555" s="27" t="s">
        <v>1361</v>
      </c>
      <c r="AL555" s="237">
        <f>P555-(T555*X555+AA555*AE555)/AH555</f>
        <v>36.66666666666667</v>
      </c>
      <c r="AM555" s="237"/>
      <c r="AN555" s="237"/>
      <c r="AO555" s="27" t="s">
        <v>458</v>
      </c>
      <c r="AP555" s="27"/>
    </row>
    <row r="556" spans="1:43" ht="19.5" customHeight="1">
      <c r="A556" s="4"/>
      <c r="B556" s="4"/>
      <c r="C556" s="4"/>
      <c r="D556" s="4"/>
      <c r="F556" s="4" t="s">
        <v>1215</v>
      </c>
      <c r="G556" s="4"/>
      <c r="H556" s="4"/>
      <c r="I556" s="4"/>
      <c r="J556" s="4"/>
      <c r="K556" s="4"/>
      <c r="L556" s="4"/>
      <c r="M556" s="4"/>
      <c r="V556" s="27" t="s">
        <v>459</v>
      </c>
      <c r="AH556" s="27"/>
      <c r="AQ556" s="29"/>
    </row>
    <row r="557" spans="1:43" ht="19.5" customHeight="1">
      <c r="A557" s="4"/>
      <c r="B557" s="4"/>
      <c r="C557" s="4"/>
      <c r="D557" s="4"/>
      <c r="E557" s="4"/>
      <c r="F557" s="183" t="s">
        <v>1021</v>
      </c>
      <c r="G557" s="183"/>
      <c r="H557" s="183"/>
      <c r="I557" s="183"/>
      <c r="J557" s="183"/>
      <c r="K557" s="183"/>
      <c r="L557" s="183"/>
      <c r="M557" s="204" t="s">
        <v>460</v>
      </c>
      <c r="N557" s="204"/>
      <c r="O557" s="204"/>
      <c r="P557" s="204"/>
      <c r="Q557" s="204" t="s">
        <v>461</v>
      </c>
      <c r="R557" s="204"/>
      <c r="S557" s="204"/>
      <c r="T557" s="204"/>
      <c r="U557" s="204" t="s">
        <v>462</v>
      </c>
      <c r="V557" s="204"/>
      <c r="W557" s="204"/>
      <c r="X557" s="204"/>
      <c r="AH557" s="27"/>
      <c r="AQ557" s="29"/>
    </row>
    <row r="558" spans="1:47" ht="19.5" customHeight="1">
      <c r="A558" s="4"/>
      <c r="B558" s="4"/>
      <c r="C558" s="4"/>
      <c r="D558" s="4"/>
      <c r="F558" s="183" t="s">
        <v>463</v>
      </c>
      <c r="G558" s="183"/>
      <c r="H558" s="183"/>
      <c r="I558" s="204" t="s">
        <v>464</v>
      </c>
      <c r="J558" s="204"/>
      <c r="K558" s="204"/>
      <c r="L558" s="204"/>
      <c r="M558" s="213">
        <f>M534</f>
        <v>215.90388296894332</v>
      </c>
      <c r="N558" s="213"/>
      <c r="O558" s="213"/>
      <c r="P558" s="213"/>
      <c r="Q558" s="213">
        <f>Q534</f>
        <v>217.0626149124176</v>
      </c>
      <c r="R558" s="213"/>
      <c r="S558" s="213"/>
      <c r="T558" s="213"/>
      <c r="U558" s="213">
        <f>U534</f>
        <v>215.90388296894332</v>
      </c>
      <c r="V558" s="213"/>
      <c r="W558" s="213"/>
      <c r="X558" s="213"/>
      <c r="AH558" s="27"/>
      <c r="AQ558" s="29"/>
      <c r="AS558" s="4"/>
      <c r="AT558" s="4"/>
      <c r="AU558" s="4"/>
    </row>
    <row r="559" spans="1:47" ht="19.5" customHeight="1">
      <c r="A559" s="4"/>
      <c r="B559" s="4"/>
      <c r="C559" s="4"/>
      <c r="D559" s="4"/>
      <c r="F559" s="183" t="s">
        <v>465</v>
      </c>
      <c r="G559" s="183"/>
      <c r="H559" s="183"/>
      <c r="I559" s="204" t="s">
        <v>466</v>
      </c>
      <c r="J559" s="204"/>
      <c r="K559" s="204"/>
      <c r="L559" s="204"/>
      <c r="M559" s="190">
        <f>$I$255+$AI$259</f>
        <v>3438</v>
      </c>
      <c r="N559" s="190"/>
      <c r="O559" s="190"/>
      <c r="P559" s="190"/>
      <c r="Q559" s="190">
        <f>$I$240+$AI$244</f>
        <v>3438</v>
      </c>
      <c r="R559" s="190"/>
      <c r="S559" s="190"/>
      <c r="T559" s="190"/>
      <c r="U559" s="190">
        <f>$I$255+$AI$259</f>
        <v>3438</v>
      </c>
      <c r="V559" s="190"/>
      <c r="W559" s="190"/>
      <c r="X559" s="190"/>
      <c r="AH559" s="27"/>
      <c r="AQ559" s="29"/>
      <c r="AS559" s="4"/>
      <c r="AT559" s="4"/>
      <c r="AU559" s="4"/>
    </row>
    <row r="560" spans="1:45" ht="19.5" customHeight="1">
      <c r="A560" s="4"/>
      <c r="B560" s="4"/>
      <c r="C560" s="4"/>
      <c r="D560" s="4"/>
      <c r="F560" s="183" t="s">
        <v>467</v>
      </c>
      <c r="G560" s="183"/>
      <c r="H560" s="183"/>
      <c r="I560" s="204" t="s">
        <v>468</v>
      </c>
      <c r="J560" s="204"/>
      <c r="K560" s="204"/>
      <c r="L560" s="204"/>
      <c r="M560" s="190">
        <f>$AC$255/2-($AI$259*$O$257+$I$255*($O$257+$O$256))/$M$559</f>
        <v>-50</v>
      </c>
      <c r="N560" s="190"/>
      <c r="O560" s="190"/>
      <c r="P560" s="190"/>
      <c r="Q560" s="190">
        <f>$AC$240/2-($AI$244*$O$242+$I$240*($O$242+$O$241))/$Q$559</f>
        <v>36.66666666666667</v>
      </c>
      <c r="R560" s="190"/>
      <c r="S560" s="190"/>
      <c r="T560" s="190"/>
      <c r="U560" s="190">
        <f>$AC$255/2-($AI$259*$O$257+$I$255*($O$257+$O$256))/$M$559</f>
        <v>-50</v>
      </c>
      <c r="V560" s="190"/>
      <c r="W560" s="190"/>
      <c r="X560" s="190"/>
      <c r="AH560" s="27"/>
      <c r="AQ560" s="29"/>
      <c r="AS560" s="4"/>
    </row>
    <row r="561" spans="1:45" ht="19.5" customHeight="1">
      <c r="A561" s="4"/>
      <c r="B561" s="4"/>
      <c r="C561" s="4"/>
      <c r="D561" s="4"/>
      <c r="F561" s="183" t="s">
        <v>469</v>
      </c>
      <c r="G561" s="183"/>
      <c r="H561" s="183"/>
      <c r="I561" s="204" t="s">
        <v>470</v>
      </c>
      <c r="J561" s="204"/>
      <c r="K561" s="204"/>
      <c r="L561" s="204"/>
      <c r="M561" s="213">
        <f>M559*M558/1000</f>
        <v>742.2775496472271</v>
      </c>
      <c r="N561" s="213"/>
      <c r="O561" s="213"/>
      <c r="P561" s="213"/>
      <c r="Q561" s="213">
        <f>Q559*Q558/1000</f>
        <v>746.2612700688917</v>
      </c>
      <c r="R561" s="213"/>
      <c r="S561" s="213"/>
      <c r="T561" s="213"/>
      <c r="U561" s="213">
        <f>U559*U558/1000</f>
        <v>742.2775496472271</v>
      </c>
      <c r="V561" s="213"/>
      <c r="W561" s="213"/>
      <c r="X561" s="213"/>
      <c r="AH561" s="27"/>
      <c r="AQ561" s="29"/>
      <c r="AS561" s="4"/>
    </row>
    <row r="562" spans="1:43" ht="19.5" customHeight="1">
      <c r="A562" s="4"/>
      <c r="B562" s="4"/>
      <c r="C562" s="4"/>
      <c r="D562" s="4"/>
      <c r="E562" s="4"/>
      <c r="F562" s="183" t="s">
        <v>471</v>
      </c>
      <c r="G562" s="183"/>
      <c r="H562" s="183"/>
      <c r="I562" s="204" t="s">
        <v>472</v>
      </c>
      <c r="J562" s="204"/>
      <c r="K562" s="204"/>
      <c r="L562" s="204"/>
      <c r="M562" s="254">
        <f>M560*M561/1000</f>
        <v>-37.11387748236136</v>
      </c>
      <c r="N562" s="254"/>
      <c r="O562" s="254"/>
      <c r="P562" s="254"/>
      <c r="Q562" s="254">
        <f>Q560*Q561/1000</f>
        <v>27.362913235859367</v>
      </c>
      <c r="R562" s="254"/>
      <c r="S562" s="254"/>
      <c r="T562" s="254"/>
      <c r="U562" s="254">
        <f>U560*U561/1000</f>
        <v>-37.11387748236136</v>
      </c>
      <c r="V562" s="254"/>
      <c r="W562" s="254"/>
      <c r="X562" s="254"/>
      <c r="AH562" s="27"/>
      <c r="AQ562" s="29"/>
    </row>
    <row r="563" spans="1:43" ht="19.5" customHeight="1">
      <c r="A563" s="4"/>
      <c r="B563" s="4"/>
      <c r="C563" s="4"/>
      <c r="D563" s="4"/>
      <c r="E563" s="4"/>
      <c r="F563" s="183" t="s">
        <v>473</v>
      </c>
      <c r="G563" s="183"/>
      <c r="H563" s="183"/>
      <c r="I563" s="204" t="s">
        <v>466</v>
      </c>
      <c r="J563" s="204"/>
      <c r="K563" s="204"/>
      <c r="L563" s="204"/>
      <c r="M563" s="205">
        <f>$AH$261*100</f>
        <v>380000</v>
      </c>
      <c r="N563" s="206"/>
      <c r="O563" s="206"/>
      <c r="P563" s="207"/>
      <c r="Q563" s="205">
        <f>$AH$246*100</f>
        <v>300000</v>
      </c>
      <c r="R563" s="206"/>
      <c r="S563" s="206"/>
      <c r="T563" s="207"/>
      <c r="U563" s="205">
        <f>$AH$261*100</f>
        <v>380000</v>
      </c>
      <c r="V563" s="206"/>
      <c r="W563" s="206"/>
      <c r="X563" s="207"/>
      <c r="AH563" s="27"/>
      <c r="AQ563" s="29"/>
    </row>
    <row r="564" spans="1:43" ht="19.5" customHeight="1">
      <c r="A564" s="4"/>
      <c r="B564" s="4"/>
      <c r="C564" s="4"/>
      <c r="D564" s="4"/>
      <c r="E564" s="4"/>
      <c r="F564" s="183" t="s">
        <v>474</v>
      </c>
      <c r="G564" s="183"/>
      <c r="H564" s="183"/>
      <c r="I564" s="287" t="s">
        <v>475</v>
      </c>
      <c r="J564" s="288"/>
      <c r="K564" s="288"/>
      <c r="L564" s="289"/>
      <c r="M564" s="205">
        <f>$AH$264</f>
        <v>-24066.666666666668</v>
      </c>
      <c r="N564" s="206"/>
      <c r="O564" s="206"/>
      <c r="P564" s="207"/>
      <c r="Q564" s="205">
        <f>$AH$249</f>
        <v>-15000</v>
      </c>
      <c r="R564" s="206"/>
      <c r="S564" s="206"/>
      <c r="T564" s="207"/>
      <c r="U564" s="205">
        <f>$AH$264</f>
        <v>-24066.666666666668</v>
      </c>
      <c r="V564" s="206"/>
      <c r="W564" s="206"/>
      <c r="X564" s="207"/>
      <c r="AH564" s="27"/>
      <c r="AQ564" s="29"/>
    </row>
    <row r="565" spans="1:43" ht="19.5" customHeight="1">
      <c r="A565" s="4"/>
      <c r="B565" s="4"/>
      <c r="C565" s="4"/>
      <c r="D565" s="4"/>
      <c r="E565" s="4"/>
      <c r="F565" s="183" t="s">
        <v>476</v>
      </c>
      <c r="G565" s="183"/>
      <c r="H565" s="183"/>
      <c r="I565" s="287" t="s">
        <v>475</v>
      </c>
      <c r="J565" s="288"/>
      <c r="K565" s="288"/>
      <c r="L565" s="289"/>
      <c r="M565" s="205">
        <f>$AH$265</f>
        <v>24066.666666666668</v>
      </c>
      <c r="N565" s="206"/>
      <c r="O565" s="206"/>
      <c r="P565" s="207"/>
      <c r="Q565" s="205">
        <f>$AH$250</f>
        <v>15000</v>
      </c>
      <c r="R565" s="206"/>
      <c r="S565" s="206"/>
      <c r="T565" s="207"/>
      <c r="U565" s="205">
        <f>$AH$265</f>
        <v>24066.666666666668</v>
      </c>
      <c r="V565" s="206"/>
      <c r="W565" s="206"/>
      <c r="X565" s="207"/>
      <c r="AH565" s="27"/>
      <c r="AQ565" s="29"/>
    </row>
    <row r="566" spans="1:43" ht="19.5" customHeight="1">
      <c r="A566" s="4"/>
      <c r="B566" s="4"/>
      <c r="C566" s="4"/>
      <c r="D566" s="4"/>
      <c r="E566" s="4"/>
      <c r="F566" s="183" t="s">
        <v>477</v>
      </c>
      <c r="G566" s="183"/>
      <c r="H566" s="183"/>
      <c r="I566" s="287" t="s">
        <v>475</v>
      </c>
      <c r="J566" s="288"/>
      <c r="K566" s="288"/>
      <c r="L566" s="289"/>
      <c r="M566" s="205">
        <f>$AH$266</f>
        <v>-50807.40740740741</v>
      </c>
      <c r="N566" s="206"/>
      <c r="O566" s="206"/>
      <c r="P566" s="207"/>
      <c r="Q566" s="205">
        <f>$AH$251</f>
        <v>45000</v>
      </c>
      <c r="R566" s="206"/>
      <c r="S566" s="206"/>
      <c r="T566" s="207"/>
      <c r="U566" s="205">
        <f>$AH$266</f>
        <v>-50807.40740740741</v>
      </c>
      <c r="V566" s="206"/>
      <c r="W566" s="206"/>
      <c r="X566" s="207"/>
      <c r="AH566" s="27"/>
      <c r="AQ566" s="29"/>
    </row>
    <row r="567" spans="1:43" ht="19.5" customHeight="1">
      <c r="A567" s="4"/>
      <c r="B567" s="4"/>
      <c r="C567" s="4"/>
      <c r="D567" s="4"/>
      <c r="F567" s="204" t="s">
        <v>478</v>
      </c>
      <c r="G567" s="204"/>
      <c r="H567" s="204"/>
      <c r="I567" s="204" t="s">
        <v>464</v>
      </c>
      <c r="J567" s="204"/>
      <c r="K567" s="204"/>
      <c r="L567" s="204"/>
      <c r="M567" s="213">
        <f>M561*10^3/M563+M562*10^6/(M564*10^3)</f>
        <v>3.495489845984172</v>
      </c>
      <c r="N567" s="213"/>
      <c r="O567" s="213"/>
      <c r="P567" s="213"/>
      <c r="Q567" s="213">
        <f>Q561*10^3/Q563+Q562*10^6/(Q564*10^3)</f>
        <v>0.6633433511723477</v>
      </c>
      <c r="R567" s="213"/>
      <c r="S567" s="213"/>
      <c r="T567" s="213"/>
      <c r="U567" s="213">
        <f>U561*10^3/U563+U562*10^6/(U564*10^3)</f>
        <v>3.495489845984172</v>
      </c>
      <c r="V567" s="213"/>
      <c r="W567" s="213"/>
      <c r="X567" s="213"/>
      <c r="AH567" s="27"/>
      <c r="AQ567" s="29"/>
    </row>
    <row r="568" spans="1:43" ht="19.5" customHeight="1">
      <c r="A568" s="4"/>
      <c r="B568" s="4"/>
      <c r="C568" s="4"/>
      <c r="E568" s="4"/>
      <c r="F568" s="204" t="s">
        <v>479</v>
      </c>
      <c r="G568" s="204"/>
      <c r="H568" s="204"/>
      <c r="I568" s="204" t="s">
        <v>464</v>
      </c>
      <c r="J568" s="204"/>
      <c r="K568" s="204"/>
      <c r="L568" s="204"/>
      <c r="M568" s="213">
        <f>M561*10^3/M563+M562*10^6/(M565*10^3)</f>
        <v>0.41123409952754963</v>
      </c>
      <c r="N568" s="213"/>
      <c r="O568" s="213"/>
      <c r="P568" s="213"/>
      <c r="Q568" s="213">
        <f>Q561*10^3/Q563+Q562*10^6/(Q565*10^3)</f>
        <v>4.311731782620264</v>
      </c>
      <c r="R568" s="213"/>
      <c r="S568" s="213"/>
      <c r="T568" s="213"/>
      <c r="U568" s="213">
        <f>U561*10^3/U563+U562*10^6/(U565*10^3)</f>
        <v>0.41123409952754963</v>
      </c>
      <c r="V568" s="213"/>
      <c r="W568" s="213"/>
      <c r="X568" s="213"/>
      <c r="AH568" s="27"/>
      <c r="AQ568" s="29"/>
    </row>
    <row r="569" spans="1:43" ht="19.5" customHeight="1">
      <c r="A569" s="4"/>
      <c r="B569" s="4"/>
      <c r="C569" s="4"/>
      <c r="E569" s="4"/>
      <c r="F569" s="204" t="s">
        <v>480</v>
      </c>
      <c r="G569" s="204"/>
      <c r="H569" s="204"/>
      <c r="I569" s="204" t="s">
        <v>464</v>
      </c>
      <c r="J569" s="204"/>
      <c r="K569" s="204"/>
      <c r="L569" s="204"/>
      <c r="M569" s="213">
        <f>M561*10^3/M563+M562*10^6/(M566*10^3)</f>
        <v>2.68384359691664</v>
      </c>
      <c r="N569" s="213"/>
      <c r="O569" s="213"/>
      <c r="P569" s="213"/>
      <c r="Q569" s="213">
        <f>Q561*10^3/Q563+Q562*10^6/(Q566*10^3)</f>
        <v>3.0956023054709583</v>
      </c>
      <c r="R569" s="213"/>
      <c r="S569" s="213"/>
      <c r="T569" s="213"/>
      <c r="U569" s="213">
        <f>U561*10^3/U563+U562*10^6/(U566*10^3)</f>
        <v>2.68384359691664</v>
      </c>
      <c r="V569" s="213"/>
      <c r="W569" s="213"/>
      <c r="X569" s="213"/>
      <c r="AH569" s="27"/>
      <c r="AQ569" s="29"/>
    </row>
    <row r="570" spans="1:43" ht="19.5" customHeight="1">
      <c r="A570" s="4"/>
      <c r="B570" s="4"/>
      <c r="C570" s="4"/>
      <c r="E570" s="4"/>
      <c r="F570" s="45"/>
      <c r="G570" s="45"/>
      <c r="H570" s="45"/>
      <c r="I570" s="45"/>
      <c r="J570" s="45"/>
      <c r="K570" s="45"/>
      <c r="L570" s="45"/>
      <c r="M570" s="46"/>
      <c r="N570" s="46"/>
      <c r="O570" s="46"/>
      <c r="P570" s="46"/>
      <c r="Q570" s="46"/>
      <c r="R570" s="46"/>
      <c r="S570" s="46"/>
      <c r="T570" s="46"/>
      <c r="U570" s="46"/>
      <c r="V570" s="46"/>
      <c r="W570" s="46"/>
      <c r="X570" s="46"/>
      <c r="AH570" s="27"/>
      <c r="AQ570" s="29"/>
    </row>
    <row r="571" spans="1:43" ht="19.5" customHeight="1">
      <c r="A571" s="4"/>
      <c r="B571" s="4"/>
      <c r="C571" s="4"/>
      <c r="D571" s="4"/>
      <c r="E571" s="4"/>
      <c r="F571" s="183" t="s">
        <v>917</v>
      </c>
      <c r="G571" s="183"/>
      <c r="H571" s="183"/>
      <c r="I571" s="183"/>
      <c r="J571" s="183"/>
      <c r="K571" s="183"/>
      <c r="L571" s="183"/>
      <c r="M571" s="204" t="s">
        <v>460</v>
      </c>
      <c r="N571" s="204"/>
      <c r="O571" s="204"/>
      <c r="P571" s="204"/>
      <c r="Q571" s="204" t="s">
        <v>461</v>
      </c>
      <c r="R571" s="204"/>
      <c r="S571" s="204"/>
      <c r="T571" s="204"/>
      <c r="U571" s="204" t="s">
        <v>462</v>
      </c>
      <c r="V571" s="204"/>
      <c r="W571" s="204"/>
      <c r="X571" s="204"/>
      <c r="AH571" s="27"/>
      <c r="AQ571" s="29"/>
    </row>
    <row r="572" spans="1:47" ht="19.5" customHeight="1">
      <c r="A572" s="4"/>
      <c r="B572" s="4"/>
      <c r="C572" s="4"/>
      <c r="D572" s="4"/>
      <c r="F572" s="183" t="s">
        <v>463</v>
      </c>
      <c r="G572" s="183"/>
      <c r="H572" s="183"/>
      <c r="I572" s="204" t="s">
        <v>464</v>
      </c>
      <c r="J572" s="204"/>
      <c r="K572" s="204"/>
      <c r="L572" s="204"/>
      <c r="M572" s="213">
        <f>M544</f>
        <v>215.90388296894332</v>
      </c>
      <c r="N572" s="213"/>
      <c r="O572" s="213"/>
      <c r="P572" s="213"/>
      <c r="Q572" s="213">
        <f>Q544</f>
        <v>222.7518082310444</v>
      </c>
      <c r="R572" s="213"/>
      <c r="S572" s="213"/>
      <c r="T572" s="213"/>
      <c r="U572" s="213">
        <f>U544</f>
        <v>215.90388296894332</v>
      </c>
      <c r="V572" s="213"/>
      <c r="W572" s="213"/>
      <c r="X572" s="213"/>
      <c r="AH572" s="27"/>
      <c r="AQ572" s="29"/>
      <c r="AS572" s="4"/>
      <c r="AT572" s="4"/>
      <c r="AU572" s="4"/>
    </row>
    <row r="573" spans="1:47" ht="19.5" customHeight="1">
      <c r="A573" s="4"/>
      <c r="B573" s="4"/>
      <c r="C573" s="4"/>
      <c r="D573" s="4"/>
      <c r="F573" s="183" t="s">
        <v>465</v>
      </c>
      <c r="G573" s="183"/>
      <c r="H573" s="183"/>
      <c r="I573" s="204" t="s">
        <v>466</v>
      </c>
      <c r="J573" s="204"/>
      <c r="K573" s="204"/>
      <c r="L573" s="204"/>
      <c r="M573" s="190">
        <f>$I$255+$AI$259</f>
        <v>3438</v>
      </c>
      <c r="N573" s="190"/>
      <c r="O573" s="190"/>
      <c r="P573" s="190"/>
      <c r="Q573" s="190">
        <f>$I$240+$AI$244</f>
        <v>3438</v>
      </c>
      <c r="R573" s="190"/>
      <c r="S573" s="190"/>
      <c r="T573" s="190"/>
      <c r="U573" s="190">
        <f>$I$255+$AI$259</f>
        <v>3438</v>
      </c>
      <c r="V573" s="190"/>
      <c r="W573" s="190"/>
      <c r="X573" s="190"/>
      <c r="AH573" s="27"/>
      <c r="AQ573" s="29"/>
      <c r="AS573" s="4"/>
      <c r="AT573" s="4"/>
      <c r="AU573" s="4"/>
    </row>
    <row r="574" spans="1:45" ht="19.5" customHeight="1">
      <c r="A574" s="4"/>
      <c r="B574" s="4"/>
      <c r="C574" s="4"/>
      <c r="D574" s="4"/>
      <c r="F574" s="183" t="s">
        <v>467</v>
      </c>
      <c r="G574" s="183"/>
      <c r="H574" s="183"/>
      <c r="I574" s="204" t="s">
        <v>468</v>
      </c>
      <c r="J574" s="204"/>
      <c r="K574" s="204"/>
      <c r="L574" s="204"/>
      <c r="M574" s="190">
        <f>$AC$255/2-($AI$259*$O$257+$I$255*($O$257+$O$256))/M573</f>
        <v>-50</v>
      </c>
      <c r="N574" s="190"/>
      <c r="O574" s="190"/>
      <c r="P574" s="190"/>
      <c r="Q574" s="190">
        <f>$AC$240/2-($AI$244*$O$242+$I$240*($O$242+$O$241))/Q573</f>
        <v>36.66666666666667</v>
      </c>
      <c r="R574" s="190"/>
      <c r="S574" s="190"/>
      <c r="T574" s="190"/>
      <c r="U574" s="190">
        <f>$AC$255/2-($AI$259*$O$257+$I$255*($O$257+$O$256))/U573</f>
        <v>-50</v>
      </c>
      <c r="V574" s="190"/>
      <c r="W574" s="190"/>
      <c r="X574" s="190"/>
      <c r="AH574" s="27"/>
      <c r="AQ574" s="29"/>
      <c r="AS574" s="4"/>
    </row>
    <row r="575" spans="1:45" ht="19.5" customHeight="1">
      <c r="A575" s="4"/>
      <c r="B575" s="4"/>
      <c r="C575" s="4"/>
      <c r="D575" s="4"/>
      <c r="F575" s="183" t="s">
        <v>469</v>
      </c>
      <c r="G575" s="183"/>
      <c r="H575" s="183"/>
      <c r="I575" s="204" t="s">
        <v>470</v>
      </c>
      <c r="J575" s="204"/>
      <c r="K575" s="204"/>
      <c r="L575" s="204"/>
      <c r="M575" s="213">
        <f>M573*M572/1000</f>
        <v>742.2775496472271</v>
      </c>
      <c r="N575" s="213"/>
      <c r="O575" s="213"/>
      <c r="P575" s="213"/>
      <c r="Q575" s="213">
        <f>Q573*Q572/1000</f>
        <v>765.8207166983307</v>
      </c>
      <c r="R575" s="213"/>
      <c r="S575" s="213"/>
      <c r="T575" s="213"/>
      <c r="U575" s="213">
        <f>U573*U572/1000</f>
        <v>742.2775496472271</v>
      </c>
      <c r="V575" s="213"/>
      <c r="W575" s="213"/>
      <c r="X575" s="213"/>
      <c r="AH575" s="27"/>
      <c r="AQ575" s="29"/>
      <c r="AS575" s="4"/>
    </row>
    <row r="576" spans="1:43" ht="19.5" customHeight="1">
      <c r="A576" s="4"/>
      <c r="B576" s="4"/>
      <c r="C576" s="4"/>
      <c r="D576" s="4"/>
      <c r="E576" s="4"/>
      <c r="F576" s="183" t="s">
        <v>471</v>
      </c>
      <c r="G576" s="183"/>
      <c r="H576" s="183"/>
      <c r="I576" s="204" t="s">
        <v>472</v>
      </c>
      <c r="J576" s="204"/>
      <c r="K576" s="204"/>
      <c r="L576" s="204"/>
      <c r="M576" s="254">
        <f>M574*M575/1000</f>
        <v>-37.11387748236136</v>
      </c>
      <c r="N576" s="254"/>
      <c r="O576" s="254"/>
      <c r="P576" s="254"/>
      <c r="Q576" s="254">
        <f>Q574*Q575/1000</f>
        <v>28.08009294560546</v>
      </c>
      <c r="R576" s="254"/>
      <c r="S576" s="254"/>
      <c r="T576" s="254"/>
      <c r="U576" s="254">
        <f>U574*U575/1000</f>
        <v>-37.11387748236136</v>
      </c>
      <c r="V576" s="254"/>
      <c r="W576" s="254"/>
      <c r="X576" s="254"/>
      <c r="AH576" s="27"/>
      <c r="AQ576" s="29"/>
    </row>
    <row r="577" spans="1:43" ht="19.5" customHeight="1">
      <c r="A577" s="4"/>
      <c r="B577" s="4"/>
      <c r="C577" s="4"/>
      <c r="D577" s="4"/>
      <c r="E577" s="4"/>
      <c r="F577" s="183" t="s">
        <v>473</v>
      </c>
      <c r="G577" s="183"/>
      <c r="H577" s="183"/>
      <c r="I577" s="204" t="s">
        <v>466</v>
      </c>
      <c r="J577" s="204"/>
      <c r="K577" s="204"/>
      <c r="L577" s="204"/>
      <c r="M577" s="205">
        <f>$AH$261*100</f>
        <v>380000</v>
      </c>
      <c r="N577" s="206"/>
      <c r="O577" s="206"/>
      <c r="P577" s="207"/>
      <c r="Q577" s="205">
        <f>$AH$246*100</f>
        <v>300000</v>
      </c>
      <c r="R577" s="206"/>
      <c r="S577" s="206"/>
      <c r="T577" s="207"/>
      <c r="U577" s="205">
        <f>$AH$261*100</f>
        <v>380000</v>
      </c>
      <c r="V577" s="206"/>
      <c r="W577" s="206"/>
      <c r="X577" s="207"/>
      <c r="AH577" s="27"/>
      <c r="AQ577" s="29"/>
    </row>
    <row r="578" spans="1:43" ht="19.5" customHeight="1">
      <c r="A578" s="4"/>
      <c r="B578" s="4"/>
      <c r="C578" s="4"/>
      <c r="D578" s="4"/>
      <c r="E578" s="4"/>
      <c r="F578" s="183" t="s">
        <v>474</v>
      </c>
      <c r="G578" s="183"/>
      <c r="H578" s="183"/>
      <c r="I578" s="287" t="s">
        <v>475</v>
      </c>
      <c r="J578" s="288"/>
      <c r="K578" s="288"/>
      <c r="L578" s="289"/>
      <c r="M578" s="205">
        <f>$AH$264</f>
        <v>-24066.666666666668</v>
      </c>
      <c r="N578" s="206"/>
      <c r="O578" s="206"/>
      <c r="P578" s="207"/>
      <c r="Q578" s="205">
        <f>$AH$249</f>
        <v>-15000</v>
      </c>
      <c r="R578" s="206"/>
      <c r="S578" s="206"/>
      <c r="T578" s="207"/>
      <c r="U578" s="205">
        <f>$AH$264</f>
        <v>-24066.666666666668</v>
      </c>
      <c r="V578" s="206"/>
      <c r="W578" s="206"/>
      <c r="X578" s="207"/>
      <c r="AH578" s="27"/>
      <c r="AQ578" s="29"/>
    </row>
    <row r="579" spans="1:43" ht="19.5" customHeight="1">
      <c r="A579" s="4"/>
      <c r="B579" s="4"/>
      <c r="C579" s="4"/>
      <c r="D579" s="4"/>
      <c r="E579" s="4"/>
      <c r="F579" s="183" t="s">
        <v>476</v>
      </c>
      <c r="G579" s="183"/>
      <c r="H579" s="183"/>
      <c r="I579" s="287" t="s">
        <v>475</v>
      </c>
      <c r="J579" s="288"/>
      <c r="K579" s="288"/>
      <c r="L579" s="289"/>
      <c r="M579" s="205">
        <f>$AH$265</f>
        <v>24066.666666666668</v>
      </c>
      <c r="N579" s="206"/>
      <c r="O579" s="206"/>
      <c r="P579" s="207"/>
      <c r="Q579" s="205">
        <f>$AH$250</f>
        <v>15000</v>
      </c>
      <c r="R579" s="206"/>
      <c r="S579" s="206"/>
      <c r="T579" s="207"/>
      <c r="U579" s="205">
        <f>$AH$265</f>
        <v>24066.666666666668</v>
      </c>
      <c r="V579" s="206"/>
      <c r="W579" s="206"/>
      <c r="X579" s="207"/>
      <c r="AH579" s="27"/>
      <c r="AQ579" s="29"/>
    </row>
    <row r="580" spans="1:43" ht="19.5" customHeight="1">
      <c r="A580" s="4"/>
      <c r="B580" s="4"/>
      <c r="C580" s="4"/>
      <c r="D580" s="4"/>
      <c r="E580" s="4"/>
      <c r="F580" s="183" t="s">
        <v>477</v>
      </c>
      <c r="G580" s="183"/>
      <c r="H580" s="183"/>
      <c r="I580" s="287" t="s">
        <v>475</v>
      </c>
      <c r="J580" s="288"/>
      <c r="K580" s="288"/>
      <c r="L580" s="289"/>
      <c r="M580" s="205">
        <f>$AH$266</f>
        <v>-50807.40740740741</v>
      </c>
      <c r="N580" s="206"/>
      <c r="O580" s="206"/>
      <c r="P580" s="207"/>
      <c r="Q580" s="205">
        <f>$AH$251</f>
        <v>45000</v>
      </c>
      <c r="R580" s="206"/>
      <c r="S580" s="206"/>
      <c r="T580" s="207"/>
      <c r="U580" s="205">
        <f>$AH$266</f>
        <v>-50807.40740740741</v>
      </c>
      <c r="V580" s="206"/>
      <c r="W580" s="206"/>
      <c r="X580" s="207"/>
      <c r="AH580" s="27"/>
      <c r="AQ580" s="29"/>
    </row>
    <row r="581" spans="1:43" ht="19.5" customHeight="1">
      <c r="A581" s="4"/>
      <c r="B581" s="4"/>
      <c r="C581" s="4"/>
      <c r="D581" s="4"/>
      <c r="F581" s="204" t="s">
        <v>478</v>
      </c>
      <c r="G581" s="204"/>
      <c r="H581" s="204"/>
      <c r="I581" s="204" t="s">
        <v>464</v>
      </c>
      <c r="J581" s="204"/>
      <c r="K581" s="204"/>
      <c r="L581" s="204"/>
      <c r="M581" s="213">
        <f>M575*10^3/M577+M576*10^6/(M578*10^3)</f>
        <v>3.495489845984172</v>
      </c>
      <c r="N581" s="213"/>
      <c r="O581" s="213"/>
      <c r="P581" s="213"/>
      <c r="Q581" s="213">
        <f>Q575*10^3/Q577+Q576*10^6/(Q578*10^3)</f>
        <v>0.6807295259540715</v>
      </c>
      <c r="R581" s="213"/>
      <c r="S581" s="213"/>
      <c r="T581" s="213"/>
      <c r="U581" s="213">
        <f>U575*10^3/U577+U576*10^6/(U578*10^3)</f>
        <v>3.495489845984172</v>
      </c>
      <c r="V581" s="213"/>
      <c r="W581" s="213"/>
      <c r="X581" s="213"/>
      <c r="AH581" s="27"/>
      <c r="AQ581" s="29"/>
    </row>
    <row r="582" spans="1:43" ht="19.5" customHeight="1">
      <c r="A582" s="4"/>
      <c r="B582" s="4"/>
      <c r="C582" s="4"/>
      <c r="E582" s="4"/>
      <c r="F582" s="204" t="s">
        <v>479</v>
      </c>
      <c r="G582" s="204"/>
      <c r="H582" s="204"/>
      <c r="I582" s="204" t="s">
        <v>464</v>
      </c>
      <c r="J582" s="204"/>
      <c r="K582" s="204"/>
      <c r="L582" s="204"/>
      <c r="M582" s="213">
        <f>M575*10^3/M577+M576*10^6/(M579*10^3)</f>
        <v>0.41123409952754963</v>
      </c>
      <c r="N582" s="213"/>
      <c r="O582" s="213"/>
      <c r="P582" s="213"/>
      <c r="Q582" s="213">
        <f>Q575*10^3/Q577+Q576*10^6/(Q579*10^3)</f>
        <v>4.424741918701466</v>
      </c>
      <c r="R582" s="213"/>
      <c r="S582" s="213"/>
      <c r="T582" s="213"/>
      <c r="U582" s="213">
        <f>U575*10^3/U577+U576*10^6/(U579*10^3)</f>
        <v>0.41123409952754963</v>
      </c>
      <c r="V582" s="213"/>
      <c r="W582" s="213"/>
      <c r="X582" s="213"/>
      <c r="AH582" s="27"/>
      <c r="AQ582" s="29"/>
    </row>
    <row r="583" spans="1:43" ht="19.5" customHeight="1">
      <c r="A583" s="4"/>
      <c r="B583" s="4"/>
      <c r="C583" s="4"/>
      <c r="E583" s="4"/>
      <c r="F583" s="204" t="s">
        <v>480</v>
      </c>
      <c r="G583" s="204"/>
      <c r="H583" s="204"/>
      <c r="I583" s="204" t="s">
        <v>464</v>
      </c>
      <c r="J583" s="204"/>
      <c r="K583" s="204"/>
      <c r="L583" s="204"/>
      <c r="M583" s="213">
        <f>M575*10^3/M577+M576*10^6/(M580*10^3)</f>
        <v>2.68384359691664</v>
      </c>
      <c r="N583" s="213"/>
      <c r="O583" s="213"/>
      <c r="P583" s="213"/>
      <c r="Q583" s="213">
        <f>Q575*10^3/Q577+Q576*10^6/(Q580*10^3)</f>
        <v>3.176737787785668</v>
      </c>
      <c r="R583" s="213"/>
      <c r="S583" s="213"/>
      <c r="T583" s="213"/>
      <c r="U583" s="213">
        <f>U575*10^3/U577+U576*10^6/(U580*10^3)</f>
        <v>2.68384359691664</v>
      </c>
      <c r="V583" s="213"/>
      <c r="W583" s="213"/>
      <c r="X583" s="213"/>
      <c r="AH583" s="27"/>
      <c r="AQ583" s="29"/>
    </row>
    <row r="584" spans="1:43" ht="19.5" customHeight="1">
      <c r="A584" s="4"/>
      <c r="B584" s="4"/>
      <c r="C584" s="4"/>
      <c r="E584" s="4"/>
      <c r="F584" s="45"/>
      <c r="G584" s="45"/>
      <c r="H584" s="45"/>
      <c r="I584" s="45"/>
      <c r="J584" s="45"/>
      <c r="K584" s="45"/>
      <c r="L584" s="45"/>
      <c r="M584" s="46"/>
      <c r="N584" s="46"/>
      <c r="O584" s="46"/>
      <c r="P584" s="46"/>
      <c r="Q584" s="46"/>
      <c r="R584" s="46"/>
      <c r="S584" s="46"/>
      <c r="T584" s="46"/>
      <c r="U584" s="46"/>
      <c r="V584" s="46"/>
      <c r="W584" s="46"/>
      <c r="X584" s="46"/>
      <c r="AH584" s="27"/>
      <c r="AQ584" s="29"/>
    </row>
    <row r="585" spans="1:43" ht="19.5" customHeight="1">
      <c r="A585" s="4"/>
      <c r="B585" s="4"/>
      <c r="C585" s="4"/>
      <c r="D585" s="100" t="s">
        <v>997</v>
      </c>
      <c r="E585" s="4"/>
      <c r="F585" s="4"/>
      <c r="G585" s="4"/>
      <c r="H585" s="4"/>
      <c r="I585" s="4"/>
      <c r="J585" s="4"/>
      <c r="K585" s="4"/>
      <c r="L585" s="4"/>
      <c r="M585" s="4"/>
      <c r="AH585" s="27"/>
      <c r="AQ585" s="29"/>
    </row>
    <row r="586" spans="1:12" ht="19.5" customHeight="1">
      <c r="A586" s="4"/>
      <c r="B586" s="4"/>
      <c r="C586" s="4"/>
      <c r="D586" s="4"/>
      <c r="E586" s="4" t="s">
        <v>481</v>
      </c>
      <c r="F586" s="4"/>
      <c r="G586" s="4"/>
      <c r="H586" s="30" t="s">
        <v>482</v>
      </c>
      <c r="I586" s="4"/>
      <c r="J586" s="4"/>
      <c r="K586" s="4"/>
      <c r="L586" s="4"/>
    </row>
    <row r="587" spans="1:19" ht="19.5" customHeight="1">
      <c r="A587" s="4"/>
      <c r="B587" s="4"/>
      <c r="C587" s="4"/>
      <c r="D587" s="4"/>
      <c r="E587" s="4"/>
      <c r="F587" s="4"/>
      <c r="G587" s="4"/>
      <c r="H587" s="4" t="s">
        <v>483</v>
      </c>
      <c r="I587" s="42">
        <f>AH589</f>
        <v>0.05</v>
      </c>
      <c r="J587" s="42"/>
      <c r="K587" s="27" t="s">
        <v>484</v>
      </c>
      <c r="L587" s="237">
        <f>P467</f>
        <v>1243.5946626495727</v>
      </c>
      <c r="M587" s="237"/>
      <c r="N587" s="237"/>
      <c r="O587" s="27" t="s">
        <v>483</v>
      </c>
      <c r="P587" s="237">
        <f>I587*L587</f>
        <v>62.17973313247864</v>
      </c>
      <c r="Q587" s="237"/>
      <c r="R587" s="237"/>
      <c r="S587" s="29" t="s">
        <v>485</v>
      </c>
    </row>
    <row r="588" spans="1:43" ht="19.5" customHeight="1">
      <c r="A588" s="4"/>
      <c r="B588" s="4"/>
      <c r="C588" s="4"/>
      <c r="D588" s="4"/>
      <c r="F588" s="4" t="s">
        <v>929</v>
      </c>
      <c r="H588" s="4"/>
      <c r="I588" s="4"/>
      <c r="J588" s="4" t="s">
        <v>486</v>
      </c>
      <c r="K588" s="4"/>
      <c r="L588" s="4"/>
      <c r="M588" s="4" t="s">
        <v>998</v>
      </c>
      <c r="AQ588" s="29"/>
    </row>
    <row r="589" spans="1:43" ht="19.5" customHeight="1">
      <c r="A589" s="4"/>
      <c r="B589" s="4"/>
      <c r="C589" s="4"/>
      <c r="D589" s="4"/>
      <c r="E589" s="4"/>
      <c r="F589" s="4"/>
      <c r="H589" s="4"/>
      <c r="I589" s="4"/>
      <c r="J589" s="4" t="s">
        <v>487</v>
      </c>
      <c r="K589" s="4"/>
      <c r="L589" s="4"/>
      <c r="M589" s="4" t="s">
        <v>999</v>
      </c>
      <c r="AF589" s="27" t="s">
        <v>488</v>
      </c>
      <c r="AH589" s="327">
        <v>0.05</v>
      </c>
      <c r="AI589" s="337"/>
      <c r="AJ589" s="29" t="s">
        <v>489</v>
      </c>
      <c r="AQ589" s="29"/>
    </row>
    <row r="590" spans="1:43" ht="19.5" customHeight="1">
      <c r="A590" s="4"/>
      <c r="B590" s="4"/>
      <c r="C590" s="4"/>
      <c r="D590" s="4"/>
      <c r="E590" s="4"/>
      <c r="F590" s="4"/>
      <c r="H590" s="4"/>
      <c r="I590" s="4"/>
      <c r="J590" s="4" t="s">
        <v>149</v>
      </c>
      <c r="K590" s="4"/>
      <c r="L590" s="4"/>
      <c r="M590" s="4" t="s">
        <v>1216</v>
      </c>
      <c r="AH590" s="27"/>
      <c r="AQ590" s="29"/>
    </row>
    <row r="591" spans="1:43" ht="19.5" customHeight="1">
      <c r="A591" s="4"/>
      <c r="B591" s="4"/>
      <c r="C591" s="4"/>
      <c r="D591" s="4"/>
      <c r="E591" s="4"/>
      <c r="F591" s="4"/>
      <c r="G591" s="4"/>
      <c r="H591" s="4"/>
      <c r="I591" s="4"/>
      <c r="J591" s="4"/>
      <c r="K591" s="4"/>
      <c r="L591" s="4"/>
      <c r="M591" s="4"/>
      <c r="AH591" s="27"/>
      <c r="AQ591" s="29"/>
    </row>
    <row r="592" spans="1:12" ht="19.5" customHeight="1">
      <c r="A592" s="4" t="s">
        <v>380</v>
      </c>
      <c r="B592" s="4"/>
      <c r="C592" s="4"/>
      <c r="D592" s="4"/>
      <c r="E592" s="4" t="s">
        <v>996</v>
      </c>
      <c r="F592" s="4"/>
      <c r="G592" s="4"/>
      <c r="H592" s="4"/>
      <c r="I592" s="4"/>
      <c r="J592" s="4"/>
      <c r="K592" s="4"/>
      <c r="L592" s="4"/>
    </row>
    <row r="593" spans="1:23" ht="19.5" customHeight="1">
      <c r="A593" s="4"/>
      <c r="B593" s="4"/>
      <c r="C593" s="4"/>
      <c r="D593" s="4"/>
      <c r="E593" s="183" t="s">
        <v>1021</v>
      </c>
      <c r="F593" s="183"/>
      <c r="G593" s="183"/>
      <c r="H593" s="183"/>
      <c r="I593" s="183"/>
      <c r="J593" s="183"/>
      <c r="K593" s="183"/>
      <c r="L593" s="204" t="s">
        <v>376</v>
      </c>
      <c r="M593" s="204"/>
      <c r="N593" s="204"/>
      <c r="O593" s="204"/>
      <c r="P593" s="204" t="s">
        <v>377</v>
      </c>
      <c r="Q593" s="204"/>
      <c r="R593" s="204"/>
      <c r="S593" s="204"/>
      <c r="T593" s="204" t="s">
        <v>378</v>
      </c>
      <c r="U593" s="204"/>
      <c r="V593" s="204"/>
      <c r="W593" s="204"/>
    </row>
    <row r="594" spans="1:46" ht="19.5" customHeight="1">
      <c r="A594" s="4"/>
      <c r="B594" s="4"/>
      <c r="C594" s="4"/>
      <c r="E594" s="183" t="s">
        <v>396</v>
      </c>
      <c r="F594" s="183"/>
      <c r="G594" s="183"/>
      <c r="H594" s="204" t="s">
        <v>325</v>
      </c>
      <c r="I594" s="204"/>
      <c r="J594" s="204"/>
      <c r="K594" s="204"/>
      <c r="L594" s="213">
        <f>L427</f>
        <v>1244.4749098786547</v>
      </c>
      <c r="M594" s="213"/>
      <c r="N594" s="213"/>
      <c r="O594" s="213"/>
      <c r="P594" s="213">
        <f>P427</f>
        <v>1243.5946626495727</v>
      </c>
      <c r="Q594" s="213"/>
      <c r="R594" s="213"/>
      <c r="S594" s="213"/>
      <c r="T594" s="213">
        <f>T427</f>
        <v>1244.4749098786547</v>
      </c>
      <c r="U594" s="213"/>
      <c r="V594" s="213"/>
      <c r="W594" s="213"/>
      <c r="AR594" s="4"/>
      <c r="AS594" s="4"/>
      <c r="AT594" s="4"/>
    </row>
    <row r="595" spans="1:46" ht="19.5" customHeight="1">
      <c r="A595" s="4"/>
      <c r="B595" s="4"/>
      <c r="C595" s="4"/>
      <c r="E595" s="183" t="s">
        <v>490</v>
      </c>
      <c r="F595" s="183"/>
      <c r="G595" s="183"/>
      <c r="H595" s="204"/>
      <c r="I595" s="204"/>
      <c r="J595" s="204"/>
      <c r="K595" s="204"/>
      <c r="L595" s="290">
        <f>AH589</f>
        <v>0.05</v>
      </c>
      <c r="M595" s="290"/>
      <c r="N595" s="290"/>
      <c r="O595" s="290"/>
      <c r="P595" s="290">
        <f>AH589</f>
        <v>0.05</v>
      </c>
      <c r="Q595" s="290"/>
      <c r="R595" s="290"/>
      <c r="S595" s="290"/>
      <c r="T595" s="290">
        <f>AH589</f>
        <v>0.05</v>
      </c>
      <c r="U595" s="290"/>
      <c r="V595" s="290"/>
      <c r="W595" s="290"/>
      <c r="AR595" s="4"/>
      <c r="AS595" s="4"/>
      <c r="AT595" s="4"/>
    </row>
    <row r="596" spans="1:44" ht="19.5" customHeight="1">
      <c r="A596" s="4"/>
      <c r="B596" s="4"/>
      <c r="C596" s="4"/>
      <c r="E596" s="183" t="s">
        <v>491</v>
      </c>
      <c r="F596" s="183"/>
      <c r="G596" s="183"/>
      <c r="H596" s="204" t="s">
        <v>402</v>
      </c>
      <c r="I596" s="204"/>
      <c r="J596" s="204"/>
      <c r="K596" s="204"/>
      <c r="L596" s="190">
        <f>L594*L595</f>
        <v>62.22374549393274</v>
      </c>
      <c r="M596" s="190"/>
      <c r="N596" s="190"/>
      <c r="O596" s="190"/>
      <c r="P596" s="190">
        <f>P594*P595</f>
        <v>62.17973313247864</v>
      </c>
      <c r="Q596" s="190"/>
      <c r="R596" s="190"/>
      <c r="S596" s="190"/>
      <c r="T596" s="190">
        <f>T594*T595</f>
        <v>62.22374549393274</v>
      </c>
      <c r="U596" s="190"/>
      <c r="V596" s="190"/>
      <c r="W596" s="190"/>
      <c r="AR596" s="4"/>
    </row>
    <row r="597" spans="1:12" ht="19.5" customHeight="1">
      <c r="A597" s="4"/>
      <c r="B597" s="4"/>
      <c r="C597" s="4"/>
      <c r="D597" s="4"/>
      <c r="E597" s="4"/>
      <c r="F597" s="4"/>
      <c r="G597" s="4"/>
      <c r="H597" s="4"/>
      <c r="I597" s="4"/>
      <c r="J597" s="4"/>
      <c r="K597" s="4"/>
      <c r="L597" s="4"/>
    </row>
    <row r="598" spans="1:23" ht="19.5" customHeight="1">
      <c r="A598" s="4"/>
      <c r="B598" s="4"/>
      <c r="C598" s="4"/>
      <c r="D598" s="4"/>
      <c r="E598" s="183" t="s">
        <v>917</v>
      </c>
      <c r="F598" s="183"/>
      <c r="G598" s="183"/>
      <c r="H598" s="183"/>
      <c r="I598" s="183"/>
      <c r="J598" s="183"/>
      <c r="K598" s="183"/>
      <c r="L598" s="204" t="s">
        <v>376</v>
      </c>
      <c r="M598" s="204"/>
      <c r="N598" s="204"/>
      <c r="O598" s="204"/>
      <c r="P598" s="204" t="s">
        <v>377</v>
      </c>
      <c r="Q598" s="204"/>
      <c r="R598" s="204"/>
      <c r="S598" s="204"/>
      <c r="T598" s="204" t="s">
        <v>378</v>
      </c>
      <c r="U598" s="204"/>
      <c r="V598" s="204"/>
      <c r="W598" s="204"/>
    </row>
    <row r="599" spans="1:46" ht="19.5" customHeight="1">
      <c r="A599" s="4"/>
      <c r="B599" s="4"/>
      <c r="C599" s="4"/>
      <c r="E599" s="183" t="s">
        <v>396</v>
      </c>
      <c r="F599" s="183"/>
      <c r="G599" s="183"/>
      <c r="H599" s="204" t="s">
        <v>325</v>
      </c>
      <c r="I599" s="204"/>
      <c r="J599" s="204"/>
      <c r="K599" s="204"/>
      <c r="L599" s="213">
        <f>L443</f>
        <v>1244.4749098786547</v>
      </c>
      <c r="M599" s="213"/>
      <c r="N599" s="213"/>
      <c r="O599" s="213"/>
      <c r="P599" s="213">
        <f>P443</f>
        <v>1243.1412331623933</v>
      </c>
      <c r="Q599" s="213"/>
      <c r="R599" s="213"/>
      <c r="S599" s="213"/>
      <c r="T599" s="213">
        <f>T443</f>
        <v>1244.4749098786547</v>
      </c>
      <c r="U599" s="213"/>
      <c r="V599" s="213"/>
      <c r="W599" s="213"/>
      <c r="AR599" s="4"/>
      <c r="AS599" s="4"/>
      <c r="AT599" s="4"/>
    </row>
    <row r="600" spans="1:46" ht="19.5" customHeight="1">
      <c r="A600" s="4"/>
      <c r="B600" s="4"/>
      <c r="C600" s="4"/>
      <c r="E600" s="183" t="s">
        <v>490</v>
      </c>
      <c r="F600" s="183"/>
      <c r="G600" s="183"/>
      <c r="H600" s="204"/>
      <c r="I600" s="204"/>
      <c r="J600" s="204"/>
      <c r="K600" s="204"/>
      <c r="L600" s="290">
        <f>AH589</f>
        <v>0.05</v>
      </c>
      <c r="M600" s="290"/>
      <c r="N600" s="290"/>
      <c r="O600" s="290"/>
      <c r="P600" s="290">
        <f>AH589</f>
        <v>0.05</v>
      </c>
      <c r="Q600" s="290"/>
      <c r="R600" s="290"/>
      <c r="S600" s="290"/>
      <c r="T600" s="290">
        <f>AH589</f>
        <v>0.05</v>
      </c>
      <c r="U600" s="290"/>
      <c r="V600" s="290"/>
      <c r="W600" s="290"/>
      <c r="AR600" s="4"/>
      <c r="AS600" s="4"/>
      <c r="AT600" s="4"/>
    </row>
    <row r="601" spans="1:44" ht="19.5" customHeight="1">
      <c r="A601" s="4"/>
      <c r="B601" s="4"/>
      <c r="C601" s="4"/>
      <c r="E601" s="183" t="s">
        <v>491</v>
      </c>
      <c r="F601" s="183"/>
      <c r="G601" s="183"/>
      <c r="H601" s="204" t="s">
        <v>402</v>
      </c>
      <c r="I601" s="204"/>
      <c r="J601" s="204"/>
      <c r="K601" s="204"/>
      <c r="L601" s="190">
        <f>L599*L600</f>
        <v>62.22374549393274</v>
      </c>
      <c r="M601" s="190"/>
      <c r="N601" s="190"/>
      <c r="O601" s="190"/>
      <c r="P601" s="190">
        <f>P599*P600</f>
        <v>62.157061658119666</v>
      </c>
      <c r="Q601" s="190"/>
      <c r="R601" s="190"/>
      <c r="S601" s="190"/>
      <c r="T601" s="190">
        <f>T599*T600</f>
        <v>62.22374549393274</v>
      </c>
      <c r="U601" s="190"/>
      <c r="V601" s="190"/>
      <c r="W601" s="190"/>
      <c r="AR601" s="4"/>
    </row>
    <row r="602" spans="1:12" ht="19.5" customHeight="1">
      <c r="A602" s="4"/>
      <c r="B602" s="4"/>
      <c r="C602" s="4"/>
      <c r="D602" s="4"/>
      <c r="E602" s="4"/>
      <c r="F602" s="4"/>
      <c r="G602" s="4"/>
      <c r="H602" s="4"/>
      <c r="I602" s="4"/>
      <c r="J602" s="4"/>
      <c r="K602" s="4"/>
      <c r="L602" s="4"/>
    </row>
    <row r="603" spans="1:43" ht="19.5" customHeight="1">
      <c r="A603" s="4"/>
      <c r="B603" s="4"/>
      <c r="C603" s="4"/>
      <c r="D603" s="4" t="s">
        <v>1217</v>
      </c>
      <c r="E603" s="4"/>
      <c r="F603" s="4"/>
      <c r="G603" s="4"/>
      <c r="H603" s="4"/>
      <c r="I603" s="4"/>
      <c r="J603" s="4"/>
      <c r="K603" s="4"/>
      <c r="L603" s="4"/>
      <c r="M603" s="4"/>
      <c r="AH603" s="27"/>
      <c r="AQ603" s="29"/>
    </row>
    <row r="604" spans="1:42" ht="19.5" customHeight="1">
      <c r="A604" s="4"/>
      <c r="B604" s="4"/>
      <c r="C604" s="4"/>
      <c r="D604" s="4"/>
      <c r="F604" s="235" t="s">
        <v>492</v>
      </c>
      <c r="G604" s="235"/>
      <c r="H604" s="235"/>
      <c r="I604" s="30" t="s">
        <v>493</v>
      </c>
      <c r="J604" s="4"/>
      <c r="K604" s="4"/>
      <c r="L604" s="4"/>
      <c r="M604" s="4"/>
      <c r="N604" s="4"/>
      <c r="AH604" s="27"/>
      <c r="AI604" s="27"/>
      <c r="AJ604" s="27"/>
      <c r="AK604" s="27"/>
      <c r="AL604" s="27"/>
      <c r="AM604" s="27"/>
      <c r="AN604" s="27"/>
      <c r="AO604" s="27"/>
      <c r="AP604" s="27"/>
    </row>
    <row r="605" spans="1:42" ht="19.5" customHeight="1">
      <c r="A605" s="4"/>
      <c r="B605" s="4"/>
      <c r="C605" s="4"/>
      <c r="D605" s="4"/>
      <c r="F605" s="4"/>
      <c r="G605" s="4"/>
      <c r="H605" s="4"/>
      <c r="I605" s="4" t="s">
        <v>494</v>
      </c>
      <c r="J605" s="237">
        <f>P594</f>
        <v>1243.5946626495727</v>
      </c>
      <c r="K605" s="237"/>
      <c r="L605" s="237"/>
      <c r="M605" s="4" t="s">
        <v>495</v>
      </c>
      <c r="N605" s="237">
        <f>Q534</f>
        <v>217.0626149124176</v>
      </c>
      <c r="O605" s="237"/>
      <c r="P605" s="237"/>
      <c r="Q605" s="27" t="s">
        <v>495</v>
      </c>
      <c r="R605" s="237">
        <f>P596</f>
        <v>62.17973313247864</v>
      </c>
      <c r="S605" s="237"/>
      <c r="T605" s="237"/>
      <c r="AH605" s="27"/>
      <c r="AI605" s="27"/>
      <c r="AJ605" s="27"/>
      <c r="AK605" s="27"/>
      <c r="AL605" s="27"/>
      <c r="AM605" s="27"/>
      <c r="AN605" s="27"/>
      <c r="AO605" s="27"/>
      <c r="AP605" s="27"/>
    </row>
    <row r="606" spans="1:42" ht="19.5" customHeight="1">
      <c r="A606" s="4"/>
      <c r="B606" s="4"/>
      <c r="C606" s="4"/>
      <c r="D606" s="4"/>
      <c r="F606" s="4"/>
      <c r="G606" s="4"/>
      <c r="H606" s="4"/>
      <c r="I606" s="4" t="s">
        <v>494</v>
      </c>
      <c r="J606" s="237">
        <f>J605-N605-R605</f>
        <v>964.3523146046765</v>
      </c>
      <c r="K606" s="237"/>
      <c r="L606" s="237"/>
      <c r="M606" s="29" t="s">
        <v>496</v>
      </c>
      <c r="N606" s="4"/>
      <c r="P606" s="27" t="str">
        <f>IF(J606&lt;=U606,"＜","＞")</f>
        <v>＜</v>
      </c>
      <c r="R606" s="235" t="s">
        <v>497</v>
      </c>
      <c r="S606" s="235"/>
      <c r="T606" s="235"/>
      <c r="U606" s="325">
        <v>1098.8</v>
      </c>
      <c r="V606" s="325"/>
      <c r="W606" s="325"/>
      <c r="X606" s="29" t="s">
        <v>496</v>
      </c>
      <c r="AB606" s="27" t="str">
        <f>IF(J606&lt;=U606,"O.K","N.G")</f>
        <v>O.K</v>
      </c>
      <c r="AH606" s="27"/>
      <c r="AI606" s="27"/>
      <c r="AJ606" s="27"/>
      <c r="AK606" s="27"/>
      <c r="AL606" s="27"/>
      <c r="AM606" s="27"/>
      <c r="AN606" s="27"/>
      <c r="AO606" s="27"/>
      <c r="AP606" s="27"/>
    </row>
    <row r="607" spans="1:43" ht="19.5" customHeight="1">
      <c r="A607" s="4"/>
      <c r="B607" s="4"/>
      <c r="C607" s="4"/>
      <c r="D607" s="4"/>
      <c r="E607" s="4"/>
      <c r="F607" s="4"/>
      <c r="G607" s="4"/>
      <c r="H607" s="4"/>
      <c r="I607" s="4"/>
      <c r="J607" s="4"/>
      <c r="K607" s="4"/>
      <c r="L607" s="4"/>
      <c r="M607" s="4"/>
      <c r="AH607" s="27"/>
      <c r="AQ607" s="29"/>
    </row>
    <row r="608" spans="1:43" ht="19.5" customHeight="1">
      <c r="A608" s="4"/>
      <c r="B608" s="4"/>
      <c r="C608" s="4"/>
      <c r="D608" s="4"/>
      <c r="E608" s="4" t="s">
        <v>1218</v>
      </c>
      <c r="F608" s="4"/>
      <c r="G608" s="4"/>
      <c r="H608" s="4"/>
      <c r="I608" s="4" t="s">
        <v>498</v>
      </c>
      <c r="J608" s="4" t="s">
        <v>494</v>
      </c>
      <c r="K608" s="4" t="s">
        <v>499</v>
      </c>
      <c r="L608" s="4"/>
      <c r="M608" s="4"/>
      <c r="AH608" s="27"/>
      <c r="AQ608" s="29"/>
    </row>
    <row r="609" spans="1:43" ht="19.5" customHeight="1">
      <c r="A609" s="4"/>
      <c r="B609" s="4"/>
      <c r="C609" s="4"/>
      <c r="D609" s="4"/>
      <c r="E609" s="4"/>
      <c r="F609" s="4"/>
      <c r="G609" s="4"/>
      <c r="H609" s="4"/>
      <c r="I609" s="4"/>
      <c r="J609" s="4" t="s">
        <v>494</v>
      </c>
      <c r="K609" s="237">
        <f>J606</f>
        <v>964.3523146046765</v>
      </c>
      <c r="L609" s="237"/>
      <c r="M609" s="237"/>
      <c r="N609" s="39" t="s">
        <v>500</v>
      </c>
      <c r="O609" s="237">
        <f>L594</f>
        <v>1244.4749098786547</v>
      </c>
      <c r="P609" s="237"/>
      <c r="Q609" s="237"/>
      <c r="R609" s="27" t="s">
        <v>494</v>
      </c>
      <c r="S609" s="243">
        <f>K609/O609</f>
        <v>0.774906996476697</v>
      </c>
      <c r="T609" s="243"/>
      <c r="U609" s="243"/>
      <c r="AH609" s="27"/>
      <c r="AQ609" s="29"/>
    </row>
    <row r="610" spans="1:43" ht="19.5" customHeight="1">
      <c r="A610" s="4" t="s">
        <v>274</v>
      </c>
      <c r="B610" s="4"/>
      <c r="C610" s="4"/>
      <c r="D610" s="4"/>
      <c r="E610" s="4" t="s">
        <v>1219</v>
      </c>
      <c r="F610" s="4"/>
      <c r="G610" s="4"/>
      <c r="H610" s="4"/>
      <c r="I610" s="4"/>
      <c r="J610" s="4"/>
      <c r="K610" s="4"/>
      <c r="L610" s="4"/>
      <c r="M610" s="4"/>
      <c r="AH610" s="27"/>
      <c r="AQ610" s="29"/>
    </row>
    <row r="611" spans="1:23" ht="19.5" customHeight="1">
      <c r="A611" s="4"/>
      <c r="B611" s="4"/>
      <c r="C611" s="4"/>
      <c r="D611" s="4"/>
      <c r="E611" s="183" t="s">
        <v>1021</v>
      </c>
      <c r="F611" s="183"/>
      <c r="G611" s="183"/>
      <c r="H611" s="183"/>
      <c r="I611" s="183"/>
      <c r="J611" s="183"/>
      <c r="K611" s="183"/>
      <c r="L611" s="204" t="s">
        <v>501</v>
      </c>
      <c r="M611" s="204"/>
      <c r="N611" s="204"/>
      <c r="O611" s="204"/>
      <c r="P611" s="204" t="s">
        <v>502</v>
      </c>
      <c r="Q611" s="204"/>
      <c r="R611" s="204"/>
      <c r="S611" s="204"/>
      <c r="T611" s="204" t="s">
        <v>503</v>
      </c>
      <c r="U611" s="204"/>
      <c r="V611" s="204"/>
      <c r="W611" s="204"/>
    </row>
    <row r="612" spans="1:46" ht="19.5" customHeight="1">
      <c r="A612" s="4"/>
      <c r="B612" s="4"/>
      <c r="C612" s="4"/>
      <c r="E612" s="183" t="s">
        <v>504</v>
      </c>
      <c r="F612" s="183"/>
      <c r="G612" s="183"/>
      <c r="H612" s="204" t="s">
        <v>505</v>
      </c>
      <c r="I612" s="204"/>
      <c r="J612" s="204"/>
      <c r="K612" s="204"/>
      <c r="L612" s="213">
        <f>L594</f>
        <v>1244.4749098786547</v>
      </c>
      <c r="M612" s="213"/>
      <c r="N612" s="213"/>
      <c r="O612" s="213"/>
      <c r="P612" s="213">
        <f>P594</f>
        <v>1243.5946626495727</v>
      </c>
      <c r="Q612" s="213"/>
      <c r="R612" s="213"/>
      <c r="S612" s="213"/>
      <c r="T612" s="213">
        <f>T594</f>
        <v>1244.4749098786547</v>
      </c>
      <c r="U612" s="213"/>
      <c r="V612" s="213"/>
      <c r="W612" s="213"/>
      <c r="AR612" s="4"/>
      <c r="AS612" s="4"/>
      <c r="AT612" s="4"/>
    </row>
    <row r="613" spans="1:46" ht="19.5" customHeight="1">
      <c r="A613" s="4"/>
      <c r="B613" s="4"/>
      <c r="C613" s="4"/>
      <c r="E613" s="183" t="s">
        <v>506</v>
      </c>
      <c r="F613" s="183"/>
      <c r="G613" s="183"/>
      <c r="H613" s="204" t="s">
        <v>505</v>
      </c>
      <c r="I613" s="204"/>
      <c r="J613" s="204"/>
      <c r="K613" s="204"/>
      <c r="L613" s="190">
        <f>M534</f>
        <v>215.90388296894332</v>
      </c>
      <c r="M613" s="190"/>
      <c r="N613" s="190"/>
      <c r="O613" s="190"/>
      <c r="P613" s="190">
        <f>Q534</f>
        <v>217.0626149124176</v>
      </c>
      <c r="Q613" s="190"/>
      <c r="R613" s="190"/>
      <c r="S613" s="190"/>
      <c r="T613" s="190">
        <f>U534</f>
        <v>215.90388296894332</v>
      </c>
      <c r="U613" s="190"/>
      <c r="V613" s="190"/>
      <c r="W613" s="190"/>
      <c r="AR613" s="4"/>
      <c r="AS613" s="4"/>
      <c r="AT613" s="4"/>
    </row>
    <row r="614" spans="1:46" ht="19.5" customHeight="1">
      <c r="A614" s="4"/>
      <c r="B614" s="4"/>
      <c r="C614" s="4"/>
      <c r="E614" s="183" t="s">
        <v>507</v>
      </c>
      <c r="F614" s="183"/>
      <c r="G614" s="183"/>
      <c r="H614" s="204" t="s">
        <v>505</v>
      </c>
      <c r="I614" s="204"/>
      <c r="J614" s="204"/>
      <c r="K614" s="204"/>
      <c r="L614" s="190">
        <f>L596</f>
        <v>62.22374549393274</v>
      </c>
      <c r="M614" s="190"/>
      <c r="N614" s="190"/>
      <c r="O614" s="190"/>
      <c r="P614" s="190">
        <f>P596</f>
        <v>62.17973313247864</v>
      </c>
      <c r="Q614" s="190"/>
      <c r="R614" s="190"/>
      <c r="S614" s="190"/>
      <c r="T614" s="190">
        <f>T596</f>
        <v>62.22374549393274</v>
      </c>
      <c r="U614" s="190"/>
      <c r="V614" s="190"/>
      <c r="W614" s="190"/>
      <c r="AR614" s="4"/>
      <c r="AS614" s="4"/>
      <c r="AT614" s="4"/>
    </row>
    <row r="615" spans="1:46" ht="19.5" customHeight="1">
      <c r="A615" s="4"/>
      <c r="B615" s="4"/>
      <c r="C615" s="4"/>
      <c r="E615" s="183" t="s">
        <v>492</v>
      </c>
      <c r="F615" s="183"/>
      <c r="G615" s="183"/>
      <c r="H615" s="204" t="s">
        <v>505</v>
      </c>
      <c r="I615" s="204"/>
      <c r="J615" s="204"/>
      <c r="K615" s="204"/>
      <c r="L615" s="190">
        <f>L612-L613-L614</f>
        <v>966.3472814157785</v>
      </c>
      <c r="M615" s="190"/>
      <c r="N615" s="190"/>
      <c r="O615" s="190"/>
      <c r="P615" s="190">
        <f>P612-P613-P614</f>
        <v>964.3523146046765</v>
      </c>
      <c r="Q615" s="190"/>
      <c r="R615" s="190"/>
      <c r="S615" s="190"/>
      <c r="T615" s="190">
        <f>T612-T613-T614</f>
        <v>966.3472814157785</v>
      </c>
      <c r="U615" s="190"/>
      <c r="V615" s="190"/>
      <c r="W615" s="190"/>
      <c r="AR615" s="4"/>
      <c r="AS615" s="4"/>
      <c r="AT615" s="4"/>
    </row>
    <row r="616" spans="1:44" ht="19.5" customHeight="1">
      <c r="A616" s="4"/>
      <c r="B616" s="4"/>
      <c r="C616" s="4"/>
      <c r="E616" s="183" t="s">
        <v>498</v>
      </c>
      <c r="F616" s="183"/>
      <c r="G616" s="183"/>
      <c r="H616" s="204"/>
      <c r="I616" s="204"/>
      <c r="J616" s="204"/>
      <c r="K616" s="204"/>
      <c r="L616" s="254">
        <f>L615/L612</f>
        <v>0.7765100555623129</v>
      </c>
      <c r="M616" s="254"/>
      <c r="N616" s="254"/>
      <c r="O616" s="254"/>
      <c r="P616" s="254">
        <f>P615/P612</f>
        <v>0.7754554949199048</v>
      </c>
      <c r="Q616" s="254"/>
      <c r="R616" s="254"/>
      <c r="S616" s="254"/>
      <c r="T616" s="254">
        <f>T615/T612</f>
        <v>0.7765100555623129</v>
      </c>
      <c r="U616" s="254"/>
      <c r="V616" s="254"/>
      <c r="W616" s="254"/>
      <c r="AR616" s="4"/>
    </row>
    <row r="617" spans="1:43" ht="19.5" customHeight="1">
      <c r="A617" s="4"/>
      <c r="B617" s="4"/>
      <c r="C617" s="4"/>
      <c r="D617" s="4"/>
      <c r="E617" s="4"/>
      <c r="F617" s="4"/>
      <c r="G617" s="4"/>
      <c r="H617" s="4"/>
      <c r="I617" s="4"/>
      <c r="J617" s="4"/>
      <c r="K617" s="4"/>
      <c r="L617" s="4"/>
      <c r="M617" s="4"/>
      <c r="AH617" s="27"/>
      <c r="AQ617" s="29"/>
    </row>
    <row r="618" spans="1:23" ht="19.5" customHeight="1">
      <c r="A618" s="4"/>
      <c r="B618" s="4"/>
      <c r="C618" s="4"/>
      <c r="D618" s="4"/>
      <c r="E618" s="183" t="s">
        <v>917</v>
      </c>
      <c r="F618" s="183"/>
      <c r="G618" s="183"/>
      <c r="H618" s="183"/>
      <c r="I618" s="183"/>
      <c r="J618" s="183"/>
      <c r="K618" s="183"/>
      <c r="L618" s="204" t="s">
        <v>501</v>
      </c>
      <c r="M618" s="204"/>
      <c r="N618" s="204"/>
      <c r="O618" s="204"/>
      <c r="P618" s="204" t="s">
        <v>502</v>
      </c>
      <c r="Q618" s="204"/>
      <c r="R618" s="204"/>
      <c r="S618" s="204"/>
      <c r="T618" s="204" t="s">
        <v>503</v>
      </c>
      <c r="U618" s="204"/>
      <c r="V618" s="204"/>
      <c r="W618" s="204"/>
    </row>
    <row r="619" spans="1:46" ht="19.5" customHeight="1">
      <c r="A619" s="4"/>
      <c r="B619" s="4"/>
      <c r="C619" s="4"/>
      <c r="E619" s="183" t="s">
        <v>504</v>
      </c>
      <c r="F619" s="183"/>
      <c r="G619" s="183"/>
      <c r="H619" s="204" t="s">
        <v>505</v>
      </c>
      <c r="I619" s="204"/>
      <c r="J619" s="204"/>
      <c r="K619" s="204"/>
      <c r="L619" s="213">
        <f>L599</f>
        <v>1244.4749098786547</v>
      </c>
      <c r="M619" s="213"/>
      <c r="N619" s="213"/>
      <c r="O619" s="213"/>
      <c r="P619" s="213">
        <f>P599</f>
        <v>1243.1412331623933</v>
      </c>
      <c r="Q619" s="213"/>
      <c r="R619" s="213"/>
      <c r="S619" s="213"/>
      <c r="T619" s="213">
        <f>T599</f>
        <v>1244.4749098786547</v>
      </c>
      <c r="U619" s="213"/>
      <c r="V619" s="213"/>
      <c r="W619" s="213"/>
      <c r="AR619" s="4"/>
      <c r="AS619" s="4"/>
      <c r="AT619" s="4"/>
    </row>
    <row r="620" spans="1:46" ht="19.5" customHeight="1">
      <c r="A620" s="4"/>
      <c r="B620" s="4"/>
      <c r="C620" s="4"/>
      <c r="E620" s="183" t="s">
        <v>506</v>
      </c>
      <c r="F620" s="183"/>
      <c r="G620" s="183"/>
      <c r="H620" s="204" t="s">
        <v>505</v>
      </c>
      <c r="I620" s="204"/>
      <c r="J620" s="204"/>
      <c r="K620" s="204"/>
      <c r="L620" s="190">
        <f>M544</f>
        <v>215.90388296894332</v>
      </c>
      <c r="M620" s="190"/>
      <c r="N620" s="190"/>
      <c r="O620" s="190"/>
      <c r="P620" s="190">
        <f>Q544</f>
        <v>222.7518082310444</v>
      </c>
      <c r="Q620" s="190"/>
      <c r="R620" s="190"/>
      <c r="S620" s="190"/>
      <c r="T620" s="190">
        <f>U544</f>
        <v>215.90388296894332</v>
      </c>
      <c r="U620" s="190"/>
      <c r="V620" s="190"/>
      <c r="W620" s="190"/>
      <c r="AR620" s="4"/>
      <c r="AS620" s="4"/>
      <c r="AT620" s="4"/>
    </row>
    <row r="621" spans="1:46" ht="19.5" customHeight="1">
      <c r="A621" s="4"/>
      <c r="B621" s="4"/>
      <c r="C621" s="4"/>
      <c r="E621" s="183" t="s">
        <v>507</v>
      </c>
      <c r="F621" s="183"/>
      <c r="G621" s="183"/>
      <c r="H621" s="204" t="s">
        <v>505</v>
      </c>
      <c r="I621" s="204"/>
      <c r="J621" s="204"/>
      <c r="K621" s="204"/>
      <c r="L621" s="190">
        <f>L601</f>
        <v>62.22374549393274</v>
      </c>
      <c r="M621" s="190"/>
      <c r="N621" s="190"/>
      <c r="O621" s="190"/>
      <c r="P621" s="190">
        <f>P601</f>
        <v>62.157061658119666</v>
      </c>
      <c r="Q621" s="190"/>
      <c r="R621" s="190"/>
      <c r="S621" s="190"/>
      <c r="T621" s="190">
        <f>T601</f>
        <v>62.22374549393274</v>
      </c>
      <c r="U621" s="190"/>
      <c r="V621" s="190"/>
      <c r="W621" s="190"/>
      <c r="AR621" s="4"/>
      <c r="AS621" s="4"/>
      <c r="AT621" s="4"/>
    </row>
    <row r="622" spans="1:46" ht="19.5" customHeight="1">
      <c r="A622" s="4"/>
      <c r="B622" s="4"/>
      <c r="C622" s="4"/>
      <c r="E622" s="183" t="s">
        <v>492</v>
      </c>
      <c r="F622" s="183"/>
      <c r="G622" s="183"/>
      <c r="H622" s="204" t="s">
        <v>505</v>
      </c>
      <c r="I622" s="204"/>
      <c r="J622" s="204"/>
      <c r="K622" s="204"/>
      <c r="L622" s="190">
        <f>L619-L620-L621</f>
        <v>966.3472814157785</v>
      </c>
      <c r="M622" s="190"/>
      <c r="N622" s="190"/>
      <c r="O622" s="190"/>
      <c r="P622" s="190">
        <f>P619-P620-P621</f>
        <v>958.2323632732292</v>
      </c>
      <c r="Q622" s="190"/>
      <c r="R622" s="190"/>
      <c r="S622" s="190"/>
      <c r="T622" s="190">
        <f>T619-T620-T621</f>
        <v>966.3472814157785</v>
      </c>
      <c r="U622" s="190"/>
      <c r="V622" s="190"/>
      <c r="W622" s="190"/>
      <c r="AR622" s="4"/>
      <c r="AS622" s="4"/>
      <c r="AT622" s="4"/>
    </row>
    <row r="623" spans="1:44" ht="19.5" customHeight="1">
      <c r="A623" s="4"/>
      <c r="B623" s="4"/>
      <c r="C623" s="4"/>
      <c r="E623" s="183" t="s">
        <v>498</v>
      </c>
      <c r="F623" s="183"/>
      <c r="G623" s="183"/>
      <c r="H623" s="204"/>
      <c r="I623" s="204"/>
      <c r="J623" s="204"/>
      <c r="K623" s="204"/>
      <c r="L623" s="254">
        <f>L622/L619</f>
        <v>0.7765100555623129</v>
      </c>
      <c r="M623" s="254"/>
      <c r="N623" s="254"/>
      <c r="O623" s="254"/>
      <c r="P623" s="254">
        <f>P622/P619</f>
        <v>0.7708153649087867</v>
      </c>
      <c r="Q623" s="254"/>
      <c r="R623" s="254"/>
      <c r="S623" s="254"/>
      <c r="T623" s="254">
        <f>T622/T619</f>
        <v>0.7765100555623129</v>
      </c>
      <c r="U623" s="254"/>
      <c r="V623" s="254"/>
      <c r="W623" s="254"/>
      <c r="AR623" s="4"/>
    </row>
    <row r="624" spans="1:44" ht="19.5" customHeight="1">
      <c r="A624" s="4"/>
      <c r="B624" s="4"/>
      <c r="C624" s="4"/>
      <c r="E624" s="49"/>
      <c r="F624" s="49"/>
      <c r="G624" s="49"/>
      <c r="H624" s="45"/>
      <c r="I624" s="45"/>
      <c r="J624" s="45"/>
      <c r="K624" s="45"/>
      <c r="L624" s="77"/>
      <c r="M624" s="77"/>
      <c r="N624" s="77"/>
      <c r="O624" s="77"/>
      <c r="P624" s="77"/>
      <c r="Q624" s="77"/>
      <c r="R624" s="77"/>
      <c r="S624" s="77"/>
      <c r="T624" s="77"/>
      <c r="U624" s="77"/>
      <c r="V624" s="77"/>
      <c r="W624" s="77"/>
      <c r="AR624" s="4"/>
    </row>
    <row r="625" spans="1:43" ht="19.5" customHeight="1">
      <c r="A625" s="4"/>
      <c r="B625" s="4"/>
      <c r="C625" s="4"/>
      <c r="D625" s="4" t="s">
        <v>1220</v>
      </c>
      <c r="E625" s="4"/>
      <c r="F625" s="4"/>
      <c r="G625" s="4"/>
      <c r="H625" s="4"/>
      <c r="I625" s="4"/>
      <c r="J625" s="4"/>
      <c r="K625" s="4"/>
      <c r="L625" s="4"/>
      <c r="M625" s="4"/>
      <c r="AH625" s="27"/>
      <c r="AQ625" s="29"/>
    </row>
    <row r="626" spans="1:43" ht="19.5" customHeight="1">
      <c r="A626" s="4"/>
      <c r="B626" s="4"/>
      <c r="C626" s="4"/>
      <c r="D626" s="4"/>
      <c r="E626" s="4"/>
      <c r="F626" s="4"/>
      <c r="G626" s="4" t="s">
        <v>508</v>
      </c>
      <c r="H626" s="4"/>
      <c r="I626" s="4"/>
      <c r="J626" s="4"/>
      <c r="K626" s="4"/>
      <c r="L626" s="4"/>
      <c r="M626" s="4"/>
      <c r="AH626" s="27"/>
      <c r="AQ626" s="29"/>
    </row>
    <row r="627" spans="1:42" ht="19.5" customHeight="1">
      <c r="A627" s="4"/>
      <c r="B627" s="4"/>
      <c r="C627" s="4"/>
      <c r="D627" s="4"/>
      <c r="E627" s="4" t="s">
        <v>1008</v>
      </c>
      <c r="F627" s="4"/>
      <c r="G627" s="4"/>
      <c r="H627" s="4"/>
      <c r="J627" s="4" t="s">
        <v>509</v>
      </c>
      <c r="K627" s="4"/>
      <c r="L627" s="4"/>
      <c r="M627" s="243">
        <f>S609</f>
        <v>0.774906996476697</v>
      </c>
      <c r="N627" s="243"/>
      <c r="O627" s="243"/>
      <c r="P627" s="27" t="s">
        <v>510</v>
      </c>
      <c r="Q627" s="237">
        <f>H448</f>
        <v>0</v>
      </c>
      <c r="R627" s="237"/>
      <c r="S627" s="237"/>
      <c r="T627" s="27" t="s">
        <v>494</v>
      </c>
      <c r="U627" s="237">
        <f>M627*Q627</f>
        <v>0</v>
      </c>
      <c r="V627" s="237"/>
      <c r="W627" s="237"/>
      <c r="X627" s="29" t="s">
        <v>496</v>
      </c>
      <c r="AG627" s="29"/>
      <c r="AP627" s="27"/>
    </row>
    <row r="628" spans="1:42" ht="19.5" customHeight="1">
      <c r="A628" s="4"/>
      <c r="B628" s="4"/>
      <c r="C628" s="4"/>
      <c r="D628" s="4"/>
      <c r="E628" s="4" t="s">
        <v>1010</v>
      </c>
      <c r="F628" s="4"/>
      <c r="G628" s="4"/>
      <c r="H628" s="4"/>
      <c r="J628" s="4" t="s">
        <v>511</v>
      </c>
      <c r="K628" s="4"/>
      <c r="L628" s="4"/>
      <c r="M628" s="243">
        <f>M627</f>
        <v>0.774906996476697</v>
      </c>
      <c r="N628" s="243"/>
      <c r="O628" s="243"/>
      <c r="P628" s="27" t="s">
        <v>510</v>
      </c>
      <c r="Q628" s="237">
        <f>H451</f>
        <v>-20.75310773029607</v>
      </c>
      <c r="R628" s="237"/>
      <c r="S628" s="237"/>
      <c r="T628" s="27" t="s">
        <v>494</v>
      </c>
      <c r="U628" s="237">
        <f>M628*Q628</f>
        <v>-16.08172837884105</v>
      </c>
      <c r="V628" s="237"/>
      <c r="W628" s="237"/>
      <c r="X628" s="29" t="s">
        <v>496</v>
      </c>
      <c r="AG628" s="29"/>
      <c r="AP628" s="27"/>
    </row>
    <row r="629" spans="1:42" ht="19.5" customHeight="1">
      <c r="A629" s="4"/>
      <c r="B629" s="4"/>
      <c r="C629" s="4"/>
      <c r="D629" s="4"/>
      <c r="E629" s="4" t="s">
        <v>1023</v>
      </c>
      <c r="F629" s="4"/>
      <c r="G629" s="4"/>
      <c r="H629" s="4"/>
      <c r="J629" s="4" t="s">
        <v>512</v>
      </c>
      <c r="K629" s="4"/>
      <c r="L629" s="4"/>
      <c r="M629" s="243">
        <f>M628</f>
        <v>0.774906996476697</v>
      </c>
      <c r="N629" s="243"/>
      <c r="O629" s="243"/>
      <c r="P629" s="27" t="s">
        <v>510</v>
      </c>
      <c r="Q629" s="237">
        <f>H454</f>
        <v>-13.835405153530711</v>
      </c>
      <c r="R629" s="237"/>
      <c r="S629" s="237"/>
      <c r="T629" s="27" t="s">
        <v>494</v>
      </c>
      <c r="U629" s="237">
        <f>M629*Q629</f>
        <v>-10.7211522525607</v>
      </c>
      <c r="V629" s="237"/>
      <c r="W629" s="237"/>
      <c r="X629" s="29" t="s">
        <v>496</v>
      </c>
      <c r="AG629" s="29"/>
      <c r="AP629" s="27"/>
    </row>
    <row r="630" spans="1:43" ht="19.5" customHeight="1">
      <c r="A630" s="4"/>
      <c r="B630" s="4"/>
      <c r="C630" s="4"/>
      <c r="D630" s="4"/>
      <c r="E630" s="4" t="s">
        <v>1221</v>
      </c>
      <c r="F630" s="4"/>
      <c r="G630" s="4"/>
      <c r="H630" s="4"/>
      <c r="I630" s="4"/>
      <c r="J630" s="4"/>
      <c r="K630" s="4"/>
      <c r="L630" s="4"/>
      <c r="M630" s="4"/>
      <c r="AH630" s="27"/>
      <c r="AQ630" s="29"/>
    </row>
    <row r="631" spans="1:42" ht="19.5" customHeight="1">
      <c r="A631" s="4"/>
      <c r="B631" s="4"/>
      <c r="C631" s="4"/>
      <c r="D631" s="4"/>
      <c r="E631" s="183" t="s">
        <v>1021</v>
      </c>
      <c r="F631" s="183"/>
      <c r="G631" s="183"/>
      <c r="H631" s="183"/>
      <c r="I631" s="183"/>
      <c r="J631" s="183"/>
      <c r="K631" s="183"/>
      <c r="L631" s="204" t="s">
        <v>501</v>
      </c>
      <c r="M631" s="204"/>
      <c r="N631" s="204"/>
      <c r="O631" s="204"/>
      <c r="P631" s="204" t="s">
        <v>502</v>
      </c>
      <c r="Q631" s="204"/>
      <c r="R631" s="204"/>
      <c r="S631" s="204"/>
      <c r="T631" s="204" t="s">
        <v>503</v>
      </c>
      <c r="U631" s="204"/>
      <c r="V631" s="204"/>
      <c r="W631" s="204"/>
      <c r="AG631" s="29"/>
      <c r="AP631" s="27"/>
    </row>
    <row r="632" spans="1:42" ht="19.5" customHeight="1">
      <c r="A632" s="4"/>
      <c r="B632" s="4"/>
      <c r="C632" s="4"/>
      <c r="D632" s="4"/>
      <c r="E632" s="183" t="s">
        <v>513</v>
      </c>
      <c r="F632" s="183"/>
      <c r="G632" s="183"/>
      <c r="H632" s="204" t="s">
        <v>505</v>
      </c>
      <c r="I632" s="204"/>
      <c r="J632" s="204"/>
      <c r="K632" s="204"/>
      <c r="L632" s="190">
        <f>L475</f>
        <v>-19.847340906202135</v>
      </c>
      <c r="M632" s="190"/>
      <c r="N632" s="190"/>
      <c r="O632" s="190"/>
      <c r="P632" s="190">
        <f>P475</f>
        <v>0</v>
      </c>
      <c r="Q632" s="190"/>
      <c r="R632" s="190"/>
      <c r="S632" s="190"/>
      <c r="T632" s="190">
        <f>T475</f>
        <v>-19.847340906202135</v>
      </c>
      <c r="U632" s="190"/>
      <c r="V632" s="190"/>
      <c r="W632" s="190"/>
      <c r="AG632" s="29"/>
      <c r="AP632" s="27"/>
    </row>
    <row r="633" spans="1:42" ht="19.5" customHeight="1">
      <c r="A633" s="4"/>
      <c r="B633" s="4"/>
      <c r="C633" s="4"/>
      <c r="D633" s="4"/>
      <c r="E633" s="183" t="s">
        <v>514</v>
      </c>
      <c r="F633" s="183"/>
      <c r="G633" s="183"/>
      <c r="H633" s="204" t="s">
        <v>505</v>
      </c>
      <c r="I633" s="204"/>
      <c r="J633" s="204"/>
      <c r="K633" s="204"/>
      <c r="L633" s="190">
        <f>L476</f>
        <v>3.4517114619481966</v>
      </c>
      <c r="M633" s="190"/>
      <c r="N633" s="190"/>
      <c r="O633" s="190"/>
      <c r="P633" s="190">
        <f>P476</f>
        <v>-20.75310773029607</v>
      </c>
      <c r="Q633" s="190"/>
      <c r="R633" s="190"/>
      <c r="S633" s="190"/>
      <c r="T633" s="190">
        <f>T476</f>
        <v>3.4517114619481966</v>
      </c>
      <c r="U633" s="190"/>
      <c r="V633" s="190"/>
      <c r="W633" s="190"/>
      <c r="AG633" s="29"/>
      <c r="AP633" s="27"/>
    </row>
    <row r="634" spans="1:42" ht="19.5" customHeight="1">
      <c r="A634" s="4"/>
      <c r="B634" s="4"/>
      <c r="C634" s="4"/>
      <c r="D634" s="4"/>
      <c r="E634" s="183" t="s">
        <v>515</v>
      </c>
      <c r="F634" s="183"/>
      <c r="G634" s="183"/>
      <c r="H634" s="204" t="s">
        <v>505</v>
      </c>
      <c r="I634" s="204"/>
      <c r="J634" s="204"/>
      <c r="K634" s="204"/>
      <c r="L634" s="190">
        <f>L477</f>
        <v>-13.716011335636258</v>
      </c>
      <c r="M634" s="190"/>
      <c r="N634" s="190"/>
      <c r="O634" s="190"/>
      <c r="P634" s="190">
        <f>P477</f>
        <v>-13.835405153530711</v>
      </c>
      <c r="Q634" s="190"/>
      <c r="R634" s="190"/>
      <c r="S634" s="190"/>
      <c r="T634" s="190">
        <f>T477</f>
        <v>-13.716011335636258</v>
      </c>
      <c r="U634" s="190"/>
      <c r="V634" s="190"/>
      <c r="W634" s="190"/>
      <c r="AG634" s="29"/>
      <c r="AP634" s="27"/>
    </row>
    <row r="635" spans="1:42" ht="19.5" customHeight="1">
      <c r="A635" s="4"/>
      <c r="B635" s="4"/>
      <c r="C635" s="4"/>
      <c r="D635" s="4"/>
      <c r="E635" s="183" t="s">
        <v>498</v>
      </c>
      <c r="F635" s="183"/>
      <c r="G635" s="183"/>
      <c r="H635" s="204"/>
      <c r="I635" s="204"/>
      <c r="J635" s="204"/>
      <c r="K635" s="204"/>
      <c r="L635" s="254">
        <f>L616</f>
        <v>0.7765100555623129</v>
      </c>
      <c r="M635" s="254"/>
      <c r="N635" s="254"/>
      <c r="O635" s="254"/>
      <c r="P635" s="254">
        <f>P616</f>
        <v>0.7754554949199048</v>
      </c>
      <c r="Q635" s="254"/>
      <c r="R635" s="254"/>
      <c r="S635" s="254"/>
      <c r="T635" s="254">
        <f>T616</f>
        <v>0.7765100555623129</v>
      </c>
      <c r="U635" s="254"/>
      <c r="V635" s="254"/>
      <c r="W635" s="254"/>
      <c r="AG635" s="29"/>
      <c r="AP635" s="27"/>
    </row>
    <row r="636" spans="1:42" ht="19.5" customHeight="1">
      <c r="A636" s="4"/>
      <c r="B636" s="4"/>
      <c r="C636" s="4" t="s">
        <v>274</v>
      </c>
      <c r="D636" s="4"/>
      <c r="E636" s="183" t="s">
        <v>516</v>
      </c>
      <c r="F636" s="183"/>
      <c r="G636" s="183"/>
      <c r="H636" s="204" t="s">
        <v>505</v>
      </c>
      <c r="I636" s="204"/>
      <c r="J636" s="204"/>
      <c r="K636" s="204"/>
      <c r="L636" s="190">
        <f>L632*L635</f>
        <v>-15.411659789839184</v>
      </c>
      <c r="M636" s="190"/>
      <c r="N636" s="190"/>
      <c r="O636" s="190"/>
      <c r="P636" s="190">
        <f>P632*P635</f>
        <v>0</v>
      </c>
      <c r="Q636" s="190"/>
      <c r="R636" s="190"/>
      <c r="S636" s="190"/>
      <c r="T636" s="190">
        <f>T632*T635</f>
        <v>-15.411659789839184</v>
      </c>
      <c r="U636" s="190"/>
      <c r="V636" s="190"/>
      <c r="W636" s="190"/>
      <c r="AG636" s="29"/>
      <c r="AP636" s="27"/>
    </row>
    <row r="637" spans="1:42" ht="19.5" customHeight="1">
      <c r="A637" s="4"/>
      <c r="B637" s="4"/>
      <c r="C637" s="4"/>
      <c r="D637" s="4"/>
      <c r="E637" s="183" t="s">
        <v>517</v>
      </c>
      <c r="F637" s="183"/>
      <c r="G637" s="183"/>
      <c r="H637" s="204" t="s">
        <v>505</v>
      </c>
      <c r="I637" s="204"/>
      <c r="J637" s="204"/>
      <c r="K637" s="204"/>
      <c r="L637" s="190">
        <f>L633*L$635</f>
        <v>2.6802886591024664</v>
      </c>
      <c r="M637" s="190"/>
      <c r="N637" s="190"/>
      <c r="O637" s="190"/>
      <c r="P637" s="190">
        <f>P633*P$635</f>
        <v>-16.093111426122842</v>
      </c>
      <c r="Q637" s="190"/>
      <c r="R637" s="190"/>
      <c r="S637" s="190"/>
      <c r="T637" s="190">
        <f>T633*T$635</f>
        <v>2.6802886591024664</v>
      </c>
      <c r="U637" s="190"/>
      <c r="V637" s="190"/>
      <c r="W637" s="190"/>
      <c r="AG637" s="29"/>
      <c r="AP637" s="27"/>
    </row>
    <row r="638" spans="1:42" ht="19.5" customHeight="1">
      <c r="A638" s="4"/>
      <c r="B638" s="4"/>
      <c r="C638" s="4"/>
      <c r="D638" s="4"/>
      <c r="E638" s="183" t="s">
        <v>518</v>
      </c>
      <c r="F638" s="183"/>
      <c r="G638" s="183"/>
      <c r="H638" s="204" t="s">
        <v>505</v>
      </c>
      <c r="I638" s="204"/>
      <c r="J638" s="204"/>
      <c r="K638" s="204"/>
      <c r="L638" s="190">
        <f>L634*L$635</f>
        <v>-10.650620724328224</v>
      </c>
      <c r="M638" s="190"/>
      <c r="N638" s="190"/>
      <c r="O638" s="190"/>
      <c r="P638" s="190">
        <f>P634*P$635</f>
        <v>-10.72874095074856</v>
      </c>
      <c r="Q638" s="190"/>
      <c r="R638" s="190"/>
      <c r="S638" s="190"/>
      <c r="T638" s="190">
        <f>T634*T$635</f>
        <v>-10.650620724328224</v>
      </c>
      <c r="U638" s="190"/>
      <c r="V638" s="190"/>
      <c r="W638" s="190"/>
      <c r="AG638" s="29"/>
      <c r="AP638" s="27"/>
    </row>
    <row r="639" spans="1:12" ht="19.5" customHeight="1">
      <c r="A639" s="4"/>
      <c r="B639" s="4"/>
      <c r="C639" s="4"/>
      <c r="D639" s="4"/>
      <c r="E639" s="4"/>
      <c r="F639" s="4"/>
      <c r="G639" s="4"/>
      <c r="H639" s="4" t="s">
        <v>274</v>
      </c>
      <c r="I639" s="4"/>
      <c r="J639" s="4"/>
      <c r="K639" s="4"/>
      <c r="L639" s="4"/>
    </row>
    <row r="640" spans="1:42" ht="19.5" customHeight="1">
      <c r="A640" s="4"/>
      <c r="B640" s="4"/>
      <c r="C640" s="4"/>
      <c r="D640" s="4"/>
      <c r="E640" s="183" t="s">
        <v>917</v>
      </c>
      <c r="F640" s="183"/>
      <c r="G640" s="183"/>
      <c r="H640" s="183"/>
      <c r="I640" s="183"/>
      <c r="J640" s="183"/>
      <c r="K640" s="183"/>
      <c r="L640" s="204" t="s">
        <v>501</v>
      </c>
      <c r="M640" s="204"/>
      <c r="N640" s="204"/>
      <c r="O640" s="204"/>
      <c r="P640" s="204" t="s">
        <v>502</v>
      </c>
      <c r="Q640" s="204"/>
      <c r="R640" s="204"/>
      <c r="S640" s="204"/>
      <c r="T640" s="204" t="s">
        <v>503</v>
      </c>
      <c r="U640" s="204"/>
      <c r="V640" s="204"/>
      <c r="W640" s="204"/>
      <c r="AG640" s="29"/>
      <c r="AP640" s="27"/>
    </row>
    <row r="641" spans="1:42" ht="19.5" customHeight="1">
      <c r="A641" s="4"/>
      <c r="B641" s="4"/>
      <c r="C641" s="4"/>
      <c r="D641" s="4"/>
      <c r="E641" s="183" t="s">
        <v>513</v>
      </c>
      <c r="F641" s="183"/>
      <c r="G641" s="183"/>
      <c r="H641" s="204" t="s">
        <v>519</v>
      </c>
      <c r="I641" s="204"/>
      <c r="J641" s="204"/>
      <c r="K641" s="204"/>
      <c r="L641" s="190">
        <f>L488</f>
        <v>-19.847340906202135</v>
      </c>
      <c r="M641" s="190"/>
      <c r="N641" s="190"/>
      <c r="O641" s="190"/>
      <c r="P641" s="190">
        <f>P488</f>
        <v>0</v>
      </c>
      <c r="Q641" s="190"/>
      <c r="R641" s="190"/>
      <c r="S641" s="190"/>
      <c r="T641" s="190">
        <f>T488</f>
        <v>-19.847340906202135</v>
      </c>
      <c r="U641" s="190"/>
      <c r="V641" s="190"/>
      <c r="W641" s="190"/>
      <c r="AG641" s="29"/>
      <c r="AP641" s="27"/>
    </row>
    <row r="642" spans="1:42" ht="19.5" customHeight="1">
      <c r="A642" s="4"/>
      <c r="B642" s="4"/>
      <c r="C642" s="4"/>
      <c r="D642" s="4"/>
      <c r="E642" s="183" t="s">
        <v>514</v>
      </c>
      <c r="F642" s="183"/>
      <c r="G642" s="183"/>
      <c r="H642" s="204" t="s">
        <v>519</v>
      </c>
      <c r="I642" s="204"/>
      <c r="J642" s="204"/>
      <c r="K642" s="204"/>
      <c r="L642" s="190">
        <f>L489</f>
        <v>3.4517114619481966</v>
      </c>
      <c r="M642" s="190"/>
      <c r="N642" s="190"/>
      <c r="O642" s="190"/>
      <c r="P642" s="190">
        <f>P489</f>
        <v>-20.745540899014017</v>
      </c>
      <c r="Q642" s="190"/>
      <c r="R642" s="190"/>
      <c r="S642" s="190"/>
      <c r="T642" s="190">
        <f>T489</f>
        <v>3.4517114619481966</v>
      </c>
      <c r="U642" s="190"/>
      <c r="V642" s="190"/>
      <c r="W642" s="190"/>
      <c r="AG642" s="29"/>
      <c r="AP642" s="27"/>
    </row>
    <row r="643" spans="1:42" ht="19.5" customHeight="1">
      <c r="A643" s="4"/>
      <c r="B643" s="4"/>
      <c r="C643" s="4"/>
      <c r="D643" s="4"/>
      <c r="E643" s="183" t="s">
        <v>515</v>
      </c>
      <c r="F643" s="183"/>
      <c r="G643" s="183"/>
      <c r="H643" s="204" t="s">
        <v>519</v>
      </c>
      <c r="I643" s="204"/>
      <c r="J643" s="204"/>
      <c r="K643" s="204"/>
      <c r="L643" s="190">
        <f>L490</f>
        <v>-13.716011335636258</v>
      </c>
      <c r="M643" s="190"/>
      <c r="N643" s="190"/>
      <c r="O643" s="190"/>
      <c r="P643" s="190">
        <f>P490</f>
        <v>-13.830360599342677</v>
      </c>
      <c r="Q643" s="190"/>
      <c r="R643" s="190"/>
      <c r="S643" s="190"/>
      <c r="T643" s="190">
        <f>T490</f>
        <v>-13.716011335636258</v>
      </c>
      <c r="U643" s="190"/>
      <c r="V643" s="190"/>
      <c r="W643" s="190"/>
      <c r="AG643" s="29"/>
      <c r="AP643" s="27"/>
    </row>
    <row r="644" spans="1:42" ht="19.5" customHeight="1">
      <c r="A644" s="4"/>
      <c r="B644" s="4"/>
      <c r="C644" s="4"/>
      <c r="D644" s="4"/>
      <c r="E644" s="183" t="s">
        <v>498</v>
      </c>
      <c r="F644" s="183"/>
      <c r="G644" s="183"/>
      <c r="H644" s="204"/>
      <c r="I644" s="204"/>
      <c r="J644" s="204"/>
      <c r="K644" s="204"/>
      <c r="L644" s="254">
        <f>L623</f>
        <v>0.7765100555623129</v>
      </c>
      <c r="M644" s="254"/>
      <c r="N644" s="254"/>
      <c r="O644" s="254"/>
      <c r="P644" s="254">
        <f>P623</f>
        <v>0.7708153649087867</v>
      </c>
      <c r="Q644" s="254"/>
      <c r="R644" s="254"/>
      <c r="S644" s="254"/>
      <c r="T644" s="254">
        <f>T623</f>
        <v>0.7765100555623129</v>
      </c>
      <c r="U644" s="254"/>
      <c r="V644" s="254"/>
      <c r="W644" s="254"/>
      <c r="AG644" s="29"/>
      <c r="AP644" s="27"/>
    </row>
    <row r="645" spans="1:42" ht="19.5" customHeight="1">
      <c r="A645" s="4"/>
      <c r="B645" s="4"/>
      <c r="C645" s="4" t="s">
        <v>274</v>
      </c>
      <c r="D645" s="4"/>
      <c r="E645" s="183" t="s">
        <v>516</v>
      </c>
      <c r="F645" s="183"/>
      <c r="G645" s="183"/>
      <c r="H645" s="204" t="s">
        <v>519</v>
      </c>
      <c r="I645" s="204"/>
      <c r="J645" s="204"/>
      <c r="K645" s="204"/>
      <c r="L645" s="205">
        <f>L641*L$644</f>
        <v>-15.411659789839184</v>
      </c>
      <c r="M645" s="206"/>
      <c r="N645" s="206"/>
      <c r="O645" s="207"/>
      <c r="P645" s="205">
        <f>P641*P$644</f>
        <v>0</v>
      </c>
      <c r="Q645" s="206"/>
      <c r="R645" s="206"/>
      <c r="S645" s="207"/>
      <c r="T645" s="205">
        <f>T641*T$644</f>
        <v>-15.411659789839184</v>
      </c>
      <c r="U645" s="206"/>
      <c r="V645" s="206"/>
      <c r="W645" s="207"/>
      <c r="AG645" s="29"/>
      <c r="AP645" s="27"/>
    </row>
    <row r="646" spans="1:42" ht="19.5" customHeight="1">
      <c r="A646" s="4"/>
      <c r="B646" s="4"/>
      <c r="C646" s="4"/>
      <c r="D646" s="4"/>
      <c r="E646" s="183" t="s">
        <v>517</v>
      </c>
      <c r="F646" s="183"/>
      <c r="G646" s="183"/>
      <c r="H646" s="204" t="s">
        <v>519</v>
      </c>
      <c r="I646" s="204"/>
      <c r="J646" s="204"/>
      <c r="K646" s="204"/>
      <c r="L646" s="205">
        <f>L642*L$644</f>
        <v>2.6802886591024664</v>
      </c>
      <c r="M646" s="206"/>
      <c r="N646" s="206"/>
      <c r="O646" s="207"/>
      <c r="P646" s="205">
        <f>P642*P$644</f>
        <v>-15.990981678303648</v>
      </c>
      <c r="Q646" s="206"/>
      <c r="R646" s="206"/>
      <c r="S646" s="207"/>
      <c r="T646" s="205">
        <f>T642*T$644</f>
        <v>2.6802886591024664</v>
      </c>
      <c r="U646" s="206"/>
      <c r="V646" s="206"/>
      <c r="W646" s="207"/>
      <c r="AG646" s="29"/>
      <c r="AP646" s="27"/>
    </row>
    <row r="647" spans="1:42" ht="19.5" customHeight="1">
      <c r="A647" s="4"/>
      <c r="B647" s="4"/>
      <c r="C647" s="4"/>
      <c r="D647" s="4"/>
      <c r="E647" s="183" t="s">
        <v>518</v>
      </c>
      <c r="F647" s="183"/>
      <c r="G647" s="183"/>
      <c r="H647" s="204" t="s">
        <v>519</v>
      </c>
      <c r="I647" s="204"/>
      <c r="J647" s="204"/>
      <c r="K647" s="204"/>
      <c r="L647" s="205">
        <f>L643*L$644</f>
        <v>-10.650620724328224</v>
      </c>
      <c r="M647" s="206"/>
      <c r="N647" s="206"/>
      <c r="O647" s="207"/>
      <c r="P647" s="205">
        <f>P643*P$644</f>
        <v>-10.660654452202431</v>
      </c>
      <c r="Q647" s="206"/>
      <c r="R647" s="206"/>
      <c r="S647" s="207"/>
      <c r="T647" s="205">
        <f>T643*T$644</f>
        <v>-10.650620724328224</v>
      </c>
      <c r="U647" s="206"/>
      <c r="V647" s="206"/>
      <c r="W647" s="207"/>
      <c r="AG647" s="29"/>
      <c r="AP647" s="27"/>
    </row>
    <row r="648" spans="1:12" ht="19.5" customHeight="1">
      <c r="A648" s="4"/>
      <c r="B648" s="4"/>
      <c r="C648" s="4"/>
      <c r="D648" s="4"/>
      <c r="E648" s="4"/>
      <c r="F648" s="4"/>
      <c r="G648" s="4"/>
      <c r="H648" s="4" t="s">
        <v>274</v>
      </c>
      <c r="I648" s="4"/>
      <c r="J648" s="4"/>
      <c r="K648" s="4"/>
      <c r="L648" s="4"/>
    </row>
    <row r="649" spans="2:12" ht="19.5" customHeight="1">
      <c r="B649" s="4" t="s">
        <v>1222</v>
      </c>
      <c r="C649" s="4"/>
      <c r="D649" s="4"/>
      <c r="E649" s="4"/>
      <c r="F649" s="4"/>
      <c r="G649" s="4"/>
      <c r="H649" s="4"/>
      <c r="I649" s="4"/>
      <c r="J649" s="4"/>
      <c r="K649" s="4"/>
      <c r="L649" s="4"/>
    </row>
    <row r="650" spans="1:12" ht="19.5" customHeight="1">
      <c r="A650" s="4"/>
      <c r="C650" s="4" t="s">
        <v>1223</v>
      </c>
      <c r="D650" s="4"/>
      <c r="E650" s="4"/>
      <c r="F650" s="4"/>
      <c r="G650" s="4"/>
      <c r="H650" s="4"/>
      <c r="I650" s="4"/>
      <c r="J650" s="4"/>
      <c r="K650" s="4"/>
      <c r="L650" s="4"/>
    </row>
    <row r="651" spans="1:12" ht="19.5" customHeight="1">
      <c r="A651" s="4"/>
      <c r="C651" s="4"/>
      <c r="D651" s="4" t="s">
        <v>1224</v>
      </c>
      <c r="E651" s="4"/>
      <c r="F651" s="4"/>
      <c r="G651" s="4"/>
      <c r="H651" s="4"/>
      <c r="I651" s="4"/>
      <c r="J651" s="4"/>
      <c r="K651" s="4"/>
      <c r="L651" s="4"/>
    </row>
    <row r="652" spans="1:42" ht="19.5" customHeight="1">
      <c r="A652" s="4"/>
      <c r="B652" s="4"/>
      <c r="C652" s="4"/>
      <c r="D652" s="204"/>
      <c r="E652" s="204"/>
      <c r="F652" s="204"/>
      <c r="G652" s="204"/>
      <c r="H652" s="204"/>
      <c r="I652" s="183" t="s">
        <v>1225</v>
      </c>
      <c r="J652" s="183"/>
      <c r="K652" s="183"/>
      <c r="L652" s="183"/>
      <c r="M652" s="183"/>
      <c r="N652" s="183"/>
      <c r="O652" s="183"/>
      <c r="P652" s="183"/>
      <c r="Q652" s="183"/>
      <c r="R652" s="183"/>
      <c r="S652" s="183"/>
      <c r="T652" s="183" t="s">
        <v>1226</v>
      </c>
      <c r="U652" s="183"/>
      <c r="V652" s="183"/>
      <c r="W652" s="183"/>
      <c r="X652" s="183"/>
      <c r="Y652" s="183"/>
      <c r="Z652" s="183"/>
      <c r="AA652" s="183"/>
      <c r="AB652" s="183"/>
      <c r="AC652" s="183"/>
      <c r="AD652" s="183"/>
      <c r="AE652" s="183" t="s">
        <v>1227</v>
      </c>
      <c r="AF652" s="183"/>
      <c r="AG652" s="183"/>
      <c r="AH652" s="183"/>
      <c r="AI652" s="183"/>
      <c r="AJ652" s="183"/>
      <c r="AK652" s="183"/>
      <c r="AL652" s="183"/>
      <c r="AM652" s="183"/>
      <c r="AN652" s="183"/>
      <c r="AO652" s="183"/>
      <c r="AP652" s="27"/>
    </row>
    <row r="653" spans="1:42" ht="19.5" customHeight="1">
      <c r="A653" s="4"/>
      <c r="B653" s="4"/>
      <c r="C653" s="4"/>
      <c r="D653" s="183" t="s">
        <v>1228</v>
      </c>
      <c r="E653" s="183"/>
      <c r="F653" s="183"/>
      <c r="G653" s="183"/>
      <c r="H653" s="183"/>
      <c r="I653" s="183" t="s">
        <v>1229</v>
      </c>
      <c r="J653" s="183"/>
      <c r="K653" s="183"/>
      <c r="L653" s="183"/>
      <c r="M653" s="183"/>
      <c r="N653" s="183"/>
      <c r="O653" s="183"/>
      <c r="P653" s="183"/>
      <c r="Q653" s="183"/>
      <c r="R653" s="183"/>
      <c r="S653" s="183"/>
      <c r="T653" s="183" t="s">
        <v>1230</v>
      </c>
      <c r="U653" s="183"/>
      <c r="V653" s="183"/>
      <c r="W653" s="183"/>
      <c r="X653" s="183"/>
      <c r="Y653" s="183"/>
      <c r="Z653" s="183"/>
      <c r="AA653" s="183"/>
      <c r="AB653" s="183"/>
      <c r="AC653" s="183"/>
      <c r="AD653" s="183"/>
      <c r="AE653" s="183" t="s">
        <v>1231</v>
      </c>
      <c r="AF653" s="183"/>
      <c r="AG653" s="183"/>
      <c r="AH653" s="183"/>
      <c r="AI653" s="183"/>
      <c r="AJ653" s="183"/>
      <c r="AK653" s="183"/>
      <c r="AL653" s="183"/>
      <c r="AM653" s="183"/>
      <c r="AN653" s="183"/>
      <c r="AO653" s="183"/>
      <c r="AP653" s="27"/>
    </row>
    <row r="654" spans="1:42" ht="19.5" customHeight="1">
      <c r="A654" s="4"/>
      <c r="D654" s="183"/>
      <c r="E654" s="183"/>
      <c r="F654" s="183"/>
      <c r="G654" s="183"/>
      <c r="H654" s="183"/>
      <c r="I654" s="212" t="s">
        <v>1232</v>
      </c>
      <c r="J654" s="212"/>
      <c r="K654" s="212"/>
      <c r="L654" s="212"/>
      <c r="M654" s="212"/>
      <c r="N654" s="212"/>
      <c r="O654" s="212"/>
      <c r="P654" s="212"/>
      <c r="Q654" s="212"/>
      <c r="R654" s="212"/>
      <c r="S654" s="212"/>
      <c r="T654" s="212" t="s">
        <v>1233</v>
      </c>
      <c r="U654" s="212"/>
      <c r="V654" s="212"/>
      <c r="W654" s="212"/>
      <c r="X654" s="212"/>
      <c r="Y654" s="212"/>
      <c r="Z654" s="212"/>
      <c r="AA654" s="212"/>
      <c r="AB654" s="212"/>
      <c r="AC654" s="212"/>
      <c r="AD654" s="212"/>
      <c r="AE654" s="242" t="s">
        <v>1234</v>
      </c>
      <c r="AF654" s="242"/>
      <c r="AG654" s="242"/>
      <c r="AH654" s="242"/>
      <c r="AI654" s="242"/>
      <c r="AJ654" s="242"/>
      <c r="AK654" s="242"/>
      <c r="AL654" s="242"/>
      <c r="AM654" s="242"/>
      <c r="AN654" s="242"/>
      <c r="AO654" s="242"/>
      <c r="AP654" s="27"/>
    </row>
    <row r="655" spans="1:42" ht="19.5" customHeight="1">
      <c r="A655" s="4"/>
      <c r="D655" s="183"/>
      <c r="E655" s="183"/>
      <c r="F655" s="183"/>
      <c r="G655" s="183"/>
      <c r="H655" s="183"/>
      <c r="I655" s="212"/>
      <c r="J655" s="212"/>
      <c r="K655" s="212"/>
      <c r="L655" s="212"/>
      <c r="M655" s="212"/>
      <c r="N655" s="212"/>
      <c r="O655" s="212"/>
      <c r="P655" s="212"/>
      <c r="Q655" s="212"/>
      <c r="R655" s="212"/>
      <c r="S655" s="212"/>
      <c r="T655" s="212"/>
      <c r="U655" s="212"/>
      <c r="V655" s="212"/>
      <c r="W655" s="212"/>
      <c r="X655" s="212"/>
      <c r="Y655" s="212"/>
      <c r="Z655" s="212"/>
      <c r="AA655" s="212"/>
      <c r="AB655" s="212"/>
      <c r="AC655" s="212"/>
      <c r="AD655" s="212"/>
      <c r="AE655" s="242"/>
      <c r="AF655" s="242"/>
      <c r="AG655" s="242"/>
      <c r="AH655" s="242"/>
      <c r="AI655" s="242"/>
      <c r="AJ655" s="242"/>
      <c r="AK655" s="242"/>
      <c r="AL655" s="242"/>
      <c r="AM655" s="242"/>
      <c r="AN655" s="242"/>
      <c r="AO655" s="242"/>
      <c r="AP655" s="27"/>
    </row>
    <row r="656" spans="1:42" ht="19.5" customHeight="1">
      <c r="A656" s="4"/>
      <c r="D656" s="183"/>
      <c r="E656" s="183"/>
      <c r="F656" s="183"/>
      <c r="G656" s="183"/>
      <c r="H656" s="183"/>
      <c r="I656" s="212"/>
      <c r="J656" s="212"/>
      <c r="K656" s="212"/>
      <c r="L656" s="212"/>
      <c r="M656" s="212"/>
      <c r="N656" s="212"/>
      <c r="O656" s="212"/>
      <c r="P656" s="212"/>
      <c r="Q656" s="212"/>
      <c r="R656" s="212"/>
      <c r="S656" s="212"/>
      <c r="T656" s="212"/>
      <c r="U656" s="212"/>
      <c r="V656" s="212"/>
      <c r="W656" s="212"/>
      <c r="X656" s="212"/>
      <c r="Y656" s="212"/>
      <c r="Z656" s="212"/>
      <c r="AA656" s="212"/>
      <c r="AB656" s="212"/>
      <c r="AC656" s="212"/>
      <c r="AD656" s="212"/>
      <c r="AE656" s="242"/>
      <c r="AF656" s="242"/>
      <c r="AG656" s="242"/>
      <c r="AH656" s="242"/>
      <c r="AI656" s="242"/>
      <c r="AJ656" s="242"/>
      <c r="AK656" s="242"/>
      <c r="AL656" s="242"/>
      <c r="AM656" s="242"/>
      <c r="AN656" s="242"/>
      <c r="AO656" s="242"/>
      <c r="AP656" s="27"/>
    </row>
    <row r="657" spans="1:42" ht="19.5" customHeight="1">
      <c r="A657" s="4"/>
      <c r="D657" s="183" t="s">
        <v>1326</v>
      </c>
      <c r="E657" s="183"/>
      <c r="F657" s="183"/>
      <c r="G657" s="183"/>
      <c r="H657" s="183"/>
      <c r="I657" s="183" t="s">
        <v>520</v>
      </c>
      <c r="J657" s="183"/>
      <c r="K657" s="183"/>
      <c r="L657" s="183"/>
      <c r="M657" s="183"/>
      <c r="N657" s="183"/>
      <c r="O657" s="183"/>
      <c r="P657" s="183"/>
      <c r="Q657" s="183"/>
      <c r="R657" s="183"/>
      <c r="S657" s="183"/>
      <c r="T657" s="183" t="s">
        <v>521</v>
      </c>
      <c r="U657" s="183"/>
      <c r="V657" s="183"/>
      <c r="W657" s="183"/>
      <c r="X657" s="183"/>
      <c r="Y657" s="183"/>
      <c r="Z657" s="183"/>
      <c r="AA657" s="183"/>
      <c r="AB657" s="183"/>
      <c r="AC657" s="183"/>
      <c r="AD657" s="183"/>
      <c r="AE657" s="183" t="s">
        <v>522</v>
      </c>
      <c r="AF657" s="183"/>
      <c r="AG657" s="183"/>
      <c r="AH657" s="183"/>
      <c r="AI657" s="183"/>
      <c r="AJ657" s="183"/>
      <c r="AK657" s="183"/>
      <c r="AL657" s="183"/>
      <c r="AM657" s="183"/>
      <c r="AN657" s="183"/>
      <c r="AO657" s="183"/>
      <c r="AP657" s="27"/>
    </row>
    <row r="658" spans="1:42" ht="19.5" customHeight="1">
      <c r="A658" s="4"/>
      <c r="D658" s="27" t="s">
        <v>929</v>
      </c>
      <c r="E658" s="158"/>
      <c r="I658" s="4"/>
      <c r="J658" s="4"/>
      <c r="K658" s="4"/>
      <c r="O658" s="4"/>
      <c r="P658" s="4"/>
      <c r="Y658" s="4"/>
      <c r="Z658" s="4"/>
      <c r="AF658" s="4"/>
      <c r="AG658" s="4"/>
      <c r="AP658" s="27"/>
    </row>
    <row r="659" spans="1:44" ht="19.5" customHeight="1">
      <c r="A659" s="4"/>
      <c r="B659" s="4"/>
      <c r="C659" s="4"/>
      <c r="D659" s="4" t="s">
        <v>523</v>
      </c>
      <c r="E659" s="4"/>
      <c r="F659" s="4"/>
      <c r="G659" s="4" t="s">
        <v>1327</v>
      </c>
      <c r="H659" s="4"/>
      <c r="I659" s="4"/>
      <c r="J659" s="4"/>
      <c r="K659" s="4"/>
      <c r="Q659" s="27" t="s">
        <v>524</v>
      </c>
      <c r="AG659" s="29"/>
      <c r="AP659" s="27"/>
      <c r="AR659" s="92"/>
    </row>
    <row r="660" spans="1:44" ht="19.5" customHeight="1">
      <c r="A660" s="4"/>
      <c r="B660" s="4"/>
      <c r="C660" s="4"/>
      <c r="D660" s="4"/>
      <c r="E660" s="4"/>
      <c r="F660" s="4"/>
      <c r="G660" s="4"/>
      <c r="H660" s="4" t="s">
        <v>525</v>
      </c>
      <c r="I660" s="4"/>
      <c r="J660" s="4"/>
      <c r="K660" s="30" t="s">
        <v>526</v>
      </c>
      <c r="L660" s="4"/>
      <c r="AR660" s="92"/>
    </row>
    <row r="661" spans="1:30" ht="19.5" customHeight="1">
      <c r="A661" s="4"/>
      <c r="B661" s="4"/>
      <c r="C661" s="4"/>
      <c r="D661" s="4"/>
      <c r="E661" s="4"/>
      <c r="F661" s="4"/>
      <c r="G661" s="4"/>
      <c r="H661" s="4"/>
      <c r="I661" s="4"/>
      <c r="J661" s="4"/>
      <c r="K661" s="4" t="s">
        <v>1354</v>
      </c>
      <c r="L661" s="243">
        <f>AD666</f>
        <v>1.2355837134370247</v>
      </c>
      <c r="M661" s="243"/>
      <c r="N661" s="243"/>
      <c r="O661" s="35" t="s">
        <v>279</v>
      </c>
      <c r="P661" s="243">
        <f>V672</f>
        <v>0.743160085143869</v>
      </c>
      <c r="Q661" s="243"/>
      <c r="R661" s="243"/>
      <c r="S661" s="35" t="s">
        <v>279</v>
      </c>
      <c r="T661" s="243">
        <f>U676</f>
        <v>2.690096319155837</v>
      </c>
      <c r="U661" s="243"/>
      <c r="V661" s="243"/>
      <c r="W661" s="27" t="s">
        <v>1354</v>
      </c>
      <c r="X661" s="237">
        <f>L661*P661*T661</f>
        <v>2.470144622524153</v>
      </c>
      <c r="Y661" s="237"/>
      <c r="Z661" s="237"/>
      <c r="AA661" s="29" t="s">
        <v>281</v>
      </c>
      <c r="AD661" s="27" t="s">
        <v>983</v>
      </c>
    </row>
    <row r="662" spans="1:30" ht="19.5" customHeight="1">
      <c r="A662" s="4"/>
      <c r="B662" s="4"/>
      <c r="C662" s="4"/>
      <c r="D662" s="4"/>
      <c r="E662" s="4"/>
      <c r="F662" s="4"/>
      <c r="G662" s="4"/>
      <c r="H662" s="4"/>
      <c r="I662" s="4"/>
      <c r="J662" s="4"/>
      <c r="K662" s="4" t="s">
        <v>1354</v>
      </c>
      <c r="L662" s="243">
        <f>AD668</f>
        <v>1.1941729059992372</v>
      </c>
      <c r="M662" s="243"/>
      <c r="N662" s="243"/>
      <c r="O662" s="35" t="s">
        <v>279</v>
      </c>
      <c r="P662" s="243">
        <f>V673</f>
        <v>0.700513953408893</v>
      </c>
      <c r="Q662" s="243"/>
      <c r="R662" s="243"/>
      <c r="S662" s="35" t="s">
        <v>279</v>
      </c>
      <c r="T662" s="243">
        <f>U676</f>
        <v>2.690096319155837</v>
      </c>
      <c r="U662" s="243"/>
      <c r="V662" s="243"/>
      <c r="W662" s="27" t="s">
        <v>1354</v>
      </c>
      <c r="X662" s="237">
        <f>L662*P662*T662</f>
        <v>2.250359141765158</v>
      </c>
      <c r="Y662" s="237"/>
      <c r="Z662" s="237"/>
      <c r="AA662" s="29" t="s">
        <v>281</v>
      </c>
      <c r="AD662" s="27" t="s">
        <v>982</v>
      </c>
    </row>
    <row r="663" spans="1:26" ht="19.5" customHeight="1">
      <c r="A663" s="4"/>
      <c r="B663" s="4"/>
      <c r="C663" s="4"/>
      <c r="D663" s="4" t="s">
        <v>50</v>
      </c>
      <c r="E663" s="4"/>
      <c r="F663" s="4"/>
      <c r="G663" s="4" t="s">
        <v>1328</v>
      </c>
      <c r="H663" s="4"/>
      <c r="I663" s="4"/>
      <c r="J663" s="4"/>
      <c r="K663" s="4"/>
      <c r="L663" s="102"/>
      <c r="M663" s="102"/>
      <c r="N663" s="102"/>
      <c r="O663" s="35"/>
      <c r="P663" s="102"/>
      <c r="Q663" s="102"/>
      <c r="R663" s="102"/>
      <c r="S663" s="35"/>
      <c r="T663" s="44"/>
      <c r="U663" s="44"/>
      <c r="V663" s="44"/>
      <c r="X663" s="44"/>
      <c r="Y663" s="44"/>
      <c r="Z663" s="44"/>
    </row>
    <row r="664" spans="1:25" ht="19.5" customHeight="1">
      <c r="A664" s="4"/>
      <c r="B664" s="4"/>
      <c r="C664" s="4"/>
      <c r="D664" s="4"/>
      <c r="E664" s="4"/>
      <c r="F664" s="4"/>
      <c r="G664" s="4"/>
      <c r="H664" s="235" t="s">
        <v>527</v>
      </c>
      <c r="I664" s="235"/>
      <c r="J664" s="4"/>
      <c r="K664" s="235" t="s">
        <v>528</v>
      </c>
      <c r="L664" s="235">
        <v>1</v>
      </c>
      <c r="M664" s="236" t="s">
        <v>529</v>
      </c>
      <c r="N664" s="73"/>
      <c r="O664" s="73"/>
      <c r="P664" s="73"/>
      <c r="Q664" s="73">
        <v>1</v>
      </c>
      <c r="R664" s="73"/>
      <c r="S664" s="73"/>
      <c r="T664" s="73"/>
      <c r="Y664" s="35"/>
    </row>
    <row r="665" spans="1:25" ht="19.5" customHeight="1">
      <c r="A665" s="4"/>
      <c r="B665" s="4"/>
      <c r="C665" s="4"/>
      <c r="D665" s="4"/>
      <c r="E665" s="4"/>
      <c r="F665" s="4"/>
      <c r="G665" s="4"/>
      <c r="H665" s="235"/>
      <c r="I665" s="235"/>
      <c r="J665" s="4"/>
      <c r="K665" s="235"/>
      <c r="L665" s="235"/>
      <c r="M665" s="236"/>
      <c r="N665" s="27" t="s">
        <v>530</v>
      </c>
      <c r="V665" s="35"/>
      <c r="W665" s="35"/>
      <c r="X665" s="35"/>
      <c r="Y665" s="35"/>
    </row>
    <row r="666" spans="1:36" ht="19.5" customHeight="1">
      <c r="A666" s="4"/>
      <c r="B666" s="4"/>
      <c r="C666" s="4"/>
      <c r="D666" s="4"/>
      <c r="E666" s="4"/>
      <c r="F666" s="4"/>
      <c r="G666" s="4"/>
      <c r="H666" s="33"/>
      <c r="I666" s="33"/>
      <c r="J666" s="4"/>
      <c r="K666" s="235" t="s">
        <v>528</v>
      </c>
      <c r="L666" s="235">
        <v>1</v>
      </c>
      <c r="M666" s="236" t="s">
        <v>529</v>
      </c>
      <c r="N666" s="73"/>
      <c r="O666" s="73"/>
      <c r="P666" s="73"/>
      <c r="Q666" s="73"/>
      <c r="R666" s="73"/>
      <c r="S666" s="73"/>
      <c r="T666" s="73"/>
      <c r="U666" s="73">
        <v>1</v>
      </c>
      <c r="V666" s="149"/>
      <c r="W666" s="149"/>
      <c r="X666" s="149"/>
      <c r="Y666" s="149"/>
      <c r="Z666" s="73"/>
      <c r="AA666" s="73"/>
      <c r="AB666" s="73"/>
      <c r="AC666" s="235" t="s">
        <v>528</v>
      </c>
      <c r="AD666" s="243">
        <f>1+1/(0.85+4.5*(U667/Y667))</f>
        <v>1.2355837134370247</v>
      </c>
      <c r="AE666" s="243"/>
      <c r="AF666" s="243"/>
      <c r="AG666" s="236" t="s">
        <v>983</v>
      </c>
      <c r="AH666" s="236"/>
      <c r="AI666" s="236"/>
      <c r="AJ666" s="236"/>
    </row>
    <row r="667" spans="1:36" ht="19.5" customHeight="1">
      <c r="A667" s="4"/>
      <c r="B667" s="4"/>
      <c r="C667" s="4"/>
      <c r="D667" s="4"/>
      <c r="E667" s="4"/>
      <c r="F667" s="4"/>
      <c r="G667" s="4"/>
      <c r="H667" s="33"/>
      <c r="I667" s="33"/>
      <c r="J667" s="4"/>
      <c r="K667" s="235"/>
      <c r="L667" s="235"/>
      <c r="M667" s="236"/>
      <c r="N667" s="236">
        <v>0.85</v>
      </c>
      <c r="O667" s="236"/>
      <c r="P667" s="27" t="s">
        <v>529</v>
      </c>
      <c r="Q667" s="236">
        <v>4.5</v>
      </c>
      <c r="R667" s="236"/>
      <c r="S667" s="35" t="s">
        <v>531</v>
      </c>
      <c r="T667" s="27" t="s">
        <v>532</v>
      </c>
      <c r="U667" s="243">
        <f>S678</f>
        <v>0.3</v>
      </c>
      <c r="V667" s="243"/>
      <c r="W667" s="243"/>
      <c r="X667" s="103" t="s">
        <v>533</v>
      </c>
      <c r="Y667" s="243">
        <f>AH682</f>
        <v>0.39766987766749573</v>
      </c>
      <c r="Z667" s="243"/>
      <c r="AA667" s="243"/>
      <c r="AB667" s="27" t="s">
        <v>534</v>
      </c>
      <c r="AC667" s="235"/>
      <c r="AD667" s="243"/>
      <c r="AE667" s="243"/>
      <c r="AF667" s="243"/>
      <c r="AG667" s="236"/>
      <c r="AH667" s="236"/>
      <c r="AI667" s="236"/>
      <c r="AJ667" s="236"/>
    </row>
    <row r="668" spans="1:36" ht="19.5" customHeight="1">
      <c r="A668" s="4"/>
      <c r="B668" s="4"/>
      <c r="C668" s="4"/>
      <c r="D668" s="4"/>
      <c r="E668" s="4"/>
      <c r="F668" s="4"/>
      <c r="G668" s="4"/>
      <c r="H668" s="33"/>
      <c r="I668" s="33"/>
      <c r="J668" s="4"/>
      <c r="K668" s="235" t="s">
        <v>528</v>
      </c>
      <c r="L668" s="235">
        <v>1</v>
      </c>
      <c r="M668" s="236" t="s">
        <v>529</v>
      </c>
      <c r="N668" s="73"/>
      <c r="O668" s="73"/>
      <c r="P668" s="73"/>
      <c r="Q668" s="73"/>
      <c r="R668" s="73"/>
      <c r="S668" s="73"/>
      <c r="T668" s="73"/>
      <c r="U668" s="73">
        <v>1</v>
      </c>
      <c r="V668" s="149"/>
      <c r="W668" s="149"/>
      <c r="X668" s="149"/>
      <c r="Y668" s="149"/>
      <c r="Z668" s="73"/>
      <c r="AA668" s="73"/>
      <c r="AB668" s="73"/>
      <c r="AC668" s="235" t="s">
        <v>528</v>
      </c>
      <c r="AD668" s="243">
        <f>1+1/(0.85+4.5*(U669/Y669))</f>
        <v>1.1941729059992372</v>
      </c>
      <c r="AE668" s="243"/>
      <c r="AF668" s="243"/>
      <c r="AG668" s="236" t="s">
        <v>982</v>
      </c>
      <c r="AH668" s="236"/>
      <c r="AI668" s="236"/>
      <c r="AJ668" s="236"/>
    </row>
    <row r="669" spans="1:36" ht="19.5" customHeight="1">
      <c r="A669" s="4"/>
      <c r="B669" s="4"/>
      <c r="C669" s="4"/>
      <c r="D669" s="4"/>
      <c r="E669" s="4"/>
      <c r="F669" s="4"/>
      <c r="G669" s="4"/>
      <c r="H669" s="33"/>
      <c r="I669" s="33"/>
      <c r="J669" s="4"/>
      <c r="K669" s="235"/>
      <c r="L669" s="235"/>
      <c r="M669" s="236"/>
      <c r="N669" s="236">
        <v>0.85</v>
      </c>
      <c r="O669" s="236"/>
      <c r="P669" s="27" t="s">
        <v>529</v>
      </c>
      <c r="Q669" s="236">
        <v>4.5</v>
      </c>
      <c r="R669" s="236"/>
      <c r="S669" s="35" t="s">
        <v>531</v>
      </c>
      <c r="T669" s="27" t="s">
        <v>532</v>
      </c>
      <c r="U669" s="243">
        <f>S679</f>
        <v>0.38</v>
      </c>
      <c r="V669" s="243"/>
      <c r="W669" s="243"/>
      <c r="X669" s="103" t="s">
        <v>533</v>
      </c>
      <c r="Y669" s="243">
        <f>AH682</f>
        <v>0.39766987766749573</v>
      </c>
      <c r="Z669" s="243"/>
      <c r="AA669" s="243"/>
      <c r="AB669" s="27" t="s">
        <v>534</v>
      </c>
      <c r="AC669" s="235"/>
      <c r="AD669" s="243"/>
      <c r="AE669" s="243"/>
      <c r="AF669" s="243"/>
      <c r="AG669" s="236"/>
      <c r="AH669" s="236"/>
      <c r="AI669" s="236"/>
      <c r="AJ669" s="236"/>
    </row>
    <row r="670" spans="1:29" ht="19.5" customHeight="1">
      <c r="A670" s="4"/>
      <c r="B670" s="4"/>
      <c r="C670" s="4"/>
      <c r="D670" s="33" t="s">
        <v>535</v>
      </c>
      <c r="E670" s="4"/>
      <c r="F670" s="4"/>
      <c r="G670" s="4" t="s">
        <v>1329</v>
      </c>
      <c r="H670" s="33"/>
      <c r="I670" s="33"/>
      <c r="J670" s="4"/>
      <c r="K670" s="35"/>
      <c r="L670" s="35"/>
      <c r="M670" s="35"/>
      <c r="O670" s="35"/>
      <c r="P670" s="35"/>
      <c r="S670" s="35"/>
      <c r="U670" s="35"/>
      <c r="V670" s="35"/>
      <c r="Z670" s="44"/>
      <c r="AA670" s="44"/>
      <c r="AB670" s="44"/>
      <c r="AC670" s="151"/>
    </row>
    <row r="671" spans="1:18" ht="19.5" customHeight="1">
      <c r="A671" s="4"/>
      <c r="B671" s="4"/>
      <c r="C671" s="4"/>
      <c r="D671" s="4"/>
      <c r="E671" s="4"/>
      <c r="F671" s="4"/>
      <c r="G671" s="4"/>
      <c r="H671" s="235" t="s">
        <v>536</v>
      </c>
      <c r="I671" s="235"/>
      <c r="J671" s="159" t="s">
        <v>537</v>
      </c>
      <c r="K671" s="33"/>
      <c r="L671" s="35"/>
      <c r="P671" s="151" t="s">
        <v>538</v>
      </c>
      <c r="Q671" s="151"/>
      <c r="R671" s="151"/>
    </row>
    <row r="672" spans="1:26" ht="19.5" customHeight="1">
      <c r="A672" s="4"/>
      <c r="B672" s="4"/>
      <c r="C672" s="4"/>
      <c r="D672" s="4"/>
      <c r="E672" s="4"/>
      <c r="F672" s="4"/>
      <c r="G672" s="4"/>
      <c r="H672" s="33"/>
      <c r="I672" s="33"/>
      <c r="J672" s="100" t="s">
        <v>1350</v>
      </c>
      <c r="K672" s="236">
        <v>0.55</v>
      </c>
      <c r="L672" s="236"/>
      <c r="M672" s="236"/>
      <c r="N672" s="39" t="s">
        <v>212</v>
      </c>
      <c r="O672" s="27" t="s">
        <v>1358</v>
      </c>
      <c r="P672" s="243">
        <f>S678</f>
        <v>0.3</v>
      </c>
      <c r="Q672" s="243"/>
      <c r="R672" s="243"/>
      <c r="S672" s="27" t="s">
        <v>539</v>
      </c>
      <c r="U672" s="27" t="s">
        <v>1350</v>
      </c>
      <c r="V672" s="243">
        <f>K672/P672^(1/4)</f>
        <v>0.743160085143869</v>
      </c>
      <c r="W672" s="243"/>
      <c r="X672" s="243"/>
      <c r="Y672" s="35"/>
      <c r="Z672" s="27" t="s">
        <v>983</v>
      </c>
    </row>
    <row r="673" spans="1:26" ht="19.5" customHeight="1">
      <c r="A673" s="4"/>
      <c r="B673" s="4"/>
      <c r="C673" s="4"/>
      <c r="D673" s="4"/>
      <c r="E673" s="4"/>
      <c r="F673" s="4"/>
      <c r="G673" s="4"/>
      <c r="H673" s="33"/>
      <c r="I673" s="33"/>
      <c r="J673" s="100" t="s">
        <v>1350</v>
      </c>
      <c r="K673" s="236">
        <v>0.55</v>
      </c>
      <c r="L673" s="236"/>
      <c r="M673" s="236"/>
      <c r="N673" s="39" t="s">
        <v>212</v>
      </c>
      <c r="O673" s="27" t="s">
        <v>1358</v>
      </c>
      <c r="P673" s="243">
        <f>S679</f>
        <v>0.38</v>
      </c>
      <c r="Q673" s="243"/>
      <c r="R673" s="243"/>
      <c r="S673" s="27" t="s">
        <v>539</v>
      </c>
      <c r="U673" s="27" t="s">
        <v>1350</v>
      </c>
      <c r="V673" s="243">
        <f>K673/P673^(1/4)</f>
        <v>0.700513953408893</v>
      </c>
      <c r="W673" s="243"/>
      <c r="X673" s="243"/>
      <c r="Y673" s="35"/>
      <c r="Z673" s="27" t="s">
        <v>982</v>
      </c>
    </row>
    <row r="674" spans="1:38" ht="19.5" customHeight="1">
      <c r="A674" s="4"/>
      <c r="B674" s="4"/>
      <c r="C674" s="4"/>
      <c r="D674" s="4" t="s">
        <v>49</v>
      </c>
      <c r="E674" s="4"/>
      <c r="F674" s="4"/>
      <c r="G674" s="4" t="s">
        <v>1330</v>
      </c>
      <c r="H674" s="33"/>
      <c r="I674" s="33"/>
      <c r="J674" s="4"/>
      <c r="L674" s="33"/>
      <c r="M674" s="35"/>
      <c r="O674" s="44"/>
      <c r="P674" s="44"/>
      <c r="Q674" s="27" t="s">
        <v>540</v>
      </c>
      <c r="R674" s="35"/>
      <c r="S674" s="44"/>
      <c r="T674" s="44"/>
      <c r="U674" s="44"/>
      <c r="V674" s="27" t="s">
        <v>541</v>
      </c>
      <c r="Y674" s="39"/>
      <c r="AA674" s="99"/>
      <c r="AB674" s="99"/>
      <c r="AC674" s="85"/>
      <c r="AH674" s="102"/>
      <c r="AI674" s="102"/>
      <c r="AJ674" s="102"/>
      <c r="AL674" s="27"/>
    </row>
    <row r="675" spans="1:38" ht="19.5" customHeight="1">
      <c r="A675" s="4"/>
      <c r="B675" s="4"/>
      <c r="C675" s="4"/>
      <c r="D675" s="4"/>
      <c r="E675" s="4"/>
      <c r="F675" s="4"/>
      <c r="G675" s="4"/>
      <c r="H675" s="4" t="s">
        <v>49</v>
      </c>
      <c r="I675" s="33"/>
      <c r="J675" s="30" t="s">
        <v>542</v>
      </c>
      <c r="L675" s="33"/>
      <c r="M675" s="35"/>
      <c r="O675" s="44"/>
      <c r="R675" s="35"/>
      <c r="S675" s="44"/>
      <c r="T675" s="44"/>
      <c r="U675" s="44"/>
      <c r="V675" s="85"/>
      <c r="Y675" s="39"/>
      <c r="AA675" s="99"/>
      <c r="AB675" s="99"/>
      <c r="AC675" s="85"/>
      <c r="AH675" s="102"/>
      <c r="AI675" s="102"/>
      <c r="AJ675" s="102"/>
      <c r="AL675" s="27"/>
    </row>
    <row r="676" spans="1:38" ht="19.5" customHeight="1">
      <c r="A676" s="4"/>
      <c r="B676" s="4"/>
      <c r="C676" s="4"/>
      <c r="D676" s="4"/>
      <c r="E676" s="4"/>
      <c r="F676" s="4"/>
      <c r="G676" s="4"/>
      <c r="H676" s="33"/>
      <c r="I676" s="33"/>
      <c r="J676" s="4" t="s">
        <v>290</v>
      </c>
      <c r="K676" s="236">
        <v>0.23</v>
      </c>
      <c r="L676" s="236"/>
      <c r="M676" s="236"/>
      <c r="N676" s="35" t="s">
        <v>349</v>
      </c>
      <c r="O676" s="27" t="s">
        <v>1357</v>
      </c>
      <c r="P676" s="241">
        <f>T677</f>
        <v>40</v>
      </c>
      <c r="Q676" s="241"/>
      <c r="R676" s="27" t="s">
        <v>543</v>
      </c>
      <c r="T676" s="44" t="s">
        <v>290</v>
      </c>
      <c r="U676" s="250">
        <f>K676*P676^(2/3)</f>
        <v>2.690096319155837</v>
      </c>
      <c r="V676" s="250"/>
      <c r="W676" s="250"/>
      <c r="X676" s="29" t="s">
        <v>1121</v>
      </c>
      <c r="AB676" s="99"/>
      <c r="AC676" s="85"/>
      <c r="AH676" s="102"/>
      <c r="AI676" s="102"/>
      <c r="AJ676" s="102"/>
      <c r="AL676" s="27"/>
    </row>
    <row r="677" spans="1:34" ht="19.5" customHeight="1">
      <c r="A677" s="4"/>
      <c r="B677" s="4"/>
      <c r="C677" s="4"/>
      <c r="D677" s="4" t="s">
        <v>544</v>
      </c>
      <c r="E677" s="4"/>
      <c r="G677" s="4" t="s">
        <v>1331</v>
      </c>
      <c r="H677" s="4"/>
      <c r="I677" s="4"/>
      <c r="J677" s="4"/>
      <c r="K677" s="4"/>
      <c r="L677" s="4"/>
      <c r="R677" s="27" t="s">
        <v>545</v>
      </c>
      <c r="T677" s="374">
        <v>40</v>
      </c>
      <c r="U677" s="374"/>
      <c r="V677" s="29" t="s">
        <v>546</v>
      </c>
      <c r="AH677" s="27"/>
    </row>
    <row r="678" spans="1:34" ht="19.5" customHeight="1">
      <c r="A678" s="4"/>
      <c r="B678" s="4"/>
      <c r="C678" s="4"/>
      <c r="D678" s="27" t="s">
        <v>1325</v>
      </c>
      <c r="G678" s="100" t="s">
        <v>547</v>
      </c>
      <c r="H678" s="33"/>
      <c r="I678" s="35"/>
      <c r="Q678" s="27" t="s">
        <v>545</v>
      </c>
      <c r="S678" s="243">
        <f>AC240/1000</f>
        <v>0.3</v>
      </c>
      <c r="T678" s="243"/>
      <c r="U678" s="243"/>
      <c r="V678" s="27" t="s">
        <v>984</v>
      </c>
      <c r="AB678" s="27" t="s">
        <v>548</v>
      </c>
      <c r="AH678" s="27"/>
    </row>
    <row r="679" spans="1:22" ht="19.5" customHeight="1">
      <c r="A679" s="4"/>
      <c r="B679" s="4"/>
      <c r="C679" s="4"/>
      <c r="G679" s="100"/>
      <c r="H679" s="33"/>
      <c r="I679" s="35"/>
      <c r="Q679" s="27" t="s">
        <v>545</v>
      </c>
      <c r="S679" s="243">
        <f>AC255/1000</f>
        <v>0.38</v>
      </c>
      <c r="T679" s="243"/>
      <c r="U679" s="243"/>
      <c r="V679" s="27" t="s">
        <v>549</v>
      </c>
    </row>
    <row r="680" spans="1:25" ht="19.5" customHeight="1">
      <c r="A680" s="4"/>
      <c r="B680" s="4"/>
      <c r="C680" s="4"/>
      <c r="D680" s="4" t="s">
        <v>550</v>
      </c>
      <c r="E680" s="4"/>
      <c r="G680" s="27" t="s">
        <v>1332</v>
      </c>
      <c r="H680" s="33"/>
      <c r="I680" s="35"/>
      <c r="Q680" s="35"/>
      <c r="R680" s="35"/>
      <c r="V680" s="35"/>
      <c r="W680" s="35"/>
      <c r="X680" s="35"/>
      <c r="Y680" s="35"/>
    </row>
    <row r="681" spans="1:34" ht="19.5" customHeight="1">
      <c r="A681" s="4"/>
      <c r="B681" s="4"/>
      <c r="C681" s="4"/>
      <c r="D681" s="4"/>
      <c r="E681" s="4"/>
      <c r="F681" s="4"/>
      <c r="G681" s="4"/>
      <c r="H681" s="33"/>
      <c r="I681" s="35" t="s">
        <v>551</v>
      </c>
      <c r="K681" s="27" t="s">
        <v>552</v>
      </c>
      <c r="AH681" s="27"/>
    </row>
    <row r="682" spans="1:37" ht="19.5" customHeight="1">
      <c r="A682" s="4"/>
      <c r="B682" s="4"/>
      <c r="C682" s="4"/>
      <c r="D682" s="4"/>
      <c r="E682" s="4"/>
      <c r="F682" s="4"/>
      <c r="G682" s="4"/>
      <c r="H682" s="33"/>
      <c r="I682" s="35"/>
      <c r="J682" s="27" t="s">
        <v>351</v>
      </c>
      <c r="K682" s="237">
        <f>Z686</f>
        <v>92.83177667225557</v>
      </c>
      <c r="L682" s="237"/>
      <c r="M682" s="237"/>
      <c r="N682" s="35" t="s">
        <v>1364</v>
      </c>
      <c r="O682" s="237">
        <f>T683</f>
        <v>3.1</v>
      </c>
      <c r="P682" s="237"/>
      <c r="Q682" s="237"/>
      <c r="R682" s="85" t="s">
        <v>553</v>
      </c>
      <c r="U682" s="85" t="s">
        <v>554</v>
      </c>
      <c r="X682" s="39" t="s">
        <v>382</v>
      </c>
      <c r="Y682" s="27" t="s">
        <v>555</v>
      </c>
      <c r="Z682" s="250">
        <f>U676</f>
        <v>2.690096319155837</v>
      </c>
      <c r="AA682" s="250"/>
      <c r="AB682" s="250"/>
      <c r="AC682" s="85" t="s">
        <v>556</v>
      </c>
      <c r="AG682" s="27" t="s">
        <v>351</v>
      </c>
      <c r="AH682" s="243">
        <f>K682*O682/Z682^2/100</f>
        <v>0.39766987766749573</v>
      </c>
      <c r="AI682" s="243"/>
      <c r="AJ682" s="243"/>
      <c r="AK682" s="29" t="s">
        <v>557</v>
      </c>
    </row>
    <row r="683" spans="4:26" ht="19.5" customHeight="1">
      <c r="D683" s="4" t="s">
        <v>558</v>
      </c>
      <c r="E683" s="4"/>
      <c r="F683" s="4"/>
      <c r="G683" s="4" t="s">
        <v>974</v>
      </c>
      <c r="H683" s="4"/>
      <c r="I683" s="4"/>
      <c r="J683" s="4"/>
      <c r="K683" s="4"/>
      <c r="Q683" s="35"/>
      <c r="R683" s="27" t="s">
        <v>1363</v>
      </c>
      <c r="T683" s="250">
        <f>IF(T677=21,2.35,IF(T677=24,2.5,IF(T677=27,2.65,IF(T677=30,2.8,IF(T677=40,3.1,IF(T677=50,3.3,IF(T677=60,3.5,"ERROR")))))))</f>
        <v>3.1</v>
      </c>
      <c r="U683" s="250"/>
      <c r="V683" s="250"/>
      <c r="W683" s="85" t="s">
        <v>553</v>
      </c>
      <c r="Z683" s="29" t="s">
        <v>559</v>
      </c>
    </row>
    <row r="684" spans="1:14" ht="19.5" customHeight="1">
      <c r="A684" s="4"/>
      <c r="B684" s="4"/>
      <c r="C684" s="4"/>
      <c r="D684" s="4" t="s">
        <v>560</v>
      </c>
      <c r="E684" s="4"/>
      <c r="F684" s="4"/>
      <c r="G684" s="4" t="s">
        <v>1333</v>
      </c>
      <c r="H684" s="33"/>
      <c r="I684" s="33"/>
      <c r="J684" s="4"/>
      <c r="L684" s="33"/>
      <c r="N684" s="151" t="s">
        <v>561</v>
      </c>
    </row>
    <row r="685" spans="1:13" ht="19.5" customHeight="1">
      <c r="A685" s="4"/>
      <c r="B685" s="4"/>
      <c r="C685" s="4"/>
      <c r="D685" s="4"/>
      <c r="E685" s="4"/>
      <c r="F685" s="4"/>
      <c r="G685" s="4"/>
      <c r="H685" s="235" t="s">
        <v>562</v>
      </c>
      <c r="I685" s="235"/>
      <c r="J685" s="30" t="s">
        <v>563</v>
      </c>
      <c r="L685" s="33"/>
      <c r="M685" s="35"/>
    </row>
    <row r="686" spans="1:29" ht="19.5" customHeight="1">
      <c r="A686" s="4"/>
      <c r="B686" s="4"/>
      <c r="C686" s="4"/>
      <c r="D686" s="4"/>
      <c r="E686" s="4"/>
      <c r="F686" s="4"/>
      <c r="G686" s="4"/>
      <c r="H686" s="33"/>
      <c r="I686" s="33"/>
      <c r="J686" s="4" t="s">
        <v>1045</v>
      </c>
      <c r="K686" s="236">
        <v>10</v>
      </c>
      <c r="L686" s="236"/>
      <c r="M686" s="35" t="s">
        <v>1046</v>
      </c>
      <c r="N686" s="27" t="s">
        <v>564</v>
      </c>
      <c r="O686" s="236">
        <f>S687</f>
        <v>20</v>
      </c>
      <c r="P686" s="236"/>
      <c r="Q686" s="27" t="s">
        <v>565</v>
      </c>
      <c r="S686" s="35" t="s">
        <v>1046</v>
      </c>
      <c r="T686" s="27" t="s">
        <v>564</v>
      </c>
      <c r="U686" s="241">
        <f>T677</f>
        <v>40</v>
      </c>
      <c r="V686" s="236"/>
      <c r="W686" s="27" t="s">
        <v>565</v>
      </c>
      <c r="Y686" s="27" t="s">
        <v>1045</v>
      </c>
      <c r="Z686" s="237">
        <f>K686*O686^(1/3)*U686^(1/3)</f>
        <v>92.83177667225557</v>
      </c>
      <c r="AA686" s="237"/>
      <c r="AB686" s="237"/>
      <c r="AC686" s="151" t="s">
        <v>566</v>
      </c>
    </row>
    <row r="687" spans="4:44" ht="19.5" customHeight="1">
      <c r="D687" s="4" t="s">
        <v>567</v>
      </c>
      <c r="E687" s="4"/>
      <c r="F687" s="4"/>
      <c r="G687" s="4" t="s">
        <v>1334</v>
      </c>
      <c r="H687" s="4"/>
      <c r="I687" s="4"/>
      <c r="J687" s="4"/>
      <c r="K687" s="4"/>
      <c r="L687" s="4"/>
      <c r="Q687" s="27" t="s">
        <v>1047</v>
      </c>
      <c r="S687" s="330">
        <v>20</v>
      </c>
      <c r="T687" s="330"/>
      <c r="U687" s="27" t="s">
        <v>1324</v>
      </c>
      <c r="AR687" s="36"/>
    </row>
    <row r="688" spans="1:44" ht="19.5" customHeight="1">
      <c r="A688" s="4"/>
      <c r="B688" s="4"/>
      <c r="C688" s="4"/>
      <c r="D688" s="4"/>
      <c r="E688" s="4"/>
      <c r="F688" s="4"/>
      <c r="G688" s="4"/>
      <c r="H688" s="4"/>
      <c r="I688" s="4"/>
      <c r="J688" s="4"/>
      <c r="K688" s="4"/>
      <c r="L688" s="4"/>
      <c r="AR688" s="36"/>
    </row>
    <row r="689" spans="2:45" ht="12.75" customHeight="1">
      <c r="B689" s="4" t="s">
        <v>568</v>
      </c>
      <c r="C689" s="4" t="s">
        <v>1335</v>
      </c>
      <c r="D689" s="4"/>
      <c r="E689" s="4"/>
      <c r="F689" s="4"/>
      <c r="G689" s="4"/>
      <c r="H689" s="4"/>
      <c r="I689" s="4"/>
      <c r="J689" s="4"/>
      <c r="K689" s="4"/>
      <c r="L689" s="4"/>
      <c r="M689" s="4"/>
      <c r="AH689" s="27"/>
      <c r="AQ689" s="29"/>
      <c r="AS689" s="36"/>
    </row>
    <row r="690" spans="2:43" ht="12.75" customHeight="1">
      <c r="B690" s="4"/>
      <c r="C690" s="4"/>
      <c r="D690" s="4" t="s">
        <v>1336</v>
      </c>
      <c r="E690" s="4"/>
      <c r="F690" s="4"/>
      <c r="G690" s="4"/>
      <c r="H690" s="4"/>
      <c r="I690" s="4"/>
      <c r="J690" s="4"/>
      <c r="K690" s="4"/>
      <c r="L690" s="4"/>
      <c r="M690" s="4"/>
      <c r="AA690" s="29" t="s">
        <v>464</v>
      </c>
      <c r="AH690" s="27"/>
      <c r="AQ690" s="29"/>
    </row>
    <row r="691" spans="2:43" ht="12.75" customHeight="1">
      <c r="B691" s="4"/>
      <c r="C691" s="4"/>
      <c r="D691" s="183" t="s">
        <v>1021</v>
      </c>
      <c r="E691" s="183"/>
      <c r="F691" s="183"/>
      <c r="G691" s="183"/>
      <c r="H691" s="183"/>
      <c r="I691" s="183"/>
      <c r="J691" s="183"/>
      <c r="K691" s="183"/>
      <c r="L691" s="183"/>
      <c r="M691" s="183"/>
      <c r="N691" s="183"/>
      <c r="O691" s="183"/>
      <c r="P691" s="183"/>
      <c r="Q691" s="183"/>
      <c r="R691" s="183"/>
      <c r="S691" s="204" t="s">
        <v>460</v>
      </c>
      <c r="T691" s="204"/>
      <c r="U691" s="204"/>
      <c r="V691" s="204"/>
      <c r="W691" s="204" t="s">
        <v>461</v>
      </c>
      <c r="X691" s="204"/>
      <c r="Y691" s="204"/>
      <c r="Z691" s="204"/>
      <c r="AA691" s="204" t="s">
        <v>462</v>
      </c>
      <c r="AB691" s="204"/>
      <c r="AC691" s="204"/>
      <c r="AD691" s="204"/>
      <c r="AH691" s="27"/>
      <c r="AJ691" s="27"/>
      <c r="AL691" s="58"/>
      <c r="AM691" s="58"/>
      <c r="AQ691" s="29"/>
    </row>
    <row r="692" spans="2:43" ht="12.75" customHeight="1">
      <c r="B692" s="4"/>
      <c r="C692" s="4"/>
      <c r="D692" s="312" t="s">
        <v>1408</v>
      </c>
      <c r="E692" s="313"/>
      <c r="F692" s="270" t="s">
        <v>1337</v>
      </c>
      <c r="G692" s="270"/>
      <c r="H692" s="270"/>
      <c r="I692" s="270"/>
      <c r="J692" s="270"/>
      <c r="K692" s="270"/>
      <c r="L692" s="270"/>
      <c r="M692" s="270"/>
      <c r="N692" s="270"/>
      <c r="O692" s="270"/>
      <c r="P692" s="183" t="s">
        <v>1008</v>
      </c>
      <c r="Q692" s="183"/>
      <c r="R692" s="183"/>
      <c r="S692" s="190">
        <f>T$206*1000/$AH$264</f>
        <v>1.0345013850415512</v>
      </c>
      <c r="T692" s="190"/>
      <c r="U692" s="190"/>
      <c r="V692" s="190"/>
      <c r="W692" s="190">
        <f>X206*1000/$AH$249</f>
        <v>-0.6583333333333333</v>
      </c>
      <c r="X692" s="190"/>
      <c r="Y692" s="190"/>
      <c r="Z692" s="190"/>
      <c r="AA692" s="190">
        <f>AB$206*1000/$AH$264</f>
        <v>1.0345013850415512</v>
      </c>
      <c r="AB692" s="190"/>
      <c r="AC692" s="190"/>
      <c r="AD692" s="190"/>
      <c r="AH692" s="27"/>
      <c r="AJ692" s="27"/>
      <c r="AL692" s="58"/>
      <c r="AM692" s="58"/>
      <c r="AQ692" s="29"/>
    </row>
    <row r="693" spans="2:43" ht="12.75" customHeight="1">
      <c r="B693" s="4"/>
      <c r="C693" s="4"/>
      <c r="D693" s="314"/>
      <c r="E693" s="315"/>
      <c r="F693" s="270"/>
      <c r="G693" s="270"/>
      <c r="H693" s="270"/>
      <c r="I693" s="270"/>
      <c r="J693" s="270"/>
      <c r="K693" s="270"/>
      <c r="L693" s="270"/>
      <c r="M693" s="270"/>
      <c r="N693" s="270"/>
      <c r="O693" s="270"/>
      <c r="P693" s="183" t="s">
        <v>1010</v>
      </c>
      <c r="Q693" s="183"/>
      <c r="R693" s="183"/>
      <c r="S693" s="190">
        <f>T$206*1000/$AH$265</f>
        <v>-1.0345013850415512</v>
      </c>
      <c r="T693" s="190"/>
      <c r="U693" s="190"/>
      <c r="V693" s="190"/>
      <c r="W693" s="190">
        <f>X206*1000/$AH$250</f>
        <v>0.6583333333333333</v>
      </c>
      <c r="X693" s="190"/>
      <c r="Y693" s="190"/>
      <c r="Z693" s="190"/>
      <c r="AA693" s="190">
        <f>AB$206*1000/$AH$265</f>
        <v>-1.0345013850415512</v>
      </c>
      <c r="AB693" s="190"/>
      <c r="AC693" s="190"/>
      <c r="AD693" s="190"/>
      <c r="AH693" s="27"/>
      <c r="AJ693" s="27"/>
      <c r="AL693" s="58"/>
      <c r="AM693" s="58"/>
      <c r="AQ693" s="29"/>
    </row>
    <row r="694" spans="2:43" ht="12.75" customHeight="1">
      <c r="B694" s="4"/>
      <c r="C694" s="4"/>
      <c r="D694" s="314"/>
      <c r="E694" s="315"/>
      <c r="F694" s="270" t="s">
        <v>921</v>
      </c>
      <c r="G694" s="270"/>
      <c r="H694" s="270"/>
      <c r="I694" s="270"/>
      <c r="J694" s="270"/>
      <c r="K694" s="270"/>
      <c r="L694" s="270"/>
      <c r="M694" s="270"/>
      <c r="N694" s="270"/>
      <c r="O694" s="270"/>
      <c r="P694" s="183" t="s">
        <v>1008</v>
      </c>
      <c r="Q694" s="183"/>
      <c r="R694" s="183"/>
      <c r="S694" s="190">
        <f>T$207*1000/$AH$264</f>
        <v>0.14933518005540167</v>
      </c>
      <c r="T694" s="190"/>
      <c r="U694" s="190"/>
      <c r="V694" s="190"/>
      <c r="W694" s="190">
        <f>X207*1000/$AH$249</f>
        <v>-0.16073333333333334</v>
      </c>
      <c r="X694" s="190"/>
      <c r="Y694" s="190"/>
      <c r="Z694" s="190"/>
      <c r="AA694" s="190">
        <f>AB$207*1000/$AH$264</f>
        <v>0.14933518005540167</v>
      </c>
      <c r="AB694" s="190"/>
      <c r="AC694" s="190"/>
      <c r="AD694" s="190"/>
      <c r="AH694" s="27"/>
      <c r="AJ694" s="27"/>
      <c r="AL694" s="58"/>
      <c r="AM694" s="58"/>
      <c r="AQ694" s="29"/>
    </row>
    <row r="695" spans="2:43" ht="12.75" customHeight="1">
      <c r="B695" s="4"/>
      <c r="C695" s="4" t="s">
        <v>274</v>
      </c>
      <c r="D695" s="314"/>
      <c r="E695" s="315"/>
      <c r="F695" s="270"/>
      <c r="G695" s="270"/>
      <c r="H695" s="270"/>
      <c r="I695" s="270"/>
      <c r="J695" s="270"/>
      <c r="K695" s="270"/>
      <c r="L695" s="270"/>
      <c r="M695" s="270"/>
      <c r="N695" s="270"/>
      <c r="O695" s="270"/>
      <c r="P695" s="183" t="s">
        <v>1010</v>
      </c>
      <c r="Q695" s="183"/>
      <c r="R695" s="183"/>
      <c r="S695" s="190">
        <f>T$207*1000/$AH$265</f>
        <v>-0.14933518005540167</v>
      </c>
      <c r="T695" s="190"/>
      <c r="U695" s="190"/>
      <c r="V695" s="190"/>
      <c r="W695" s="190">
        <f>X207*1000/$AH$250</f>
        <v>0.16073333333333334</v>
      </c>
      <c r="X695" s="190"/>
      <c r="Y695" s="190"/>
      <c r="Z695" s="190"/>
      <c r="AA695" s="190">
        <f>AB$207*1000/$AH$265</f>
        <v>-0.14933518005540167</v>
      </c>
      <c r="AB695" s="190"/>
      <c r="AC695" s="190"/>
      <c r="AD695" s="190"/>
      <c r="AH695" s="27"/>
      <c r="AJ695" s="27"/>
      <c r="AL695" s="58"/>
      <c r="AM695" s="58"/>
      <c r="AQ695" s="29"/>
    </row>
    <row r="696" spans="2:43" ht="12.75" customHeight="1">
      <c r="B696" s="4"/>
      <c r="C696" s="4"/>
      <c r="D696" s="314"/>
      <c r="E696" s="315"/>
      <c r="F696" s="270" t="s">
        <v>976</v>
      </c>
      <c r="G696" s="270"/>
      <c r="H696" s="270"/>
      <c r="I696" s="270"/>
      <c r="J696" s="270"/>
      <c r="K696" s="270"/>
      <c r="L696" s="270"/>
      <c r="M696" s="270"/>
      <c r="N696" s="270"/>
      <c r="O696" s="270"/>
      <c r="P696" s="183" t="s">
        <v>1008</v>
      </c>
      <c r="Q696" s="183"/>
      <c r="R696" s="183"/>
      <c r="S696" s="190">
        <f>T$208*1000/$AH$264</f>
        <v>0.5591551246537396</v>
      </c>
      <c r="T696" s="190"/>
      <c r="U696" s="190"/>
      <c r="V696" s="190"/>
      <c r="W696" s="190">
        <f>X208*1000/$AH$249</f>
        <v>0</v>
      </c>
      <c r="X696" s="190"/>
      <c r="Y696" s="190"/>
      <c r="Z696" s="190"/>
      <c r="AA696" s="190">
        <f>AB$208*1000/$AH$264</f>
        <v>0.5591551246537396</v>
      </c>
      <c r="AB696" s="190"/>
      <c r="AC696" s="190"/>
      <c r="AD696" s="190"/>
      <c r="AH696" s="27"/>
      <c r="AJ696" s="27"/>
      <c r="AL696" s="58"/>
      <c r="AM696" s="58"/>
      <c r="AQ696" s="29"/>
    </row>
    <row r="697" spans="2:43" ht="12.75" customHeight="1">
      <c r="B697" s="4"/>
      <c r="C697" s="4"/>
      <c r="D697" s="314"/>
      <c r="E697" s="315"/>
      <c r="F697" s="270"/>
      <c r="G697" s="270"/>
      <c r="H697" s="270"/>
      <c r="I697" s="270"/>
      <c r="J697" s="270"/>
      <c r="K697" s="270"/>
      <c r="L697" s="270"/>
      <c r="M697" s="270"/>
      <c r="N697" s="270"/>
      <c r="O697" s="270"/>
      <c r="P697" s="183" t="s">
        <v>1010</v>
      </c>
      <c r="Q697" s="183"/>
      <c r="R697" s="183"/>
      <c r="S697" s="190">
        <f>T$208*1000/$AH$265</f>
        <v>-0.5591551246537396</v>
      </c>
      <c r="T697" s="190"/>
      <c r="U697" s="190"/>
      <c r="V697" s="190"/>
      <c r="W697" s="190">
        <f>X208*1000/$AH$250</f>
        <v>0</v>
      </c>
      <c r="X697" s="190"/>
      <c r="Y697" s="190"/>
      <c r="Z697" s="190"/>
      <c r="AA697" s="190">
        <f>AB$208*1000/$AH$265</f>
        <v>-0.5591551246537396</v>
      </c>
      <c r="AB697" s="190"/>
      <c r="AC697" s="190"/>
      <c r="AD697" s="190"/>
      <c r="AH697" s="27"/>
      <c r="AJ697" s="27"/>
      <c r="AL697" s="58"/>
      <c r="AM697" s="58"/>
      <c r="AQ697" s="29"/>
    </row>
    <row r="698" spans="2:43" ht="12.75" customHeight="1">
      <c r="B698" s="4"/>
      <c r="C698" s="4"/>
      <c r="D698" s="314"/>
      <c r="E698" s="315"/>
      <c r="F698" s="270" t="s">
        <v>977</v>
      </c>
      <c r="G698" s="270"/>
      <c r="H698" s="270"/>
      <c r="I698" s="270"/>
      <c r="J698" s="270"/>
      <c r="K698" s="270"/>
      <c r="L698" s="270"/>
      <c r="M698" s="270"/>
      <c r="N698" s="270"/>
      <c r="O698" s="270"/>
      <c r="P698" s="183" t="s">
        <v>1008</v>
      </c>
      <c r="Q698" s="183"/>
      <c r="R698" s="183"/>
      <c r="S698" s="190">
        <f>M567</f>
        <v>3.495489845984172</v>
      </c>
      <c r="T698" s="190"/>
      <c r="U698" s="190"/>
      <c r="V698" s="190"/>
      <c r="W698" s="190">
        <f>Q567</f>
        <v>0.6633433511723477</v>
      </c>
      <c r="X698" s="190"/>
      <c r="Y698" s="190"/>
      <c r="Z698" s="190"/>
      <c r="AA698" s="190">
        <f>U567</f>
        <v>3.495489845984172</v>
      </c>
      <c r="AB698" s="190"/>
      <c r="AC698" s="190"/>
      <c r="AD698" s="190"/>
      <c r="AH698" s="27"/>
      <c r="AJ698" s="27"/>
      <c r="AL698" s="58"/>
      <c r="AM698" s="58"/>
      <c r="AQ698" s="29"/>
    </row>
    <row r="699" spans="2:43" ht="12.75" customHeight="1">
      <c r="B699" s="4"/>
      <c r="C699" s="4"/>
      <c r="D699" s="314"/>
      <c r="E699" s="315"/>
      <c r="F699" s="270"/>
      <c r="G699" s="270"/>
      <c r="H699" s="270"/>
      <c r="I699" s="270"/>
      <c r="J699" s="270"/>
      <c r="K699" s="270"/>
      <c r="L699" s="270"/>
      <c r="M699" s="270"/>
      <c r="N699" s="270"/>
      <c r="O699" s="270"/>
      <c r="P699" s="183" t="s">
        <v>1010</v>
      </c>
      <c r="Q699" s="183"/>
      <c r="R699" s="183"/>
      <c r="S699" s="190">
        <f>M568</f>
        <v>0.41123409952754963</v>
      </c>
      <c r="T699" s="190"/>
      <c r="U699" s="190"/>
      <c r="V699" s="190"/>
      <c r="W699" s="190">
        <f>Q568</f>
        <v>4.311731782620264</v>
      </c>
      <c r="X699" s="190"/>
      <c r="Y699" s="190"/>
      <c r="Z699" s="190"/>
      <c r="AA699" s="190">
        <f>U568</f>
        <v>0.41123409952754963</v>
      </c>
      <c r="AB699" s="190"/>
      <c r="AC699" s="190"/>
      <c r="AD699" s="190"/>
      <c r="AH699" s="27"/>
      <c r="AJ699" s="27"/>
      <c r="AL699" s="58"/>
      <c r="AM699" s="58"/>
      <c r="AQ699" s="29"/>
    </row>
    <row r="700" spans="2:43" ht="12.75" customHeight="1">
      <c r="B700" s="4"/>
      <c r="C700" s="4"/>
      <c r="D700" s="314"/>
      <c r="E700" s="315"/>
      <c r="F700" s="270" t="s">
        <v>969</v>
      </c>
      <c r="G700" s="270"/>
      <c r="H700" s="270"/>
      <c r="I700" s="270"/>
      <c r="J700" s="270"/>
      <c r="K700" s="270"/>
      <c r="L700" s="270"/>
      <c r="M700" s="270"/>
      <c r="N700" s="270"/>
      <c r="O700" s="270"/>
      <c r="P700" s="183" t="s">
        <v>1008</v>
      </c>
      <c r="Q700" s="183"/>
      <c r="R700" s="183"/>
      <c r="S700" s="190">
        <f>T$209*1000/$AH$264</f>
        <v>2.948250332409972</v>
      </c>
      <c r="T700" s="190"/>
      <c r="U700" s="190"/>
      <c r="V700" s="190"/>
      <c r="W700" s="190">
        <f>X$209*1000/$AH$249</f>
        <v>-5.1969666666666665</v>
      </c>
      <c r="X700" s="190"/>
      <c r="Y700" s="190"/>
      <c r="Z700" s="190"/>
      <c r="AA700" s="190">
        <f>AB$209*1000/$AH$264</f>
        <v>2.948250332409972</v>
      </c>
      <c r="AB700" s="190"/>
      <c r="AC700" s="190"/>
      <c r="AD700" s="190"/>
      <c r="AH700" s="27"/>
      <c r="AJ700" s="27"/>
      <c r="AL700" s="58"/>
      <c r="AM700" s="58"/>
      <c r="AQ700" s="29"/>
    </row>
    <row r="701" spans="2:45" ht="12.75" customHeight="1">
      <c r="B701" s="4"/>
      <c r="C701" s="4"/>
      <c r="D701" s="314"/>
      <c r="E701" s="315"/>
      <c r="F701" s="270"/>
      <c r="G701" s="270"/>
      <c r="H701" s="270"/>
      <c r="I701" s="270"/>
      <c r="J701" s="270"/>
      <c r="K701" s="270"/>
      <c r="L701" s="270"/>
      <c r="M701" s="270"/>
      <c r="N701" s="270"/>
      <c r="O701" s="270"/>
      <c r="P701" s="183" t="s">
        <v>1010</v>
      </c>
      <c r="Q701" s="183"/>
      <c r="R701" s="183"/>
      <c r="S701" s="190">
        <f>T$209*1000/$AH$265</f>
        <v>-2.948250332409972</v>
      </c>
      <c r="T701" s="190"/>
      <c r="U701" s="190"/>
      <c r="V701" s="190"/>
      <c r="W701" s="190">
        <f>X$209*1000/$AH$250</f>
        <v>5.1969666666666665</v>
      </c>
      <c r="X701" s="190"/>
      <c r="Y701" s="190"/>
      <c r="Z701" s="190"/>
      <c r="AA701" s="190">
        <f>AB$209*1000/$AH$265</f>
        <v>-2.948250332409972</v>
      </c>
      <c r="AB701" s="190"/>
      <c r="AC701" s="190"/>
      <c r="AD701" s="190"/>
      <c r="AH701" s="27"/>
      <c r="AJ701" s="27"/>
      <c r="AL701" s="58"/>
      <c r="AM701" s="58"/>
      <c r="AQ701" s="29"/>
      <c r="AS701" s="36"/>
    </row>
    <row r="702" spans="2:43" ht="12.75" customHeight="1">
      <c r="B702" s="4"/>
      <c r="C702" s="4"/>
      <c r="D702" s="314"/>
      <c r="E702" s="315"/>
      <c r="F702" s="270" t="s">
        <v>971</v>
      </c>
      <c r="G702" s="270"/>
      <c r="H702" s="270"/>
      <c r="I702" s="270"/>
      <c r="J702" s="270"/>
      <c r="K702" s="270"/>
      <c r="L702" s="270"/>
      <c r="M702" s="270"/>
      <c r="N702" s="270"/>
      <c r="O702" s="270"/>
      <c r="P702" s="183" t="s">
        <v>1008</v>
      </c>
      <c r="Q702" s="183"/>
      <c r="R702" s="183"/>
      <c r="S702" s="190">
        <f>T$210*1000/$AH$264</f>
        <v>0.13556094182825484</v>
      </c>
      <c r="T702" s="190"/>
      <c r="U702" s="190"/>
      <c r="V702" s="190"/>
      <c r="W702" s="190">
        <f>X210*1000/$AH$249</f>
        <v>0</v>
      </c>
      <c r="X702" s="190"/>
      <c r="Y702" s="190"/>
      <c r="Z702" s="190"/>
      <c r="AA702" s="190">
        <f>AB$210*1000/$AH$264</f>
        <v>0.13556094182825484</v>
      </c>
      <c r="AB702" s="190"/>
      <c r="AC702" s="190"/>
      <c r="AD702" s="190"/>
      <c r="AH702" s="27"/>
      <c r="AJ702" s="27"/>
      <c r="AL702" s="58"/>
      <c r="AM702" s="58"/>
      <c r="AQ702" s="29"/>
    </row>
    <row r="703" spans="2:43" ht="12.75" customHeight="1">
      <c r="B703" s="4"/>
      <c r="C703" s="4"/>
      <c r="D703" s="314"/>
      <c r="E703" s="315"/>
      <c r="F703" s="270"/>
      <c r="G703" s="270"/>
      <c r="H703" s="270"/>
      <c r="I703" s="270"/>
      <c r="J703" s="270"/>
      <c r="K703" s="270"/>
      <c r="L703" s="270"/>
      <c r="M703" s="270"/>
      <c r="N703" s="270"/>
      <c r="O703" s="270"/>
      <c r="P703" s="183" t="s">
        <v>1010</v>
      </c>
      <c r="Q703" s="183"/>
      <c r="R703" s="183"/>
      <c r="S703" s="190">
        <f>T$210*1000/$AH$265</f>
        <v>-0.13556094182825484</v>
      </c>
      <c r="T703" s="190"/>
      <c r="U703" s="190"/>
      <c r="V703" s="190"/>
      <c r="W703" s="190">
        <f>X210*1000/$AH$250</f>
        <v>0</v>
      </c>
      <c r="X703" s="190"/>
      <c r="Y703" s="190"/>
      <c r="Z703" s="190"/>
      <c r="AA703" s="190">
        <f>AB$210*1000/$AH$265</f>
        <v>-0.13556094182825484</v>
      </c>
      <c r="AB703" s="190"/>
      <c r="AC703" s="190"/>
      <c r="AD703" s="190"/>
      <c r="AH703" s="27"/>
      <c r="AJ703" s="27"/>
      <c r="AL703" s="58" t="s">
        <v>323</v>
      </c>
      <c r="AM703" s="58"/>
      <c r="AQ703" s="29"/>
    </row>
    <row r="704" spans="2:43" ht="12.75" customHeight="1">
      <c r="B704" s="4"/>
      <c r="C704" s="4"/>
      <c r="D704" s="314"/>
      <c r="E704" s="315"/>
      <c r="F704" s="270" t="s">
        <v>972</v>
      </c>
      <c r="G704" s="270"/>
      <c r="H704" s="270"/>
      <c r="I704" s="270"/>
      <c r="J704" s="270"/>
      <c r="K704" s="270"/>
      <c r="L704" s="270"/>
      <c r="M704" s="270"/>
      <c r="N704" s="270"/>
      <c r="O704" s="270"/>
      <c r="P704" s="183" t="s">
        <v>1008</v>
      </c>
      <c r="Q704" s="183"/>
      <c r="R704" s="183"/>
      <c r="S704" s="190">
        <f>T$211*1000/$AH$264</f>
        <v>0</v>
      </c>
      <c r="T704" s="190"/>
      <c r="U704" s="190"/>
      <c r="V704" s="190"/>
      <c r="W704" s="190">
        <f>X211*1000/$AH$249</f>
        <v>0</v>
      </c>
      <c r="X704" s="190"/>
      <c r="Y704" s="190"/>
      <c r="Z704" s="190"/>
      <c r="AA704" s="190">
        <f>AB$211*1000/$AH$264</f>
        <v>0</v>
      </c>
      <c r="AB704" s="190"/>
      <c r="AC704" s="190"/>
      <c r="AD704" s="190"/>
      <c r="AH704" s="27"/>
      <c r="AJ704" s="27"/>
      <c r="AL704" s="58"/>
      <c r="AM704" s="58"/>
      <c r="AQ704" s="29"/>
    </row>
    <row r="705" spans="2:43" ht="12.75" customHeight="1">
      <c r="B705" s="4"/>
      <c r="C705" s="4"/>
      <c r="D705" s="314"/>
      <c r="E705" s="315"/>
      <c r="F705" s="270"/>
      <c r="G705" s="270"/>
      <c r="H705" s="270"/>
      <c r="I705" s="270"/>
      <c r="J705" s="270"/>
      <c r="K705" s="270"/>
      <c r="L705" s="270"/>
      <c r="M705" s="270"/>
      <c r="N705" s="270"/>
      <c r="O705" s="270"/>
      <c r="P705" s="183" t="s">
        <v>1010</v>
      </c>
      <c r="Q705" s="183"/>
      <c r="R705" s="183"/>
      <c r="S705" s="190">
        <f>T$211*1000/$AH$265</f>
        <v>0</v>
      </c>
      <c r="T705" s="190"/>
      <c r="U705" s="190"/>
      <c r="V705" s="190"/>
      <c r="W705" s="190">
        <f>X211*1000/$AH$250</f>
        <v>0</v>
      </c>
      <c r="X705" s="190"/>
      <c r="Y705" s="190"/>
      <c r="Z705" s="190"/>
      <c r="AA705" s="190">
        <f>AB$211*1000/$AH$265</f>
        <v>0</v>
      </c>
      <c r="AB705" s="190"/>
      <c r="AC705" s="190"/>
      <c r="AD705" s="190"/>
      <c r="AH705" s="27"/>
      <c r="AJ705" s="27"/>
      <c r="AL705" s="58"/>
      <c r="AM705" s="58"/>
      <c r="AQ705" s="29"/>
    </row>
    <row r="706" spans="2:43" ht="12.75" customHeight="1">
      <c r="B706" s="4"/>
      <c r="C706" s="4"/>
      <c r="D706" s="314"/>
      <c r="E706" s="315"/>
      <c r="F706" s="270" t="s">
        <v>980</v>
      </c>
      <c r="G706" s="270"/>
      <c r="H706" s="270"/>
      <c r="I706" s="270"/>
      <c r="J706" s="270"/>
      <c r="K706" s="270"/>
      <c r="L706" s="270"/>
      <c r="M706" s="270"/>
      <c r="N706" s="270"/>
      <c r="O706" s="270"/>
      <c r="P706" s="183" t="s">
        <v>1008</v>
      </c>
      <c r="Q706" s="183"/>
      <c r="R706" s="183"/>
      <c r="S706" s="190">
        <f>T$212*1000/$AH$264</f>
        <v>0.051868421052631584</v>
      </c>
      <c r="T706" s="190"/>
      <c r="U706" s="190"/>
      <c r="V706" s="190"/>
      <c r="W706" s="190">
        <f>X212*1000/$AH$249</f>
        <v>0</v>
      </c>
      <c r="X706" s="190"/>
      <c r="Y706" s="190"/>
      <c r="Z706" s="190"/>
      <c r="AA706" s="190">
        <f>AB$212*1000/$AH$264</f>
        <v>0.051868421052631584</v>
      </c>
      <c r="AB706" s="190"/>
      <c r="AC706" s="190"/>
      <c r="AD706" s="190"/>
      <c r="AH706" s="27"/>
      <c r="AJ706" s="27"/>
      <c r="AL706" s="58"/>
      <c r="AM706" s="58"/>
      <c r="AQ706" s="29"/>
    </row>
    <row r="707" spans="2:43" ht="12.75" customHeight="1">
      <c r="B707" s="4"/>
      <c r="C707" s="4"/>
      <c r="D707" s="314"/>
      <c r="E707" s="315"/>
      <c r="F707" s="270"/>
      <c r="G707" s="270"/>
      <c r="H707" s="270"/>
      <c r="I707" s="270"/>
      <c r="J707" s="270"/>
      <c r="K707" s="270"/>
      <c r="L707" s="270"/>
      <c r="M707" s="270"/>
      <c r="N707" s="270"/>
      <c r="O707" s="270"/>
      <c r="P707" s="183" t="s">
        <v>1010</v>
      </c>
      <c r="Q707" s="183"/>
      <c r="R707" s="183"/>
      <c r="S707" s="190">
        <f>T$212*1000/$AH$265</f>
        <v>-0.051868421052631584</v>
      </c>
      <c r="T707" s="190"/>
      <c r="U707" s="190"/>
      <c r="V707" s="190"/>
      <c r="W707" s="190">
        <f>X212*1000/$AH$250</f>
        <v>0</v>
      </c>
      <c r="X707" s="190"/>
      <c r="Y707" s="190"/>
      <c r="Z707" s="190"/>
      <c r="AA707" s="190">
        <f>AB$212*1000/$AH$265</f>
        <v>-0.051868421052631584</v>
      </c>
      <c r="AB707" s="190"/>
      <c r="AC707" s="190"/>
      <c r="AD707" s="190"/>
      <c r="AH707" s="27"/>
      <c r="AJ707" s="27"/>
      <c r="AL707" s="58"/>
      <c r="AM707" s="58"/>
      <c r="AQ707" s="29"/>
    </row>
    <row r="708" spans="2:43" ht="12.75" customHeight="1">
      <c r="B708" s="4"/>
      <c r="C708" s="4"/>
      <c r="D708" s="314"/>
      <c r="E708" s="315"/>
      <c r="F708" s="270" t="s">
        <v>1338</v>
      </c>
      <c r="G708" s="270"/>
      <c r="H708" s="270"/>
      <c r="I708" s="270"/>
      <c r="J708" s="270"/>
      <c r="K708" s="270"/>
      <c r="L708" s="270"/>
      <c r="M708" s="270"/>
      <c r="N708" s="270"/>
      <c r="O708" s="270"/>
      <c r="P708" s="183" t="s">
        <v>1008</v>
      </c>
      <c r="Q708" s="183"/>
      <c r="R708" s="183"/>
      <c r="S708" s="190">
        <f>L475</f>
        <v>-19.847340906202135</v>
      </c>
      <c r="T708" s="190"/>
      <c r="U708" s="190"/>
      <c r="V708" s="190"/>
      <c r="W708" s="190">
        <f>P475</f>
        <v>0</v>
      </c>
      <c r="X708" s="190"/>
      <c r="Y708" s="190"/>
      <c r="Z708" s="190"/>
      <c r="AA708" s="190">
        <f>T475</f>
        <v>-19.847340906202135</v>
      </c>
      <c r="AB708" s="190"/>
      <c r="AC708" s="190"/>
      <c r="AD708" s="190"/>
      <c r="AH708" s="27"/>
      <c r="AJ708" s="27"/>
      <c r="AL708" s="58"/>
      <c r="AM708" s="58"/>
      <c r="AQ708" s="29"/>
    </row>
    <row r="709" spans="2:43" ht="12.75" customHeight="1">
      <c r="B709" s="4"/>
      <c r="C709" s="4"/>
      <c r="D709" s="314"/>
      <c r="E709" s="315"/>
      <c r="F709" s="270"/>
      <c r="G709" s="270"/>
      <c r="H709" s="270"/>
      <c r="I709" s="270"/>
      <c r="J709" s="270"/>
      <c r="K709" s="270"/>
      <c r="L709" s="270"/>
      <c r="M709" s="270"/>
      <c r="N709" s="270"/>
      <c r="O709" s="270"/>
      <c r="P709" s="183" t="s">
        <v>1010</v>
      </c>
      <c r="Q709" s="183"/>
      <c r="R709" s="183"/>
      <c r="S709" s="190">
        <f>L476</f>
        <v>3.4517114619481966</v>
      </c>
      <c r="T709" s="190"/>
      <c r="U709" s="190"/>
      <c r="V709" s="190"/>
      <c r="W709" s="190">
        <f>P476</f>
        <v>-20.75310773029607</v>
      </c>
      <c r="X709" s="190"/>
      <c r="Y709" s="190"/>
      <c r="Z709" s="190"/>
      <c r="AA709" s="190">
        <f>T476</f>
        <v>3.4517114619481966</v>
      </c>
      <c r="AB709" s="190"/>
      <c r="AC709" s="190"/>
      <c r="AD709" s="190"/>
      <c r="AH709" s="27"/>
      <c r="AJ709" s="27"/>
      <c r="AL709" s="58"/>
      <c r="AM709" s="58"/>
      <c r="AQ709" s="29"/>
    </row>
    <row r="710" spans="2:43" ht="12.75" customHeight="1">
      <c r="B710" s="4"/>
      <c r="C710" s="4"/>
      <c r="D710" s="314"/>
      <c r="E710" s="315"/>
      <c r="F710" s="270" t="s">
        <v>1407</v>
      </c>
      <c r="G710" s="270"/>
      <c r="H710" s="270"/>
      <c r="I710" s="270"/>
      <c r="J710" s="270"/>
      <c r="K710" s="270"/>
      <c r="L710" s="270"/>
      <c r="M710" s="270"/>
      <c r="N710" s="270"/>
      <c r="O710" s="270"/>
      <c r="P710" s="183" t="s">
        <v>1008</v>
      </c>
      <c r="Q710" s="183"/>
      <c r="R710" s="183"/>
      <c r="S710" s="190">
        <f>L636</f>
        <v>-15.411659789839184</v>
      </c>
      <c r="T710" s="190"/>
      <c r="U710" s="190"/>
      <c r="V710" s="190"/>
      <c r="W710" s="190">
        <f>P636</f>
        <v>0</v>
      </c>
      <c r="X710" s="190"/>
      <c r="Y710" s="190"/>
      <c r="Z710" s="190"/>
      <c r="AA710" s="190">
        <f>T636</f>
        <v>-15.411659789839184</v>
      </c>
      <c r="AB710" s="190"/>
      <c r="AC710" s="190"/>
      <c r="AD710" s="190"/>
      <c r="AH710" s="27"/>
      <c r="AJ710" s="27"/>
      <c r="AL710" s="58"/>
      <c r="AM710" s="58"/>
      <c r="AQ710" s="29"/>
    </row>
    <row r="711" spans="2:43" ht="12.75" customHeight="1">
      <c r="B711" s="4" t="s">
        <v>274</v>
      </c>
      <c r="C711" s="4"/>
      <c r="D711" s="316"/>
      <c r="E711" s="317"/>
      <c r="F711" s="270"/>
      <c r="G711" s="270"/>
      <c r="H711" s="270"/>
      <c r="I711" s="270"/>
      <c r="J711" s="270"/>
      <c r="K711" s="270"/>
      <c r="L711" s="270"/>
      <c r="M711" s="270"/>
      <c r="N711" s="270"/>
      <c r="O711" s="270"/>
      <c r="P711" s="183" t="s">
        <v>1010</v>
      </c>
      <c r="Q711" s="183"/>
      <c r="R711" s="183"/>
      <c r="S711" s="190">
        <f>L637</f>
        <v>2.6802886591024664</v>
      </c>
      <c r="T711" s="190"/>
      <c r="U711" s="190"/>
      <c r="V711" s="190"/>
      <c r="W711" s="190">
        <f>P637</f>
        <v>-16.093111426122842</v>
      </c>
      <c r="X711" s="190"/>
      <c r="Y711" s="190"/>
      <c r="Z711" s="190"/>
      <c r="AA711" s="190">
        <f>T637</f>
        <v>2.6802886591024664</v>
      </c>
      <c r="AB711" s="190"/>
      <c r="AC711" s="190"/>
      <c r="AD711" s="190"/>
      <c r="AH711" s="27"/>
      <c r="AJ711" s="27"/>
      <c r="AL711" s="58"/>
      <c r="AM711" s="58"/>
      <c r="AQ711" s="29"/>
    </row>
    <row r="712" spans="2:43" ht="12.75" customHeight="1">
      <c r="B712" s="4"/>
      <c r="C712" s="4"/>
      <c r="D712" s="63"/>
      <c r="E712" s="64"/>
      <c r="F712" s="64"/>
      <c r="G712" s="65"/>
      <c r="H712" s="65"/>
      <c r="I712" s="65"/>
      <c r="J712" s="65"/>
      <c r="K712" s="66"/>
      <c r="L712" s="66"/>
      <c r="M712" s="66"/>
      <c r="N712" s="65"/>
      <c r="O712" s="67"/>
      <c r="P712" s="183" t="s">
        <v>1008</v>
      </c>
      <c r="Q712" s="183"/>
      <c r="R712" s="183"/>
      <c r="S712" s="190">
        <f>S692+S708</f>
        <v>-18.812839521160583</v>
      </c>
      <c r="T712" s="190"/>
      <c r="U712" s="190"/>
      <c r="V712" s="190"/>
      <c r="W712" s="190">
        <f>W692+W708</f>
        <v>-0.6583333333333333</v>
      </c>
      <c r="X712" s="190"/>
      <c r="Y712" s="190"/>
      <c r="Z712" s="190"/>
      <c r="AA712" s="190">
        <f>AA692+AA708</f>
        <v>-18.812839521160583</v>
      </c>
      <c r="AB712" s="190"/>
      <c r="AC712" s="190"/>
      <c r="AD712" s="190"/>
      <c r="AH712" s="27"/>
      <c r="AJ712" s="27"/>
      <c r="AL712" s="58"/>
      <c r="AM712" s="58"/>
      <c r="AQ712" s="29"/>
    </row>
    <row r="713" spans="2:43" ht="12.75" customHeight="1">
      <c r="B713" s="4"/>
      <c r="C713" s="4"/>
      <c r="D713" s="271" t="s">
        <v>1409</v>
      </c>
      <c r="E713" s="265"/>
      <c r="F713" s="265"/>
      <c r="G713" s="265"/>
      <c r="H713" s="265"/>
      <c r="I713" s="265"/>
      <c r="J713" s="265"/>
      <c r="K713" s="265"/>
      <c r="L713" s="265"/>
      <c r="M713" s="265"/>
      <c r="N713" s="265"/>
      <c r="O713" s="272"/>
      <c r="P713" s="183" t="s">
        <v>1010</v>
      </c>
      <c r="Q713" s="183"/>
      <c r="R713" s="183"/>
      <c r="S713" s="190">
        <f>S693+S709</f>
        <v>2.4172100769066454</v>
      </c>
      <c r="T713" s="190"/>
      <c r="U713" s="190"/>
      <c r="V713" s="190"/>
      <c r="W713" s="190">
        <f>W693+W709</f>
        <v>-20.094774396962734</v>
      </c>
      <c r="X713" s="190"/>
      <c r="Y713" s="190"/>
      <c r="Z713" s="190"/>
      <c r="AA713" s="190">
        <f>AA693+AA709</f>
        <v>2.4172100769066454</v>
      </c>
      <c r="AB713" s="190"/>
      <c r="AC713" s="190"/>
      <c r="AD713" s="190"/>
      <c r="AH713" s="27"/>
      <c r="AJ713" s="27"/>
      <c r="AL713" s="58"/>
      <c r="AM713" s="58" t="s">
        <v>380</v>
      </c>
      <c r="AQ713" s="29"/>
    </row>
    <row r="714" spans="2:45" ht="12.75" customHeight="1">
      <c r="B714" s="4" t="s">
        <v>380</v>
      </c>
      <c r="C714" s="4"/>
      <c r="D714" s="258" t="s">
        <v>569</v>
      </c>
      <c r="E714" s="259"/>
      <c r="F714" s="259"/>
      <c r="G714" s="259"/>
      <c r="H714" s="259"/>
      <c r="I714" s="259"/>
      <c r="J714" s="259"/>
      <c r="K714" s="259"/>
      <c r="L714" s="259"/>
      <c r="M714" s="259"/>
      <c r="N714" s="259"/>
      <c r="O714" s="260"/>
      <c r="P714" s="183" t="s">
        <v>570</v>
      </c>
      <c r="Q714" s="183"/>
      <c r="R714" s="183"/>
      <c r="S714" s="190">
        <f>IF($T$677=30,15,IF($T$677=40,19,IF($T$677=50,21,IF($T$677=60,23,"ERROR"))))*-1</f>
        <v>-19</v>
      </c>
      <c r="T714" s="190"/>
      <c r="U714" s="190"/>
      <c r="V714" s="190"/>
      <c r="W714" s="190">
        <f>S714</f>
        <v>-19</v>
      </c>
      <c r="X714" s="190"/>
      <c r="Y714" s="190"/>
      <c r="Z714" s="190"/>
      <c r="AA714" s="190">
        <f>S714</f>
        <v>-19</v>
      </c>
      <c r="AB714" s="190"/>
      <c r="AC714" s="190"/>
      <c r="AD714" s="190"/>
      <c r="AH714" s="27"/>
      <c r="AJ714" s="27"/>
      <c r="AL714" s="58"/>
      <c r="AM714" s="58"/>
      <c r="AQ714" s="29"/>
      <c r="AS714" s="36"/>
    </row>
    <row r="715" spans="2:45" ht="12.75" customHeight="1">
      <c r="B715" s="4"/>
      <c r="C715" s="4"/>
      <c r="D715" s="71"/>
      <c r="E715" s="72"/>
      <c r="F715" s="72"/>
      <c r="G715" s="73"/>
      <c r="H715" s="73"/>
      <c r="I715" s="73"/>
      <c r="J715" s="73"/>
      <c r="K715" s="53"/>
      <c r="L715" s="53"/>
      <c r="M715" s="53"/>
      <c r="N715" s="73"/>
      <c r="O715" s="74"/>
      <c r="P715" s="183" t="s">
        <v>571</v>
      </c>
      <c r="Q715" s="183"/>
      <c r="R715" s="183"/>
      <c r="S715" s="190">
        <f>IF($T$677=30,1.2,IF($T$677=40,1.5,IF($T$677=50,1.8,IF($T$677=60,2,"ERROR"))))</f>
        <v>1.5</v>
      </c>
      <c r="T715" s="190"/>
      <c r="U715" s="190"/>
      <c r="V715" s="190"/>
      <c r="W715" s="190">
        <f>S715</f>
        <v>1.5</v>
      </c>
      <c r="X715" s="190"/>
      <c r="Y715" s="190"/>
      <c r="Z715" s="190"/>
      <c r="AA715" s="190">
        <f>S715</f>
        <v>1.5</v>
      </c>
      <c r="AB715" s="190"/>
      <c r="AC715" s="190"/>
      <c r="AD715" s="190"/>
      <c r="AH715" s="27"/>
      <c r="AJ715" s="27"/>
      <c r="AL715" s="58"/>
      <c r="AM715" s="58"/>
      <c r="AQ715" s="29"/>
      <c r="AS715" s="36"/>
    </row>
    <row r="716" spans="2:45" ht="12.75" customHeight="1">
      <c r="B716" s="4"/>
      <c r="C716" s="4" t="s">
        <v>380</v>
      </c>
      <c r="D716" s="63"/>
      <c r="E716" s="64"/>
      <c r="F716" s="64"/>
      <c r="G716" s="65"/>
      <c r="H716" s="65"/>
      <c r="I716" s="65"/>
      <c r="J716" s="65"/>
      <c r="K716" s="66"/>
      <c r="L716" s="66"/>
      <c r="M716" s="66"/>
      <c r="N716" s="65"/>
      <c r="O716" s="67"/>
      <c r="P716" s="183" t="s">
        <v>1008</v>
      </c>
      <c r="Q716" s="183"/>
      <c r="R716" s="183"/>
      <c r="S716" s="190">
        <f>S692+S694+S696+S698+S702+S710</f>
        <v>-10.037617312276065</v>
      </c>
      <c r="T716" s="190"/>
      <c r="U716" s="190"/>
      <c r="V716" s="190"/>
      <c r="W716" s="190">
        <f>W692+W694+W696+W698+W702+W710</f>
        <v>-0.15572331549431895</v>
      </c>
      <c r="X716" s="190"/>
      <c r="Y716" s="190"/>
      <c r="Z716" s="190"/>
      <c r="AA716" s="190">
        <f>AA692+AA694+AA696+AA698+AA702+AA710</f>
        <v>-10.037617312276065</v>
      </c>
      <c r="AB716" s="190"/>
      <c r="AC716" s="190"/>
      <c r="AD716" s="190"/>
      <c r="AH716" s="27"/>
      <c r="AJ716" s="27"/>
      <c r="AL716" s="58"/>
      <c r="AM716" s="58"/>
      <c r="AQ716" s="29"/>
      <c r="AS716" s="36"/>
    </row>
    <row r="717" spans="2:43" ht="12.75" customHeight="1">
      <c r="B717" s="4"/>
      <c r="C717" s="4"/>
      <c r="D717" s="258" t="s">
        <v>572</v>
      </c>
      <c r="E717" s="259"/>
      <c r="F717" s="259"/>
      <c r="G717" s="259"/>
      <c r="H717" s="259"/>
      <c r="I717" s="259"/>
      <c r="J717" s="259"/>
      <c r="K717" s="259"/>
      <c r="L717" s="259"/>
      <c r="M717" s="259"/>
      <c r="N717" s="259"/>
      <c r="O717" s="260"/>
      <c r="P717" s="183" t="s">
        <v>1010</v>
      </c>
      <c r="Q717" s="183"/>
      <c r="R717" s="183"/>
      <c r="S717" s="190">
        <f>S693+S695+S697+S699+S703+S711</f>
        <v>1.2129701270510687</v>
      </c>
      <c r="T717" s="190"/>
      <c r="U717" s="190"/>
      <c r="V717" s="190"/>
      <c r="W717" s="190">
        <f>W693+W695+W697+W699+W703+W711</f>
        <v>-10.962312976835912</v>
      </c>
      <c r="X717" s="190"/>
      <c r="Y717" s="190"/>
      <c r="Z717" s="190"/>
      <c r="AA717" s="190">
        <f>AA693+AA695+AA697+AA699+AA703+AA711</f>
        <v>1.2129701270510687</v>
      </c>
      <c r="AB717" s="190"/>
      <c r="AC717" s="190"/>
      <c r="AD717" s="190"/>
      <c r="AH717" s="27"/>
      <c r="AJ717" s="27"/>
      <c r="AL717" s="58"/>
      <c r="AM717" s="58"/>
      <c r="AQ717" s="29"/>
    </row>
    <row r="718" spans="2:43" ht="12.75" customHeight="1">
      <c r="B718" s="4"/>
      <c r="C718" s="4"/>
      <c r="D718" s="258" t="s">
        <v>573</v>
      </c>
      <c r="E718" s="259"/>
      <c r="F718" s="259"/>
      <c r="G718" s="259"/>
      <c r="H718" s="259"/>
      <c r="I718" s="259"/>
      <c r="J718" s="259"/>
      <c r="K718" s="259"/>
      <c r="L718" s="259"/>
      <c r="M718" s="259"/>
      <c r="N718" s="259"/>
      <c r="O718" s="260"/>
      <c r="P718" s="183" t="s">
        <v>570</v>
      </c>
      <c r="Q718" s="183"/>
      <c r="R718" s="183"/>
      <c r="S718" s="190">
        <f>IF($T$677=30,12,IF($T$677=40,15,IF($T$677=50,17,IF($T$677=60,19,"ERROR"))))*-1</f>
        <v>-15</v>
      </c>
      <c r="T718" s="190"/>
      <c r="U718" s="190"/>
      <c r="V718" s="190"/>
      <c r="W718" s="190">
        <f>S718</f>
        <v>-15</v>
      </c>
      <c r="X718" s="190"/>
      <c r="Y718" s="190"/>
      <c r="Z718" s="190"/>
      <c r="AA718" s="190">
        <f>S718</f>
        <v>-15</v>
      </c>
      <c r="AB718" s="190"/>
      <c r="AC718" s="190"/>
      <c r="AD718" s="190"/>
      <c r="AH718" s="27"/>
      <c r="AJ718" s="27"/>
      <c r="AL718" s="58"/>
      <c r="AM718" s="58"/>
      <c r="AQ718" s="29"/>
    </row>
    <row r="719" spans="2:43" ht="12.75" customHeight="1">
      <c r="B719" s="4"/>
      <c r="C719" s="4"/>
      <c r="D719" s="71"/>
      <c r="E719" s="72"/>
      <c r="F719" s="72"/>
      <c r="G719" s="73"/>
      <c r="H719" s="73"/>
      <c r="I719" s="73"/>
      <c r="J719" s="73"/>
      <c r="K719" s="53"/>
      <c r="L719" s="53"/>
      <c r="M719" s="53"/>
      <c r="N719" s="73"/>
      <c r="O719" s="74"/>
      <c r="P719" s="183" t="s">
        <v>571</v>
      </c>
      <c r="Q719" s="183"/>
      <c r="R719" s="183"/>
      <c r="S719" s="190">
        <v>0</v>
      </c>
      <c r="T719" s="190"/>
      <c r="U719" s="190"/>
      <c r="V719" s="190"/>
      <c r="W719" s="190">
        <f>S719</f>
        <v>0</v>
      </c>
      <c r="X719" s="190"/>
      <c r="Y719" s="190"/>
      <c r="Z719" s="190"/>
      <c r="AA719" s="190">
        <f>S719</f>
        <v>0</v>
      </c>
      <c r="AB719" s="190"/>
      <c r="AC719" s="190"/>
      <c r="AD719" s="190"/>
      <c r="AH719" s="27"/>
      <c r="AJ719" s="27"/>
      <c r="AL719" s="58"/>
      <c r="AM719" s="58"/>
      <c r="AQ719" s="29"/>
    </row>
    <row r="720" spans="2:43" ht="12.75" customHeight="1">
      <c r="B720" s="4"/>
      <c r="C720" s="4"/>
      <c r="D720" s="63"/>
      <c r="E720" s="64"/>
      <c r="F720" s="64"/>
      <c r="G720" s="65"/>
      <c r="H720" s="65"/>
      <c r="I720" s="65"/>
      <c r="J720" s="65"/>
      <c r="K720" s="66"/>
      <c r="L720" s="66"/>
      <c r="M720" s="66"/>
      <c r="N720" s="65"/>
      <c r="O720" s="67"/>
      <c r="P720" s="183" t="s">
        <v>1008</v>
      </c>
      <c r="Q720" s="183"/>
      <c r="R720" s="183"/>
      <c r="S720" s="190">
        <f>S692+S694+S696+S698+S700+S702+S710</f>
        <v>-7.089366979866094</v>
      </c>
      <c r="T720" s="190"/>
      <c r="U720" s="190"/>
      <c r="V720" s="190"/>
      <c r="W720" s="190">
        <f>W692+W694+W696+W698+W700+W702+W710</f>
        <v>-5.352689982160985</v>
      </c>
      <c r="X720" s="190"/>
      <c r="Y720" s="190"/>
      <c r="Z720" s="190"/>
      <c r="AA720" s="190">
        <f>AA692+AA694+AA696+AA698+AA700+AA702+AA710</f>
        <v>-7.089366979866094</v>
      </c>
      <c r="AB720" s="190"/>
      <c r="AC720" s="190"/>
      <c r="AD720" s="190"/>
      <c r="AH720" s="27"/>
      <c r="AJ720" s="27"/>
      <c r="AL720" s="58"/>
      <c r="AM720" s="58"/>
      <c r="AQ720" s="29"/>
    </row>
    <row r="721" spans="2:43" ht="12.75" customHeight="1">
      <c r="B721" s="4"/>
      <c r="C721" s="4"/>
      <c r="D721" s="258" t="s">
        <v>1226</v>
      </c>
      <c r="E721" s="259"/>
      <c r="F721" s="259"/>
      <c r="G721" s="259"/>
      <c r="H721" s="259"/>
      <c r="I721" s="259"/>
      <c r="J721" s="259"/>
      <c r="K721" s="259"/>
      <c r="L721" s="259"/>
      <c r="M721" s="259"/>
      <c r="N721" s="259"/>
      <c r="O721" s="260"/>
      <c r="P721" s="183" t="s">
        <v>1010</v>
      </c>
      <c r="Q721" s="183"/>
      <c r="R721" s="183"/>
      <c r="S721" s="190">
        <f>S697+S699+S701+S703+S709+S715</f>
        <v>1.7199791625837801</v>
      </c>
      <c r="T721" s="190"/>
      <c r="U721" s="190"/>
      <c r="V721" s="190"/>
      <c r="W721" s="190">
        <f>W697+W699+W701+W703+W709+W715</f>
        <v>-9.744409281009139</v>
      </c>
      <c r="X721" s="190"/>
      <c r="Y721" s="190"/>
      <c r="Z721" s="190"/>
      <c r="AA721" s="190">
        <f>AA697+AA699+AA701+AA703+AA709+AA715</f>
        <v>1.7199791625837801</v>
      </c>
      <c r="AB721" s="190"/>
      <c r="AC721" s="190"/>
      <c r="AD721" s="190"/>
      <c r="AH721" s="27"/>
      <c r="AJ721" s="27"/>
      <c r="AL721" s="58"/>
      <c r="AM721" s="58"/>
      <c r="AQ721" s="29"/>
    </row>
    <row r="722" spans="2:43" ht="12.75" customHeight="1">
      <c r="B722" s="4"/>
      <c r="C722" s="4"/>
      <c r="D722" s="258" t="s">
        <v>574</v>
      </c>
      <c r="E722" s="259"/>
      <c r="F722" s="259"/>
      <c r="G722" s="259"/>
      <c r="H722" s="259"/>
      <c r="I722" s="259"/>
      <c r="J722" s="259"/>
      <c r="K722" s="259"/>
      <c r="L722" s="259"/>
      <c r="M722" s="259"/>
      <c r="N722" s="259"/>
      <c r="O722" s="260"/>
      <c r="P722" s="183" t="s">
        <v>570</v>
      </c>
      <c r="Q722" s="183"/>
      <c r="R722" s="183"/>
      <c r="S722" s="190">
        <f>IF($T$677=30,12,IF($T$677=40,15,IF($T$677=50,17,IF($T$677=60,19,"ERROR"))))*-1</f>
        <v>-15</v>
      </c>
      <c r="T722" s="190"/>
      <c r="U722" s="190"/>
      <c r="V722" s="190"/>
      <c r="W722" s="190">
        <f>S722</f>
        <v>-15</v>
      </c>
      <c r="X722" s="190"/>
      <c r="Y722" s="190"/>
      <c r="Z722" s="190"/>
      <c r="AA722" s="190">
        <f>S722</f>
        <v>-15</v>
      </c>
      <c r="AB722" s="190"/>
      <c r="AC722" s="190"/>
      <c r="AD722" s="190"/>
      <c r="AH722" s="27"/>
      <c r="AJ722" s="27"/>
      <c r="AL722" s="58"/>
      <c r="AM722" s="58"/>
      <c r="AQ722" s="29"/>
    </row>
    <row r="723" spans="2:43" ht="12.75" customHeight="1">
      <c r="B723" s="4"/>
      <c r="C723" s="4"/>
      <c r="D723" s="75"/>
      <c r="E723" s="72"/>
      <c r="F723" s="72"/>
      <c r="G723" s="73"/>
      <c r="H723" s="73"/>
      <c r="I723" s="73"/>
      <c r="J723" s="73"/>
      <c r="K723" s="53"/>
      <c r="L723" s="53"/>
      <c r="M723" s="53"/>
      <c r="N723" s="73"/>
      <c r="O723" s="74"/>
      <c r="P723" s="183" t="s">
        <v>571</v>
      </c>
      <c r="Q723" s="183"/>
      <c r="R723" s="183"/>
      <c r="S723" s="190">
        <f>$X$662</f>
        <v>2.250359141765158</v>
      </c>
      <c r="T723" s="190"/>
      <c r="U723" s="190"/>
      <c r="V723" s="190"/>
      <c r="W723" s="190">
        <f>$X$661</f>
        <v>2.470144622524153</v>
      </c>
      <c r="X723" s="190"/>
      <c r="Y723" s="190"/>
      <c r="Z723" s="190"/>
      <c r="AA723" s="190">
        <f>S723</f>
        <v>2.250359141765158</v>
      </c>
      <c r="AB723" s="190"/>
      <c r="AC723" s="190"/>
      <c r="AD723" s="190"/>
      <c r="AH723" s="27"/>
      <c r="AJ723" s="27"/>
      <c r="AL723" s="58"/>
      <c r="AM723" s="58"/>
      <c r="AQ723" s="29"/>
    </row>
    <row r="724" spans="2:43" ht="12.75" customHeight="1">
      <c r="B724" s="4"/>
      <c r="C724" s="4"/>
      <c r="D724" s="63"/>
      <c r="E724" s="64"/>
      <c r="F724" s="64"/>
      <c r="G724" s="65"/>
      <c r="H724" s="65"/>
      <c r="I724" s="65"/>
      <c r="J724" s="65"/>
      <c r="K724" s="66"/>
      <c r="L724" s="66"/>
      <c r="M724" s="66"/>
      <c r="N724" s="65"/>
      <c r="O724" s="67"/>
      <c r="P724" s="183" t="s">
        <v>1008</v>
      </c>
      <c r="Q724" s="183"/>
      <c r="R724" s="183"/>
      <c r="S724" s="190">
        <f>S692+S694+S696+S698+S700+S702+1/2*S706+S710</f>
        <v>-7.063432769339778</v>
      </c>
      <c r="T724" s="190"/>
      <c r="U724" s="190"/>
      <c r="V724" s="190"/>
      <c r="W724" s="190">
        <f>W692+W694+W696+W698+W700+W702+1/2*W706+W710</f>
        <v>-5.352689982160985</v>
      </c>
      <c r="X724" s="190"/>
      <c r="Y724" s="190"/>
      <c r="Z724" s="190"/>
      <c r="AA724" s="190">
        <f>AA692+AA694+AA696+AA698+AA700+AA702+1/2*AA706+AA710</f>
        <v>-7.063432769339778</v>
      </c>
      <c r="AB724" s="190"/>
      <c r="AC724" s="190"/>
      <c r="AD724" s="190"/>
      <c r="AH724" s="27"/>
      <c r="AJ724" s="27"/>
      <c r="AL724" s="58"/>
      <c r="AM724" s="58"/>
      <c r="AQ724" s="29"/>
    </row>
    <row r="725" spans="2:43" ht="12.75" customHeight="1">
      <c r="B725" s="4"/>
      <c r="C725" s="4"/>
      <c r="D725" s="258" t="s">
        <v>1410</v>
      </c>
      <c r="E725" s="259"/>
      <c r="F725" s="259"/>
      <c r="G725" s="259"/>
      <c r="H725" s="259"/>
      <c r="I725" s="259"/>
      <c r="J725" s="259"/>
      <c r="K725" s="259"/>
      <c r="L725" s="259"/>
      <c r="M725" s="259"/>
      <c r="N725" s="259"/>
      <c r="O725" s="260"/>
      <c r="P725" s="183" t="s">
        <v>1010</v>
      </c>
      <c r="Q725" s="183"/>
      <c r="R725" s="183"/>
      <c r="S725" s="190">
        <f>S693+S695+S697+S699+S701+S703+1/2*S707+S711</f>
        <v>-1.761214415885218</v>
      </c>
      <c r="T725" s="190"/>
      <c r="U725" s="190"/>
      <c r="V725" s="190"/>
      <c r="W725" s="190">
        <f>W693+W695+W697+W699+W701+W703+1/2*W707+W711</f>
        <v>-5.765346310169246</v>
      </c>
      <c r="X725" s="190"/>
      <c r="Y725" s="190"/>
      <c r="Z725" s="190"/>
      <c r="AA725" s="190">
        <f>AA693+AA695+AA697+AA699+AA701+AA703+1/2*AA707+AA711</f>
        <v>-1.761214415885218</v>
      </c>
      <c r="AB725" s="190"/>
      <c r="AC725" s="190"/>
      <c r="AD725" s="190"/>
      <c r="AH725" s="27"/>
      <c r="AJ725" s="27"/>
      <c r="AL725" s="58"/>
      <c r="AM725" s="58"/>
      <c r="AQ725" s="29"/>
    </row>
    <row r="726" spans="2:43" ht="12.75" customHeight="1">
      <c r="B726" s="4"/>
      <c r="C726" s="4"/>
      <c r="D726" s="258" t="s">
        <v>575</v>
      </c>
      <c r="E726" s="259"/>
      <c r="F726" s="259"/>
      <c r="G726" s="259"/>
      <c r="H726" s="259"/>
      <c r="I726" s="259"/>
      <c r="J726" s="259"/>
      <c r="K726" s="259"/>
      <c r="L726" s="259"/>
      <c r="M726" s="259"/>
      <c r="N726" s="259"/>
      <c r="O726" s="260"/>
      <c r="P726" s="183" t="s">
        <v>576</v>
      </c>
      <c r="Q726" s="183"/>
      <c r="R726" s="183"/>
      <c r="S726" s="190">
        <f>IF($T$677=30,12,IF($T$677=40,15,IF($T$677=50,17,IF($T$677=60,19,"ERROR"))))*-1.25</f>
        <v>-18.75</v>
      </c>
      <c r="T726" s="190"/>
      <c r="U726" s="190"/>
      <c r="V726" s="190"/>
      <c r="W726" s="190">
        <f>S726</f>
        <v>-18.75</v>
      </c>
      <c r="X726" s="190"/>
      <c r="Y726" s="190"/>
      <c r="Z726" s="190"/>
      <c r="AA726" s="190">
        <f>S726</f>
        <v>-18.75</v>
      </c>
      <c r="AB726" s="190"/>
      <c r="AC726" s="190"/>
      <c r="AD726" s="190"/>
      <c r="AH726" s="27"/>
      <c r="AJ726" s="27"/>
      <c r="AL726" s="58"/>
      <c r="AM726" s="58"/>
      <c r="AQ726" s="29"/>
    </row>
    <row r="727" spans="2:43" ht="12.75" customHeight="1">
      <c r="B727" s="4"/>
      <c r="C727" s="4"/>
      <c r="D727" s="71" t="s">
        <v>42</v>
      </c>
      <c r="E727" s="72"/>
      <c r="F727" s="72"/>
      <c r="G727" s="73"/>
      <c r="H727" s="73"/>
      <c r="I727" s="73"/>
      <c r="J727" s="73"/>
      <c r="K727" s="53"/>
      <c r="L727" s="53"/>
      <c r="M727" s="53"/>
      <c r="N727" s="73"/>
      <c r="O727" s="74"/>
      <c r="P727" s="183" t="s">
        <v>577</v>
      </c>
      <c r="Q727" s="183"/>
      <c r="R727" s="183"/>
      <c r="S727" s="190">
        <f>$X$662</f>
        <v>2.250359141765158</v>
      </c>
      <c r="T727" s="190"/>
      <c r="U727" s="190"/>
      <c r="V727" s="190"/>
      <c r="W727" s="190">
        <f>$X$661</f>
        <v>2.470144622524153</v>
      </c>
      <c r="X727" s="190"/>
      <c r="Y727" s="190"/>
      <c r="Z727" s="190"/>
      <c r="AA727" s="190">
        <f>S727</f>
        <v>2.250359141765158</v>
      </c>
      <c r="AB727" s="190"/>
      <c r="AC727" s="190"/>
      <c r="AD727" s="190"/>
      <c r="AH727" s="27"/>
      <c r="AJ727" s="27"/>
      <c r="AL727" s="58"/>
      <c r="AM727" s="58"/>
      <c r="AQ727" s="29"/>
    </row>
    <row r="728" spans="2:43" ht="12.75" customHeight="1">
      <c r="B728" s="4"/>
      <c r="C728" s="4"/>
      <c r="D728" s="63"/>
      <c r="E728" s="64"/>
      <c r="F728" s="64"/>
      <c r="G728" s="65"/>
      <c r="H728" s="65"/>
      <c r="I728" s="65"/>
      <c r="J728" s="65"/>
      <c r="K728" s="66"/>
      <c r="L728" s="66"/>
      <c r="M728" s="66"/>
      <c r="N728" s="65"/>
      <c r="O728" s="67"/>
      <c r="P728" s="183" t="s">
        <v>1008</v>
      </c>
      <c r="Q728" s="183"/>
      <c r="R728" s="183"/>
      <c r="S728" s="190">
        <f>S692+S694+S696+S698+S706+S710</f>
        <v>-10.121309833051688</v>
      </c>
      <c r="T728" s="190"/>
      <c r="U728" s="190"/>
      <c r="V728" s="190"/>
      <c r="W728" s="190">
        <f>W692+W694+W696+W698+W706+W710</f>
        <v>-0.15572331549431895</v>
      </c>
      <c r="X728" s="190"/>
      <c r="Y728" s="190"/>
      <c r="Z728" s="190"/>
      <c r="AA728" s="190">
        <f>AA692+AA694+AA696+AA698+AA706+AA710</f>
        <v>-10.121309833051688</v>
      </c>
      <c r="AB728" s="190"/>
      <c r="AC728" s="190"/>
      <c r="AD728" s="190"/>
      <c r="AH728" s="27"/>
      <c r="AJ728" s="27"/>
      <c r="AL728" s="58"/>
      <c r="AM728" s="58"/>
      <c r="AQ728" s="29"/>
    </row>
    <row r="729" spans="2:43" ht="12.75" customHeight="1">
      <c r="B729" s="4"/>
      <c r="C729" s="4"/>
      <c r="D729" s="258" t="s">
        <v>1411</v>
      </c>
      <c r="E729" s="259"/>
      <c r="F729" s="259"/>
      <c r="G729" s="259"/>
      <c r="H729" s="259"/>
      <c r="I729" s="259"/>
      <c r="J729" s="259"/>
      <c r="K729" s="259"/>
      <c r="L729" s="259"/>
      <c r="M729" s="259"/>
      <c r="N729" s="259"/>
      <c r="O729" s="260"/>
      <c r="P729" s="183" t="s">
        <v>1010</v>
      </c>
      <c r="Q729" s="183"/>
      <c r="R729" s="183"/>
      <c r="S729" s="190">
        <f>S693+S695+S697+S699+S707+S711</f>
        <v>1.2966626478266918</v>
      </c>
      <c r="T729" s="190"/>
      <c r="U729" s="190"/>
      <c r="V729" s="190"/>
      <c r="W729" s="190">
        <f>W693+W695+W697+W699+W707+W711</f>
        <v>-10.962312976835912</v>
      </c>
      <c r="X729" s="190"/>
      <c r="Y729" s="190"/>
      <c r="Z729" s="190"/>
      <c r="AA729" s="190">
        <f>AA693+AA695+AA697+AA699+AA707+AA711</f>
        <v>1.2966626478266918</v>
      </c>
      <c r="AB729" s="190"/>
      <c r="AC729" s="190"/>
      <c r="AD729" s="190"/>
      <c r="AH729" s="27"/>
      <c r="AJ729" s="27"/>
      <c r="AL729" s="58"/>
      <c r="AM729" s="58"/>
      <c r="AQ729" s="29"/>
    </row>
    <row r="730" spans="2:43" ht="12.75" customHeight="1">
      <c r="B730" s="4"/>
      <c r="C730" s="4"/>
      <c r="D730" s="258" t="s">
        <v>578</v>
      </c>
      <c r="E730" s="259"/>
      <c r="F730" s="259"/>
      <c r="G730" s="259"/>
      <c r="H730" s="259"/>
      <c r="I730" s="259"/>
      <c r="J730" s="259"/>
      <c r="K730" s="259"/>
      <c r="L730" s="259"/>
      <c r="M730" s="259"/>
      <c r="N730" s="259"/>
      <c r="O730" s="260"/>
      <c r="P730" s="183" t="s">
        <v>576</v>
      </c>
      <c r="Q730" s="183"/>
      <c r="R730" s="183"/>
      <c r="S730" s="190">
        <f>IF($T$677=30,12,IF($T$677=40,15,IF($T$677=50,17,IF($T$677=60,19,"ERROR"))))*-1.25</f>
        <v>-18.75</v>
      </c>
      <c r="T730" s="190"/>
      <c r="U730" s="190"/>
      <c r="V730" s="190"/>
      <c r="W730" s="190">
        <f>S730</f>
        <v>-18.75</v>
      </c>
      <c r="X730" s="190"/>
      <c r="Y730" s="190"/>
      <c r="Z730" s="190"/>
      <c r="AA730" s="190">
        <f>S730</f>
        <v>-18.75</v>
      </c>
      <c r="AB730" s="190"/>
      <c r="AC730" s="190"/>
      <c r="AD730" s="190"/>
      <c r="AH730" s="27"/>
      <c r="AJ730" s="27"/>
      <c r="AL730" s="58"/>
      <c r="AM730" s="58"/>
      <c r="AQ730" s="29"/>
    </row>
    <row r="731" spans="2:43" ht="12.75" customHeight="1">
      <c r="B731" s="4"/>
      <c r="C731" s="4"/>
      <c r="D731" s="71"/>
      <c r="E731" s="72"/>
      <c r="F731" s="72"/>
      <c r="G731" s="73"/>
      <c r="H731" s="73"/>
      <c r="I731" s="73"/>
      <c r="J731" s="73"/>
      <c r="K731" s="53"/>
      <c r="L731" s="53"/>
      <c r="M731" s="53"/>
      <c r="N731" s="73"/>
      <c r="O731" s="74"/>
      <c r="P731" s="183" t="s">
        <v>577</v>
      </c>
      <c r="Q731" s="183"/>
      <c r="R731" s="183"/>
      <c r="S731" s="190">
        <f>$X$662</f>
        <v>2.250359141765158</v>
      </c>
      <c r="T731" s="190"/>
      <c r="U731" s="190"/>
      <c r="V731" s="190"/>
      <c r="W731" s="190">
        <f>$X$661</f>
        <v>2.470144622524153</v>
      </c>
      <c r="X731" s="190"/>
      <c r="Y731" s="190"/>
      <c r="Z731" s="190"/>
      <c r="AA731" s="190">
        <f>S731</f>
        <v>2.250359141765158</v>
      </c>
      <c r="AB731" s="190"/>
      <c r="AC731" s="190"/>
      <c r="AD731" s="190"/>
      <c r="AH731" s="27"/>
      <c r="AJ731" s="27"/>
      <c r="AL731" s="58"/>
      <c r="AM731" s="58"/>
      <c r="AQ731" s="29"/>
    </row>
    <row r="732" spans="2:43" ht="12.75" customHeight="1">
      <c r="B732" s="4"/>
      <c r="C732" s="4"/>
      <c r="D732" s="291" t="s">
        <v>1227</v>
      </c>
      <c r="E732" s="292"/>
      <c r="F732" s="292"/>
      <c r="G732" s="292"/>
      <c r="H732" s="292"/>
      <c r="I732" s="292"/>
      <c r="J732" s="292"/>
      <c r="K732" s="292"/>
      <c r="L732" s="292"/>
      <c r="M732" s="292"/>
      <c r="N732" s="292"/>
      <c r="O732" s="293"/>
      <c r="P732" s="183" t="s">
        <v>1008</v>
      </c>
      <c r="Q732" s="183"/>
      <c r="R732" s="183"/>
      <c r="S732" s="190">
        <f>S692+S694+S696+S698+S700+S704+S710</f>
        <v>-7.2249279216943485</v>
      </c>
      <c r="T732" s="190"/>
      <c r="U732" s="190"/>
      <c r="V732" s="190"/>
      <c r="W732" s="190">
        <f>W692+W694+W696+W698+W700+W704+W710</f>
        <v>-5.352689982160985</v>
      </c>
      <c r="X732" s="190"/>
      <c r="Y732" s="190"/>
      <c r="Z732" s="190"/>
      <c r="AA732" s="190">
        <f>AA692+AA694+AA696+AA698+AA700+AA704+AA710</f>
        <v>-7.2249279216943485</v>
      </c>
      <c r="AB732" s="190"/>
      <c r="AC732" s="190"/>
      <c r="AD732" s="190"/>
      <c r="AH732" s="27"/>
      <c r="AJ732" s="27"/>
      <c r="AL732" s="58"/>
      <c r="AM732" s="58"/>
      <c r="AQ732" s="29"/>
    </row>
    <row r="733" spans="2:43" ht="12.75" customHeight="1">
      <c r="B733" s="4"/>
      <c r="C733" s="4"/>
      <c r="D733" s="70" t="s">
        <v>579</v>
      </c>
      <c r="E733" s="68"/>
      <c r="F733" s="76"/>
      <c r="G733" s="68"/>
      <c r="H733" s="68"/>
      <c r="I733" s="68"/>
      <c r="J733" s="68"/>
      <c r="K733" s="62"/>
      <c r="L733" s="62"/>
      <c r="M733" s="62"/>
      <c r="N733" s="68"/>
      <c r="O733" s="69"/>
      <c r="P733" s="183" t="s">
        <v>1010</v>
      </c>
      <c r="Q733" s="183"/>
      <c r="R733" s="183"/>
      <c r="S733" s="190">
        <f>S693+S695+S697+S699+S701+S705+S711</f>
        <v>-1.5997192635306479</v>
      </c>
      <c r="T733" s="190"/>
      <c r="U733" s="190"/>
      <c r="V733" s="190"/>
      <c r="W733" s="190">
        <f>W693+W695+W697+W699+W701+W705+W711</f>
        <v>-5.765346310169246</v>
      </c>
      <c r="X733" s="190"/>
      <c r="Y733" s="190"/>
      <c r="Z733" s="190"/>
      <c r="AA733" s="190">
        <f>AA693+AA695+AA697+AA699+AA701+AA705+AA711</f>
        <v>-1.5997192635306479</v>
      </c>
      <c r="AB733" s="190"/>
      <c r="AC733" s="190"/>
      <c r="AD733" s="190"/>
      <c r="AH733" s="27"/>
      <c r="AJ733" s="27"/>
      <c r="AL733" s="58"/>
      <c r="AM733" s="58"/>
      <c r="AQ733" s="29"/>
    </row>
    <row r="734" spans="2:43" ht="12.75" customHeight="1">
      <c r="B734" s="4"/>
      <c r="C734" s="4"/>
      <c r="D734" s="71"/>
      <c r="E734" s="72"/>
      <c r="F734" s="72"/>
      <c r="G734" s="73"/>
      <c r="H734" s="73"/>
      <c r="I734" s="73"/>
      <c r="J734" s="73"/>
      <c r="K734" s="53"/>
      <c r="L734" s="53"/>
      <c r="M734" s="53"/>
      <c r="N734" s="73"/>
      <c r="O734" s="74"/>
      <c r="P734" s="183" t="s">
        <v>580</v>
      </c>
      <c r="Q734" s="183"/>
      <c r="R734" s="183"/>
      <c r="S734" s="190">
        <f>S722*1.5</f>
        <v>-22.5</v>
      </c>
      <c r="T734" s="190"/>
      <c r="U734" s="190"/>
      <c r="V734" s="190"/>
      <c r="W734" s="190">
        <f>S734</f>
        <v>-22.5</v>
      </c>
      <c r="X734" s="190"/>
      <c r="Y734" s="190"/>
      <c r="Z734" s="190"/>
      <c r="AA734" s="190">
        <f>S734</f>
        <v>-22.5</v>
      </c>
      <c r="AB734" s="190"/>
      <c r="AC734" s="190"/>
      <c r="AD734" s="190"/>
      <c r="AH734" s="27"/>
      <c r="AJ734" s="27"/>
      <c r="AL734" s="58"/>
      <c r="AM734" s="58"/>
      <c r="AQ734" s="29"/>
    </row>
    <row r="735" spans="2:45" ht="12.75" customHeight="1">
      <c r="B735" s="4"/>
      <c r="C735" s="4"/>
      <c r="D735" s="58" t="s">
        <v>1326</v>
      </c>
      <c r="E735" s="58"/>
      <c r="H735" s="58" t="s">
        <v>1412</v>
      </c>
      <c r="I735" s="58"/>
      <c r="J735" s="58"/>
      <c r="K735" s="4"/>
      <c r="L735" s="4"/>
      <c r="M735" s="4"/>
      <c r="N735" s="4"/>
      <c r="O735" s="4"/>
      <c r="Q735" s="261">
        <f>IF($T$677=30,15,IF($T$677=40,19,IF($T$677=50,21,IF($T$677=60,23,"ERROR"))))*-1</f>
        <v>-19</v>
      </c>
      <c r="R735" s="261"/>
      <c r="S735" s="261"/>
      <c r="U735" s="27" t="s">
        <v>581</v>
      </c>
      <c r="W735" s="27" t="s">
        <v>582</v>
      </c>
      <c r="Z735" s="27" t="s">
        <v>581</v>
      </c>
      <c r="AB735" s="261">
        <f>IF($T$677=30,1.2,IF($T$677=40,1.5,IF($T$677=50,1.8,IF($T$677=60,2,"ERROR"))))</f>
        <v>1.5</v>
      </c>
      <c r="AC735" s="261"/>
      <c r="AD735" s="261"/>
      <c r="AE735" s="29" t="s">
        <v>385</v>
      </c>
      <c r="AH735" s="27"/>
      <c r="AI735" s="27"/>
      <c r="AJ735" s="27"/>
      <c r="AQ735" s="29"/>
      <c r="AR735" s="29"/>
      <c r="AS735" s="29"/>
    </row>
    <row r="736" spans="2:45" ht="12.75" customHeight="1">
      <c r="B736" s="4"/>
      <c r="C736" s="4"/>
      <c r="D736" s="4"/>
      <c r="E736" s="4"/>
      <c r="H736" s="4" t="s">
        <v>1001</v>
      </c>
      <c r="I736" s="4"/>
      <c r="J736" s="4"/>
      <c r="K736" s="4"/>
      <c r="L736" s="4"/>
      <c r="M736" s="4"/>
      <c r="N736" s="4"/>
      <c r="O736" s="4"/>
      <c r="Q736" s="261">
        <f>IF($T$677=30,12,IF($T$677=40,15,IF($T$677=50,17,IF($T$677=60,19,"ERROR"))))*-1</f>
        <v>-15</v>
      </c>
      <c r="R736" s="261"/>
      <c r="S736" s="261"/>
      <c r="U736" s="27" t="s">
        <v>583</v>
      </c>
      <c r="W736" s="27" t="s">
        <v>584</v>
      </c>
      <c r="Z736" s="27" t="s">
        <v>583</v>
      </c>
      <c r="AB736" s="261">
        <v>0</v>
      </c>
      <c r="AC736" s="261"/>
      <c r="AD736" s="261"/>
      <c r="AE736" s="29" t="s">
        <v>158</v>
      </c>
      <c r="AH736" s="27"/>
      <c r="AI736" s="27"/>
      <c r="AJ736" s="27"/>
      <c r="AQ736" s="29"/>
      <c r="AR736" s="29"/>
      <c r="AS736" s="29"/>
    </row>
    <row r="737" spans="2:45" ht="12.75" customHeight="1">
      <c r="B737" s="4"/>
      <c r="C737" s="4"/>
      <c r="D737" s="4"/>
      <c r="E737" s="4"/>
      <c r="H737" s="4" t="s">
        <v>1226</v>
      </c>
      <c r="I737" s="4"/>
      <c r="J737" s="4"/>
      <c r="K737" s="4"/>
      <c r="L737" s="4"/>
      <c r="M737" s="4"/>
      <c r="N737" s="4"/>
      <c r="O737" s="4"/>
      <c r="Q737" s="261">
        <f>IF($T$677=30,12,IF($T$677=40,15,IF($T$677=50,17,IF($T$677=60,19,"ERROR"))))*-1</f>
        <v>-15</v>
      </c>
      <c r="R737" s="261"/>
      <c r="S737" s="261"/>
      <c r="U737" s="27" t="s">
        <v>581</v>
      </c>
      <c r="W737" s="27" t="s">
        <v>582</v>
      </c>
      <c r="Z737" s="27" t="s">
        <v>581</v>
      </c>
      <c r="AB737" s="261">
        <f>$X$661</f>
        <v>2.470144622524153</v>
      </c>
      <c r="AC737" s="261"/>
      <c r="AD737" s="261"/>
      <c r="AE737" s="27" t="s">
        <v>555</v>
      </c>
      <c r="AF737" s="261">
        <f>$X$662</f>
        <v>2.250359141765158</v>
      </c>
      <c r="AG737" s="261"/>
      <c r="AH737" s="261"/>
      <c r="AI737" s="27" t="s">
        <v>423</v>
      </c>
      <c r="AJ737" s="29" t="s">
        <v>385</v>
      </c>
      <c r="AQ737" s="29"/>
      <c r="AR737" s="29"/>
      <c r="AS737" s="29"/>
    </row>
    <row r="738" spans="2:45" ht="12.75" customHeight="1">
      <c r="B738" s="4"/>
      <c r="C738" s="4"/>
      <c r="D738" s="4"/>
      <c r="E738" s="4"/>
      <c r="H738" s="4" t="s">
        <v>1413</v>
      </c>
      <c r="I738" s="4"/>
      <c r="J738" s="4"/>
      <c r="K738" s="4"/>
      <c r="L738" s="4"/>
      <c r="M738" s="4"/>
      <c r="N738" s="4"/>
      <c r="O738" s="4"/>
      <c r="Q738" s="261">
        <f>IF($T$677=30,12,IF($T$677=40,15,IF($T$677=50,17,IF($T$677=60,19,"ERROR"))))*-1.25</f>
        <v>-18.75</v>
      </c>
      <c r="R738" s="261"/>
      <c r="S738" s="261"/>
      <c r="U738" s="27" t="s">
        <v>585</v>
      </c>
      <c r="W738" s="27" t="s">
        <v>586</v>
      </c>
      <c r="Z738" s="27" t="s">
        <v>585</v>
      </c>
      <c r="AB738" s="261">
        <f>$X$661</f>
        <v>2.470144622524153</v>
      </c>
      <c r="AC738" s="261"/>
      <c r="AD738" s="261"/>
      <c r="AE738" s="27" t="s">
        <v>1048</v>
      </c>
      <c r="AF738" s="261">
        <f>$X$662</f>
        <v>2.250359141765158</v>
      </c>
      <c r="AG738" s="261"/>
      <c r="AH738" s="261"/>
      <c r="AI738" s="27" t="s">
        <v>587</v>
      </c>
      <c r="AJ738" s="29" t="s">
        <v>588</v>
      </c>
      <c r="AQ738" s="29"/>
      <c r="AR738" s="29"/>
      <c r="AS738" s="29"/>
    </row>
    <row r="739" spans="2:45" ht="12.75" customHeight="1">
      <c r="B739" s="4"/>
      <c r="C739" s="4"/>
      <c r="D739" s="4"/>
      <c r="E739" s="4"/>
      <c r="H739" s="4" t="s">
        <v>0</v>
      </c>
      <c r="I739" s="4"/>
      <c r="J739" s="4"/>
      <c r="K739" s="4"/>
      <c r="L739" s="4"/>
      <c r="M739" s="4"/>
      <c r="N739" s="4"/>
      <c r="O739" s="4"/>
      <c r="Q739" s="261">
        <f>Q737*1.5</f>
        <v>-22.5</v>
      </c>
      <c r="R739" s="261"/>
      <c r="S739" s="261"/>
      <c r="U739" s="27" t="s">
        <v>589</v>
      </c>
      <c r="W739" s="27" t="s">
        <v>590</v>
      </c>
      <c r="Z739" s="27" t="s">
        <v>589</v>
      </c>
      <c r="AB739" s="261">
        <f>$X$661</f>
        <v>2.470144622524153</v>
      </c>
      <c r="AC739" s="261"/>
      <c r="AD739" s="261"/>
      <c r="AE739" s="27" t="s">
        <v>1355</v>
      </c>
      <c r="AF739" s="261">
        <f>$X$662</f>
        <v>2.250359141765158</v>
      </c>
      <c r="AG739" s="261"/>
      <c r="AH739" s="261"/>
      <c r="AI739" s="27" t="s">
        <v>1118</v>
      </c>
      <c r="AJ739" s="29" t="s">
        <v>1116</v>
      </c>
      <c r="AQ739" s="29"/>
      <c r="AR739" s="29"/>
      <c r="AS739" s="29"/>
    </row>
    <row r="740" spans="2:43" ht="12.75" customHeight="1">
      <c r="B740" s="4"/>
      <c r="C740" s="4"/>
      <c r="D740" s="4"/>
      <c r="E740" s="4"/>
      <c r="F740" s="4"/>
      <c r="H740" s="4"/>
      <c r="I740" s="4"/>
      <c r="J740" s="4"/>
      <c r="K740" s="4"/>
      <c r="L740" s="4"/>
      <c r="M740" s="4"/>
      <c r="N740" s="4" t="s">
        <v>1280</v>
      </c>
      <c r="AH740" s="27"/>
      <c r="AQ740" s="29"/>
    </row>
    <row r="741" spans="1:12" ht="19.5" customHeight="1">
      <c r="A741" s="4"/>
      <c r="B741" s="4"/>
      <c r="C741" s="4"/>
      <c r="D741" s="4"/>
      <c r="E741" s="4"/>
      <c r="F741" s="4"/>
      <c r="G741" s="4"/>
      <c r="H741" s="4"/>
      <c r="I741" s="4"/>
      <c r="J741" s="4"/>
      <c r="K741" s="4"/>
      <c r="L741" s="4"/>
    </row>
    <row r="742" spans="2:43" ht="12.75" customHeight="1">
      <c r="B742" s="4"/>
      <c r="C742" s="4"/>
      <c r="D742" s="4" t="s">
        <v>1336</v>
      </c>
      <c r="E742" s="4"/>
      <c r="F742" s="4"/>
      <c r="G742" s="4"/>
      <c r="H742" s="4"/>
      <c r="I742" s="4"/>
      <c r="J742" s="4"/>
      <c r="K742" s="4"/>
      <c r="L742" s="4"/>
      <c r="M742" s="4"/>
      <c r="AH742" s="27"/>
      <c r="AQ742" s="29"/>
    </row>
    <row r="743" spans="2:43" ht="12.75" customHeight="1">
      <c r="B743" s="4"/>
      <c r="C743" s="4"/>
      <c r="D743" s="183" t="s">
        <v>917</v>
      </c>
      <c r="E743" s="183"/>
      <c r="F743" s="183"/>
      <c r="G743" s="183"/>
      <c r="H743" s="183"/>
      <c r="I743" s="183"/>
      <c r="J743" s="183"/>
      <c r="K743" s="183"/>
      <c r="L743" s="183"/>
      <c r="M743" s="183"/>
      <c r="N743" s="183"/>
      <c r="O743" s="183"/>
      <c r="P743" s="183"/>
      <c r="Q743" s="183"/>
      <c r="R743" s="183"/>
      <c r="S743" s="204" t="s">
        <v>460</v>
      </c>
      <c r="T743" s="204"/>
      <c r="U743" s="204"/>
      <c r="V743" s="204"/>
      <c r="W743" s="204" t="s">
        <v>461</v>
      </c>
      <c r="X743" s="204"/>
      <c r="Y743" s="204"/>
      <c r="Z743" s="204"/>
      <c r="AA743" s="204" t="s">
        <v>462</v>
      </c>
      <c r="AB743" s="204"/>
      <c r="AC743" s="204"/>
      <c r="AD743" s="204"/>
      <c r="AH743" s="27"/>
      <c r="AJ743" s="27"/>
      <c r="AL743" s="58"/>
      <c r="AM743" s="58"/>
      <c r="AQ743" s="29"/>
    </row>
    <row r="744" spans="2:43" ht="12.75" customHeight="1">
      <c r="B744" s="4"/>
      <c r="C744" s="4"/>
      <c r="D744" s="273" t="s">
        <v>1408</v>
      </c>
      <c r="E744" s="274"/>
      <c r="F744" s="270" t="s">
        <v>1</v>
      </c>
      <c r="G744" s="270"/>
      <c r="H744" s="270"/>
      <c r="I744" s="270"/>
      <c r="J744" s="270"/>
      <c r="K744" s="270"/>
      <c r="L744" s="270"/>
      <c r="M744" s="270"/>
      <c r="N744" s="270"/>
      <c r="O744" s="270"/>
      <c r="P744" s="183" t="s">
        <v>1008</v>
      </c>
      <c r="Q744" s="183"/>
      <c r="R744" s="183"/>
      <c r="S744" s="190">
        <f>T$221*1000/$AH$264</f>
        <v>1.0345013850415512</v>
      </c>
      <c r="T744" s="190"/>
      <c r="U744" s="190"/>
      <c r="V744" s="190"/>
      <c r="W744" s="190">
        <f>X221*1000/$AH$249</f>
        <v>-0.2541333333333333</v>
      </c>
      <c r="X744" s="190"/>
      <c r="Y744" s="190"/>
      <c r="Z744" s="190"/>
      <c r="AA744" s="190">
        <f>AB$221*1000/$AH$264</f>
        <v>1.0345013850415512</v>
      </c>
      <c r="AB744" s="190"/>
      <c r="AC744" s="190"/>
      <c r="AD744" s="190"/>
      <c r="AH744" s="27"/>
      <c r="AJ744" s="27"/>
      <c r="AL744" s="58"/>
      <c r="AM744" s="58"/>
      <c r="AQ744" s="29"/>
    </row>
    <row r="745" spans="2:43" ht="12.75" customHeight="1">
      <c r="B745" s="4"/>
      <c r="C745" s="4"/>
      <c r="D745" s="274"/>
      <c r="E745" s="274"/>
      <c r="F745" s="270"/>
      <c r="G745" s="270"/>
      <c r="H745" s="270"/>
      <c r="I745" s="270"/>
      <c r="J745" s="270"/>
      <c r="K745" s="270"/>
      <c r="L745" s="270"/>
      <c r="M745" s="270"/>
      <c r="N745" s="270"/>
      <c r="O745" s="270"/>
      <c r="P745" s="183" t="s">
        <v>1010</v>
      </c>
      <c r="Q745" s="183"/>
      <c r="R745" s="183"/>
      <c r="S745" s="190">
        <f>T$221*1000/$AH$265</f>
        <v>-1.0345013850415512</v>
      </c>
      <c r="T745" s="190"/>
      <c r="U745" s="190"/>
      <c r="V745" s="190"/>
      <c r="W745" s="190">
        <f>X221*1000/$AH$250</f>
        <v>0.2541333333333333</v>
      </c>
      <c r="X745" s="190"/>
      <c r="Y745" s="190"/>
      <c r="Z745" s="190"/>
      <c r="AA745" s="190">
        <f>AB$221*1000/$AH$265</f>
        <v>-1.0345013850415512</v>
      </c>
      <c r="AB745" s="190"/>
      <c r="AC745" s="190"/>
      <c r="AD745" s="190"/>
      <c r="AH745" s="27"/>
      <c r="AJ745" s="27"/>
      <c r="AL745" s="58"/>
      <c r="AM745" s="58"/>
      <c r="AQ745" s="29"/>
    </row>
    <row r="746" spans="2:43" ht="12.75" customHeight="1">
      <c r="B746" s="4"/>
      <c r="C746" s="4"/>
      <c r="D746" s="274"/>
      <c r="E746" s="274"/>
      <c r="F746" s="270" t="s">
        <v>921</v>
      </c>
      <c r="G746" s="270"/>
      <c r="H746" s="270"/>
      <c r="I746" s="270"/>
      <c r="J746" s="270"/>
      <c r="K746" s="270"/>
      <c r="L746" s="270"/>
      <c r="M746" s="270"/>
      <c r="N746" s="270"/>
      <c r="O746" s="270"/>
      <c r="P746" s="183" t="s">
        <v>1008</v>
      </c>
      <c r="Q746" s="183"/>
      <c r="R746" s="183"/>
      <c r="S746" s="190">
        <f>T$222*1000/$AH$264</f>
        <v>0.14933518005540167</v>
      </c>
      <c r="T746" s="190"/>
      <c r="U746" s="190"/>
      <c r="V746" s="190"/>
      <c r="W746" s="190">
        <f>X222*1000/$AH$249</f>
        <v>-0.22326666666666667</v>
      </c>
      <c r="X746" s="190"/>
      <c r="Y746" s="190"/>
      <c r="Z746" s="190"/>
      <c r="AA746" s="190">
        <f>AB$222*1000/$AH$264</f>
        <v>0.14933518005540167</v>
      </c>
      <c r="AB746" s="190"/>
      <c r="AC746" s="190"/>
      <c r="AD746" s="190"/>
      <c r="AH746" s="27"/>
      <c r="AJ746" s="27"/>
      <c r="AL746" s="58"/>
      <c r="AM746" s="58"/>
      <c r="AQ746" s="29"/>
    </row>
    <row r="747" spans="2:43" ht="12.75" customHeight="1">
      <c r="B747" s="4"/>
      <c r="C747" s="4" t="s">
        <v>877</v>
      </c>
      <c r="D747" s="274"/>
      <c r="E747" s="274"/>
      <c r="F747" s="270"/>
      <c r="G747" s="270"/>
      <c r="H747" s="270"/>
      <c r="I747" s="270"/>
      <c r="J747" s="270"/>
      <c r="K747" s="270"/>
      <c r="L747" s="270"/>
      <c r="M747" s="270"/>
      <c r="N747" s="270"/>
      <c r="O747" s="270"/>
      <c r="P747" s="183" t="s">
        <v>1010</v>
      </c>
      <c r="Q747" s="183"/>
      <c r="R747" s="183"/>
      <c r="S747" s="190">
        <f>T$222*1000/$AH$265</f>
        <v>-0.14933518005540167</v>
      </c>
      <c r="T747" s="190"/>
      <c r="U747" s="190"/>
      <c r="V747" s="190"/>
      <c r="W747" s="190">
        <f>X222*1000/$AH$250</f>
        <v>0.22326666666666667</v>
      </c>
      <c r="X747" s="190"/>
      <c r="Y747" s="190"/>
      <c r="Z747" s="190"/>
      <c r="AA747" s="190">
        <f>AB$222*1000/$AH$265</f>
        <v>-0.14933518005540167</v>
      </c>
      <c r="AB747" s="190"/>
      <c r="AC747" s="190"/>
      <c r="AD747" s="190"/>
      <c r="AH747" s="27"/>
      <c r="AJ747" s="27"/>
      <c r="AL747" s="58"/>
      <c r="AM747" s="58"/>
      <c r="AQ747" s="29"/>
    </row>
    <row r="748" spans="2:43" ht="12.75" customHeight="1">
      <c r="B748" s="4"/>
      <c r="C748" s="4"/>
      <c r="D748" s="274"/>
      <c r="E748" s="274"/>
      <c r="F748" s="270" t="s">
        <v>2</v>
      </c>
      <c r="G748" s="270"/>
      <c r="H748" s="270"/>
      <c r="I748" s="270"/>
      <c r="J748" s="270"/>
      <c r="K748" s="270"/>
      <c r="L748" s="270"/>
      <c r="M748" s="270"/>
      <c r="N748" s="270"/>
      <c r="O748" s="270"/>
      <c r="P748" s="183" t="s">
        <v>1008</v>
      </c>
      <c r="Q748" s="183"/>
      <c r="R748" s="183"/>
      <c r="S748" s="190">
        <f>T$223*1000/$AH$264</f>
        <v>0.5591551246537396</v>
      </c>
      <c r="T748" s="190"/>
      <c r="U748" s="190"/>
      <c r="V748" s="190"/>
      <c r="W748" s="190">
        <f>X223*1000/$AH$249</f>
        <v>0.8971333333333333</v>
      </c>
      <c r="X748" s="190"/>
      <c r="Y748" s="190"/>
      <c r="Z748" s="190"/>
      <c r="AA748" s="190">
        <f>AB$223*1000/$AH$264</f>
        <v>0.5591551246537396</v>
      </c>
      <c r="AB748" s="190"/>
      <c r="AC748" s="190"/>
      <c r="AD748" s="190"/>
      <c r="AH748" s="27"/>
      <c r="AJ748" s="27"/>
      <c r="AL748" s="58"/>
      <c r="AM748" s="58"/>
      <c r="AQ748" s="29"/>
    </row>
    <row r="749" spans="2:43" ht="12.75" customHeight="1">
      <c r="B749" s="4"/>
      <c r="C749" s="4"/>
      <c r="D749" s="274"/>
      <c r="E749" s="274"/>
      <c r="F749" s="270"/>
      <c r="G749" s="270"/>
      <c r="H749" s="270"/>
      <c r="I749" s="270"/>
      <c r="J749" s="270"/>
      <c r="K749" s="270"/>
      <c r="L749" s="270"/>
      <c r="M749" s="270"/>
      <c r="N749" s="270"/>
      <c r="O749" s="270"/>
      <c r="P749" s="183" t="s">
        <v>1010</v>
      </c>
      <c r="Q749" s="183"/>
      <c r="R749" s="183"/>
      <c r="S749" s="190">
        <f>T$223*1000/$AH$265</f>
        <v>-0.5591551246537396</v>
      </c>
      <c r="T749" s="190"/>
      <c r="U749" s="190"/>
      <c r="V749" s="190"/>
      <c r="W749" s="190">
        <f>X223*1000/$AH$250</f>
        <v>-0.8971333333333333</v>
      </c>
      <c r="X749" s="190"/>
      <c r="Y749" s="190"/>
      <c r="Z749" s="190"/>
      <c r="AA749" s="190">
        <f>AB$223*1000/$AH$265</f>
        <v>-0.5591551246537396</v>
      </c>
      <c r="AB749" s="190"/>
      <c r="AC749" s="190"/>
      <c r="AD749" s="190"/>
      <c r="AH749" s="27"/>
      <c r="AJ749" s="27"/>
      <c r="AL749" s="58"/>
      <c r="AM749" s="58"/>
      <c r="AQ749" s="29"/>
    </row>
    <row r="750" spans="2:43" ht="12.75" customHeight="1">
      <c r="B750" s="4"/>
      <c r="C750" s="4"/>
      <c r="D750" s="274"/>
      <c r="E750" s="274"/>
      <c r="F750" s="270" t="s">
        <v>977</v>
      </c>
      <c r="G750" s="270"/>
      <c r="H750" s="270"/>
      <c r="I750" s="270"/>
      <c r="J750" s="270"/>
      <c r="K750" s="270"/>
      <c r="L750" s="270"/>
      <c r="M750" s="270"/>
      <c r="N750" s="270"/>
      <c r="O750" s="270"/>
      <c r="P750" s="183" t="s">
        <v>1008</v>
      </c>
      <c r="Q750" s="183"/>
      <c r="R750" s="183"/>
      <c r="S750" s="190">
        <f>M567</f>
        <v>3.495489845984172</v>
      </c>
      <c r="T750" s="190"/>
      <c r="U750" s="190"/>
      <c r="V750" s="190"/>
      <c r="W750" s="190">
        <f>Q567</f>
        <v>0.6633433511723477</v>
      </c>
      <c r="X750" s="190"/>
      <c r="Y750" s="190"/>
      <c r="Z750" s="190"/>
      <c r="AA750" s="190">
        <f>U567</f>
        <v>3.495489845984172</v>
      </c>
      <c r="AB750" s="190"/>
      <c r="AC750" s="190"/>
      <c r="AD750" s="190"/>
      <c r="AH750" s="27"/>
      <c r="AJ750" s="27"/>
      <c r="AL750" s="58"/>
      <c r="AM750" s="58"/>
      <c r="AQ750" s="29"/>
    </row>
    <row r="751" spans="2:43" ht="12.75" customHeight="1">
      <c r="B751" s="4"/>
      <c r="C751" s="4"/>
      <c r="D751" s="274"/>
      <c r="E751" s="274"/>
      <c r="F751" s="270"/>
      <c r="G751" s="270"/>
      <c r="H751" s="270"/>
      <c r="I751" s="270"/>
      <c r="J751" s="270"/>
      <c r="K751" s="270"/>
      <c r="L751" s="270"/>
      <c r="M751" s="270"/>
      <c r="N751" s="270"/>
      <c r="O751" s="270"/>
      <c r="P751" s="183" t="s">
        <v>1010</v>
      </c>
      <c r="Q751" s="183"/>
      <c r="R751" s="183"/>
      <c r="S751" s="190">
        <f>M568</f>
        <v>0.41123409952754963</v>
      </c>
      <c r="T751" s="190"/>
      <c r="U751" s="190"/>
      <c r="V751" s="190"/>
      <c r="W751" s="190">
        <f>Q568</f>
        <v>4.311731782620264</v>
      </c>
      <c r="X751" s="190"/>
      <c r="Y751" s="190"/>
      <c r="Z751" s="190"/>
      <c r="AA751" s="190">
        <f>U568</f>
        <v>0.41123409952754963</v>
      </c>
      <c r="AB751" s="190"/>
      <c r="AC751" s="190"/>
      <c r="AD751" s="190"/>
      <c r="AH751" s="27"/>
      <c r="AJ751" s="27"/>
      <c r="AL751" s="58"/>
      <c r="AM751" s="58"/>
      <c r="AQ751" s="29"/>
    </row>
    <row r="752" spans="2:43" ht="12.75" customHeight="1">
      <c r="B752" s="4"/>
      <c r="C752" s="4"/>
      <c r="D752" s="274"/>
      <c r="E752" s="274"/>
      <c r="F752" s="270" t="s">
        <v>969</v>
      </c>
      <c r="G752" s="270"/>
      <c r="H752" s="270"/>
      <c r="I752" s="270"/>
      <c r="J752" s="270"/>
      <c r="K752" s="270"/>
      <c r="L752" s="270"/>
      <c r="M752" s="270"/>
      <c r="N752" s="270"/>
      <c r="O752" s="270"/>
      <c r="P752" s="183" t="s">
        <v>1008</v>
      </c>
      <c r="Q752" s="183"/>
      <c r="R752" s="183"/>
      <c r="S752" s="190">
        <f>T$224*1000/$AH$264</f>
        <v>2.948250332409972</v>
      </c>
      <c r="T752" s="190"/>
      <c r="U752" s="190"/>
      <c r="V752" s="190"/>
      <c r="W752" s="190">
        <f>X$224*1000/$AH$249</f>
        <v>-5.1969666666666665</v>
      </c>
      <c r="X752" s="190"/>
      <c r="Y752" s="190"/>
      <c r="Z752" s="190"/>
      <c r="AA752" s="190">
        <f>AB$224*1000/$AH$264</f>
        <v>2.948250332409972</v>
      </c>
      <c r="AB752" s="190"/>
      <c r="AC752" s="190"/>
      <c r="AD752" s="190"/>
      <c r="AH752" s="27"/>
      <c r="AJ752" s="27"/>
      <c r="AL752" s="58"/>
      <c r="AM752" s="58"/>
      <c r="AQ752" s="29"/>
    </row>
    <row r="753" spans="2:43" ht="12.75" customHeight="1">
      <c r="B753" s="4"/>
      <c r="C753" s="4"/>
      <c r="D753" s="274"/>
      <c r="E753" s="274"/>
      <c r="F753" s="270"/>
      <c r="G753" s="270"/>
      <c r="H753" s="270"/>
      <c r="I753" s="270"/>
      <c r="J753" s="270"/>
      <c r="K753" s="270"/>
      <c r="L753" s="270"/>
      <c r="M753" s="270"/>
      <c r="N753" s="270"/>
      <c r="O753" s="270"/>
      <c r="P753" s="183" t="s">
        <v>1010</v>
      </c>
      <c r="Q753" s="183"/>
      <c r="R753" s="183"/>
      <c r="S753" s="190">
        <f>T$224*1000/$AH$265</f>
        <v>-2.948250332409972</v>
      </c>
      <c r="T753" s="190"/>
      <c r="U753" s="190"/>
      <c r="V753" s="190"/>
      <c r="W753" s="190">
        <f>X$224*1000/$AH$250</f>
        <v>5.1969666666666665</v>
      </c>
      <c r="X753" s="190"/>
      <c r="Y753" s="190"/>
      <c r="Z753" s="190"/>
      <c r="AA753" s="190">
        <f>AB$224*1000/$AH$265</f>
        <v>-2.948250332409972</v>
      </c>
      <c r="AB753" s="190"/>
      <c r="AC753" s="190"/>
      <c r="AD753" s="190"/>
      <c r="AH753" s="27"/>
      <c r="AJ753" s="27"/>
      <c r="AL753" s="58"/>
      <c r="AM753" s="58"/>
      <c r="AQ753" s="29"/>
    </row>
    <row r="754" spans="2:43" ht="12.75" customHeight="1">
      <c r="B754" s="4"/>
      <c r="C754" s="4"/>
      <c r="D754" s="274"/>
      <c r="E754" s="274"/>
      <c r="F754" s="270" t="s">
        <v>971</v>
      </c>
      <c r="G754" s="270"/>
      <c r="H754" s="270"/>
      <c r="I754" s="270"/>
      <c r="J754" s="270"/>
      <c r="K754" s="270"/>
      <c r="L754" s="270"/>
      <c r="M754" s="270"/>
      <c r="N754" s="270"/>
      <c r="O754" s="270"/>
      <c r="P754" s="183" t="s">
        <v>1008</v>
      </c>
      <c r="Q754" s="183"/>
      <c r="R754" s="183"/>
      <c r="S754" s="190">
        <f>T$225*1000/$AH$264</f>
        <v>0.13556094182825484</v>
      </c>
      <c r="T754" s="190"/>
      <c r="U754" s="190"/>
      <c r="V754" s="190"/>
      <c r="W754" s="190">
        <f>X225*1000/$AH$249</f>
        <v>0</v>
      </c>
      <c r="X754" s="190"/>
      <c r="Y754" s="190"/>
      <c r="Z754" s="190"/>
      <c r="AA754" s="190">
        <f>AB$225*1000/$AH$264</f>
        <v>0.13556094182825484</v>
      </c>
      <c r="AB754" s="190"/>
      <c r="AC754" s="190"/>
      <c r="AD754" s="190"/>
      <c r="AH754" s="27"/>
      <c r="AJ754" s="27"/>
      <c r="AL754" s="58"/>
      <c r="AM754" s="58"/>
      <c r="AQ754" s="29"/>
    </row>
    <row r="755" spans="2:43" ht="12.75" customHeight="1">
      <c r="B755" s="4"/>
      <c r="C755" s="4"/>
      <c r="D755" s="274"/>
      <c r="E755" s="274"/>
      <c r="F755" s="270"/>
      <c r="G755" s="270"/>
      <c r="H755" s="270"/>
      <c r="I755" s="270"/>
      <c r="J755" s="270"/>
      <c r="K755" s="270"/>
      <c r="L755" s="270"/>
      <c r="M755" s="270"/>
      <c r="N755" s="270"/>
      <c r="O755" s="270"/>
      <c r="P755" s="183" t="s">
        <v>1010</v>
      </c>
      <c r="Q755" s="183"/>
      <c r="R755" s="183"/>
      <c r="S755" s="190">
        <f>T$225*1000/$AH$265</f>
        <v>-0.13556094182825484</v>
      </c>
      <c r="T755" s="190"/>
      <c r="U755" s="190"/>
      <c r="V755" s="190"/>
      <c r="W755" s="190">
        <f>X225*1000/$AH$250</f>
        <v>0</v>
      </c>
      <c r="X755" s="190"/>
      <c r="Y755" s="190"/>
      <c r="Z755" s="190"/>
      <c r="AA755" s="190">
        <f>AB$225*1000/$AH$265</f>
        <v>-0.13556094182825484</v>
      </c>
      <c r="AB755" s="190"/>
      <c r="AC755" s="190"/>
      <c r="AD755" s="190"/>
      <c r="AH755" s="27"/>
      <c r="AJ755" s="27"/>
      <c r="AL755" s="58" t="s">
        <v>591</v>
      </c>
      <c r="AM755" s="58"/>
      <c r="AQ755" s="29"/>
    </row>
    <row r="756" spans="2:43" ht="12.75" customHeight="1">
      <c r="B756" s="4"/>
      <c r="C756" s="4"/>
      <c r="D756" s="274"/>
      <c r="E756" s="274"/>
      <c r="F756" s="270" t="s">
        <v>972</v>
      </c>
      <c r="G756" s="270"/>
      <c r="H756" s="270"/>
      <c r="I756" s="270"/>
      <c r="J756" s="270"/>
      <c r="K756" s="270"/>
      <c r="L756" s="270"/>
      <c r="M756" s="270"/>
      <c r="N756" s="270"/>
      <c r="O756" s="270"/>
      <c r="P756" s="183" t="s">
        <v>1008</v>
      </c>
      <c r="Q756" s="183"/>
      <c r="R756" s="183"/>
      <c r="S756" s="190">
        <f>T$226*1000/$AH$264</f>
        <v>0</v>
      </c>
      <c r="T756" s="190"/>
      <c r="U756" s="190"/>
      <c r="V756" s="190"/>
      <c r="W756" s="190">
        <f>X226*1000/$AH$249</f>
        <v>0</v>
      </c>
      <c r="X756" s="190"/>
      <c r="Y756" s="190"/>
      <c r="Z756" s="190"/>
      <c r="AA756" s="190">
        <f>AB$226*1000/$AH$264</f>
        <v>0</v>
      </c>
      <c r="AB756" s="190"/>
      <c r="AC756" s="190"/>
      <c r="AD756" s="190"/>
      <c r="AH756" s="27"/>
      <c r="AJ756" s="27"/>
      <c r="AL756" s="58"/>
      <c r="AM756" s="58"/>
      <c r="AQ756" s="29"/>
    </row>
    <row r="757" spans="2:43" ht="12.75" customHeight="1">
      <c r="B757" s="4"/>
      <c r="C757" s="4"/>
      <c r="D757" s="274"/>
      <c r="E757" s="274"/>
      <c r="F757" s="270"/>
      <c r="G757" s="270"/>
      <c r="H757" s="270"/>
      <c r="I757" s="270"/>
      <c r="J757" s="270"/>
      <c r="K757" s="270"/>
      <c r="L757" s="270"/>
      <c r="M757" s="270"/>
      <c r="N757" s="270"/>
      <c r="O757" s="270"/>
      <c r="P757" s="183" t="s">
        <v>1010</v>
      </c>
      <c r="Q757" s="183"/>
      <c r="R757" s="183"/>
      <c r="S757" s="190">
        <f>T$226*1000/$AH$265</f>
        <v>0</v>
      </c>
      <c r="T757" s="190"/>
      <c r="U757" s="190"/>
      <c r="V757" s="190"/>
      <c r="W757" s="190">
        <f>X226*1000/$AH$250</f>
        <v>0</v>
      </c>
      <c r="X757" s="190"/>
      <c r="Y757" s="190"/>
      <c r="Z757" s="190"/>
      <c r="AA757" s="190">
        <f>AB$226*1000/$AH$265</f>
        <v>0</v>
      </c>
      <c r="AB757" s="190"/>
      <c r="AC757" s="190"/>
      <c r="AD757" s="190"/>
      <c r="AH757" s="27"/>
      <c r="AJ757" s="27"/>
      <c r="AL757" s="58"/>
      <c r="AM757" s="58"/>
      <c r="AQ757" s="29"/>
    </row>
    <row r="758" spans="2:43" ht="12.75" customHeight="1">
      <c r="B758" s="4"/>
      <c r="C758" s="4"/>
      <c r="D758" s="274"/>
      <c r="E758" s="274"/>
      <c r="F758" s="270" t="s">
        <v>980</v>
      </c>
      <c r="G758" s="270"/>
      <c r="H758" s="270"/>
      <c r="I758" s="270"/>
      <c r="J758" s="270"/>
      <c r="K758" s="270"/>
      <c r="L758" s="270"/>
      <c r="M758" s="270"/>
      <c r="N758" s="270"/>
      <c r="O758" s="270"/>
      <c r="P758" s="183" t="s">
        <v>1008</v>
      </c>
      <c r="Q758" s="183"/>
      <c r="R758" s="183"/>
      <c r="S758" s="190">
        <f>T$227*1000/$AH$264</f>
        <v>0.051868421052631584</v>
      </c>
      <c r="T758" s="190"/>
      <c r="U758" s="190"/>
      <c r="V758" s="190"/>
      <c r="W758" s="190">
        <f>X227*1000/$AH$249</f>
        <v>0</v>
      </c>
      <c r="X758" s="190"/>
      <c r="Y758" s="190"/>
      <c r="Z758" s="190"/>
      <c r="AA758" s="190">
        <f>AB$227*1000/$AH$264</f>
        <v>0.051868421052631584</v>
      </c>
      <c r="AB758" s="190"/>
      <c r="AC758" s="190"/>
      <c r="AD758" s="190"/>
      <c r="AH758" s="27"/>
      <c r="AJ758" s="27"/>
      <c r="AL758" s="58"/>
      <c r="AM758" s="58"/>
      <c r="AQ758" s="29"/>
    </row>
    <row r="759" spans="2:43" ht="12.75" customHeight="1">
      <c r="B759" s="4"/>
      <c r="C759" s="4"/>
      <c r="D759" s="274"/>
      <c r="E759" s="274"/>
      <c r="F759" s="270"/>
      <c r="G759" s="270"/>
      <c r="H759" s="270"/>
      <c r="I759" s="270"/>
      <c r="J759" s="270"/>
      <c r="K759" s="270"/>
      <c r="L759" s="270"/>
      <c r="M759" s="270"/>
      <c r="N759" s="270"/>
      <c r="O759" s="270"/>
      <c r="P759" s="183" t="s">
        <v>1010</v>
      </c>
      <c r="Q759" s="183"/>
      <c r="R759" s="183"/>
      <c r="S759" s="190">
        <f>T$227*1000/$AH$265</f>
        <v>-0.051868421052631584</v>
      </c>
      <c r="T759" s="190"/>
      <c r="U759" s="190"/>
      <c r="V759" s="190"/>
      <c r="W759" s="190">
        <f>X227*1000/$AH$250</f>
        <v>0</v>
      </c>
      <c r="X759" s="190"/>
      <c r="Y759" s="190"/>
      <c r="Z759" s="190"/>
      <c r="AA759" s="190">
        <f>AB$227*1000/$AH$265</f>
        <v>-0.051868421052631584</v>
      </c>
      <c r="AB759" s="190"/>
      <c r="AC759" s="190"/>
      <c r="AD759" s="190"/>
      <c r="AH759" s="27"/>
      <c r="AJ759" s="27"/>
      <c r="AL759" s="58"/>
      <c r="AM759" s="58"/>
      <c r="AQ759" s="29"/>
    </row>
    <row r="760" spans="2:43" ht="12.75" customHeight="1">
      <c r="B760" s="4"/>
      <c r="C760" s="4"/>
      <c r="D760" s="274"/>
      <c r="E760" s="274"/>
      <c r="F760" s="270" t="s">
        <v>1338</v>
      </c>
      <c r="G760" s="270"/>
      <c r="H760" s="270"/>
      <c r="I760" s="270"/>
      <c r="J760" s="270"/>
      <c r="K760" s="270"/>
      <c r="L760" s="270"/>
      <c r="M760" s="270"/>
      <c r="N760" s="270"/>
      <c r="O760" s="270"/>
      <c r="P760" s="183" t="s">
        <v>1008</v>
      </c>
      <c r="Q760" s="183"/>
      <c r="R760" s="183"/>
      <c r="S760" s="190">
        <f>L488</f>
        <v>-19.847340906202135</v>
      </c>
      <c r="T760" s="190"/>
      <c r="U760" s="190"/>
      <c r="V760" s="190"/>
      <c r="W760" s="190">
        <f>P488</f>
        <v>0</v>
      </c>
      <c r="X760" s="190"/>
      <c r="Y760" s="190"/>
      <c r="Z760" s="190"/>
      <c r="AA760" s="190">
        <f>T488</f>
        <v>-19.847340906202135</v>
      </c>
      <c r="AB760" s="190"/>
      <c r="AC760" s="190"/>
      <c r="AD760" s="190"/>
      <c r="AH760" s="27"/>
      <c r="AJ760" s="27"/>
      <c r="AL760" s="58"/>
      <c r="AM760" s="58"/>
      <c r="AQ760" s="29"/>
    </row>
    <row r="761" spans="2:43" ht="12.75" customHeight="1">
      <c r="B761" s="4"/>
      <c r="C761" s="4"/>
      <c r="D761" s="274"/>
      <c r="E761" s="274"/>
      <c r="F761" s="270"/>
      <c r="G761" s="270"/>
      <c r="H761" s="270"/>
      <c r="I761" s="270"/>
      <c r="J761" s="270"/>
      <c r="K761" s="270"/>
      <c r="L761" s="270"/>
      <c r="M761" s="270"/>
      <c r="N761" s="270"/>
      <c r="O761" s="270"/>
      <c r="P761" s="183" t="s">
        <v>1010</v>
      </c>
      <c r="Q761" s="183"/>
      <c r="R761" s="183"/>
      <c r="S761" s="190">
        <f>L489</f>
        <v>3.4517114619481966</v>
      </c>
      <c r="T761" s="190"/>
      <c r="U761" s="190"/>
      <c r="V761" s="190"/>
      <c r="W761" s="190">
        <f>P489</f>
        <v>-20.745540899014017</v>
      </c>
      <c r="X761" s="190"/>
      <c r="Y761" s="190"/>
      <c r="Z761" s="190"/>
      <c r="AA761" s="190">
        <f>T489</f>
        <v>3.4517114619481966</v>
      </c>
      <c r="AB761" s="190"/>
      <c r="AC761" s="190"/>
      <c r="AD761" s="190"/>
      <c r="AH761" s="27"/>
      <c r="AJ761" s="27"/>
      <c r="AL761" s="58"/>
      <c r="AM761" s="58"/>
      <c r="AQ761" s="29"/>
    </row>
    <row r="762" spans="2:43" ht="12.75" customHeight="1">
      <c r="B762" s="4"/>
      <c r="C762" s="4"/>
      <c r="D762" s="274"/>
      <c r="E762" s="274"/>
      <c r="F762" s="270" t="s">
        <v>1407</v>
      </c>
      <c r="G762" s="270"/>
      <c r="H762" s="270"/>
      <c r="I762" s="270"/>
      <c r="J762" s="270"/>
      <c r="K762" s="270"/>
      <c r="L762" s="270"/>
      <c r="M762" s="270"/>
      <c r="N762" s="270"/>
      <c r="O762" s="270"/>
      <c r="P762" s="183" t="s">
        <v>1008</v>
      </c>
      <c r="Q762" s="183"/>
      <c r="R762" s="183"/>
      <c r="S762" s="190">
        <f>L645</f>
        <v>-15.411659789839184</v>
      </c>
      <c r="T762" s="190"/>
      <c r="U762" s="190"/>
      <c r="V762" s="190"/>
      <c r="W762" s="190">
        <f>P645</f>
        <v>0</v>
      </c>
      <c r="X762" s="190"/>
      <c r="Y762" s="190"/>
      <c r="Z762" s="190"/>
      <c r="AA762" s="190">
        <f>T645</f>
        <v>-15.411659789839184</v>
      </c>
      <c r="AB762" s="190"/>
      <c r="AC762" s="190"/>
      <c r="AD762" s="190"/>
      <c r="AH762" s="27"/>
      <c r="AJ762" s="27"/>
      <c r="AL762" s="58"/>
      <c r="AM762" s="58"/>
      <c r="AQ762" s="29"/>
    </row>
    <row r="763" spans="2:43" ht="12.75" customHeight="1">
      <c r="B763" s="4" t="s">
        <v>274</v>
      </c>
      <c r="C763" s="4"/>
      <c r="D763" s="274"/>
      <c r="E763" s="274"/>
      <c r="F763" s="270"/>
      <c r="G763" s="270"/>
      <c r="H763" s="270"/>
      <c r="I763" s="270"/>
      <c r="J763" s="270"/>
      <c r="K763" s="270"/>
      <c r="L763" s="270"/>
      <c r="M763" s="270"/>
      <c r="N763" s="270"/>
      <c r="O763" s="270"/>
      <c r="P763" s="183" t="s">
        <v>1010</v>
      </c>
      <c r="Q763" s="183"/>
      <c r="R763" s="183"/>
      <c r="S763" s="190">
        <f>L646</f>
        <v>2.6802886591024664</v>
      </c>
      <c r="T763" s="190"/>
      <c r="U763" s="190"/>
      <c r="V763" s="190"/>
      <c r="W763" s="190">
        <f>P646</f>
        <v>-15.990981678303648</v>
      </c>
      <c r="X763" s="190"/>
      <c r="Y763" s="190"/>
      <c r="Z763" s="190"/>
      <c r="AA763" s="190">
        <f>T646</f>
        <v>2.6802886591024664</v>
      </c>
      <c r="AB763" s="190"/>
      <c r="AC763" s="190"/>
      <c r="AD763" s="190"/>
      <c r="AH763" s="27"/>
      <c r="AJ763" s="27"/>
      <c r="AL763" s="58"/>
      <c r="AM763" s="58"/>
      <c r="AQ763" s="29"/>
    </row>
    <row r="764" spans="2:43" ht="12.75" customHeight="1">
      <c r="B764" s="4"/>
      <c r="C764" s="4"/>
      <c r="D764" s="63"/>
      <c r="E764" s="64"/>
      <c r="F764" s="64"/>
      <c r="G764" s="65"/>
      <c r="H764" s="65"/>
      <c r="I764" s="65"/>
      <c r="J764" s="65"/>
      <c r="K764" s="66"/>
      <c r="L764" s="66"/>
      <c r="M764" s="66"/>
      <c r="N764" s="65"/>
      <c r="O764" s="67"/>
      <c r="P764" s="183" t="s">
        <v>1008</v>
      </c>
      <c r="Q764" s="183"/>
      <c r="R764" s="183"/>
      <c r="S764" s="190">
        <f>S744+S760</f>
        <v>-18.812839521160583</v>
      </c>
      <c r="T764" s="190"/>
      <c r="U764" s="190"/>
      <c r="V764" s="190"/>
      <c r="W764" s="190">
        <f>W744+W760</f>
        <v>-0.2541333333333333</v>
      </c>
      <c r="X764" s="190"/>
      <c r="Y764" s="190"/>
      <c r="Z764" s="190"/>
      <c r="AA764" s="190">
        <f>AA744+AA760</f>
        <v>-18.812839521160583</v>
      </c>
      <c r="AB764" s="190"/>
      <c r="AC764" s="190"/>
      <c r="AD764" s="190"/>
      <c r="AH764" s="27"/>
      <c r="AJ764" s="27"/>
      <c r="AL764" s="58"/>
      <c r="AM764" s="58"/>
      <c r="AQ764" s="29"/>
    </row>
    <row r="765" spans="2:43" ht="12.75" customHeight="1">
      <c r="B765" s="4"/>
      <c r="C765" s="4"/>
      <c r="D765" s="271" t="s">
        <v>1409</v>
      </c>
      <c r="E765" s="265"/>
      <c r="F765" s="265"/>
      <c r="G765" s="265"/>
      <c r="H765" s="265"/>
      <c r="I765" s="265"/>
      <c r="J765" s="265"/>
      <c r="K765" s="265"/>
      <c r="L765" s="265"/>
      <c r="M765" s="265"/>
      <c r="N765" s="265"/>
      <c r="O765" s="272"/>
      <c r="P765" s="183" t="s">
        <v>1010</v>
      </c>
      <c r="Q765" s="183"/>
      <c r="R765" s="183"/>
      <c r="S765" s="190">
        <f>S745+S761</f>
        <v>2.4172100769066454</v>
      </c>
      <c r="T765" s="190"/>
      <c r="U765" s="190"/>
      <c r="V765" s="190"/>
      <c r="W765" s="190">
        <f>W745+W761</f>
        <v>-20.491407565680685</v>
      </c>
      <c r="X765" s="190"/>
      <c r="Y765" s="190"/>
      <c r="Z765" s="190"/>
      <c r="AA765" s="190">
        <f>AA745+AA761</f>
        <v>2.4172100769066454</v>
      </c>
      <c r="AB765" s="190"/>
      <c r="AC765" s="190"/>
      <c r="AD765" s="190"/>
      <c r="AH765" s="27"/>
      <c r="AJ765" s="27"/>
      <c r="AL765" s="58"/>
      <c r="AM765" s="58" t="s">
        <v>380</v>
      </c>
      <c r="AQ765" s="29"/>
    </row>
    <row r="766" spans="2:43" ht="12.75" customHeight="1">
      <c r="B766" s="4" t="s">
        <v>380</v>
      </c>
      <c r="C766" s="4"/>
      <c r="D766" s="258" t="s">
        <v>569</v>
      </c>
      <c r="E766" s="259"/>
      <c r="F766" s="259"/>
      <c r="G766" s="259"/>
      <c r="H766" s="259"/>
      <c r="I766" s="259"/>
      <c r="J766" s="259"/>
      <c r="K766" s="259"/>
      <c r="L766" s="259"/>
      <c r="M766" s="259"/>
      <c r="N766" s="259"/>
      <c r="O766" s="260"/>
      <c r="P766" s="183" t="s">
        <v>570</v>
      </c>
      <c r="Q766" s="183"/>
      <c r="R766" s="183"/>
      <c r="S766" s="190">
        <f>IF($T$677=30,15,IF($T$677=40,19,IF($T$677=50,21,IF($T$677=60,23,"ERROR"))))*-1</f>
        <v>-19</v>
      </c>
      <c r="T766" s="190"/>
      <c r="U766" s="190"/>
      <c r="V766" s="190"/>
      <c r="W766" s="190">
        <f>S766</f>
        <v>-19</v>
      </c>
      <c r="X766" s="190"/>
      <c r="Y766" s="190"/>
      <c r="Z766" s="190"/>
      <c r="AA766" s="190">
        <f>S766</f>
        <v>-19</v>
      </c>
      <c r="AB766" s="190"/>
      <c r="AC766" s="190"/>
      <c r="AD766" s="190"/>
      <c r="AH766" s="27"/>
      <c r="AJ766" s="27"/>
      <c r="AL766" s="58"/>
      <c r="AM766" s="58"/>
      <c r="AQ766" s="29"/>
    </row>
    <row r="767" spans="2:43" ht="12.75" customHeight="1">
      <c r="B767" s="4"/>
      <c r="C767" s="4"/>
      <c r="D767" s="71"/>
      <c r="E767" s="72"/>
      <c r="F767" s="72"/>
      <c r="G767" s="73"/>
      <c r="H767" s="73"/>
      <c r="I767" s="73"/>
      <c r="J767" s="73"/>
      <c r="K767" s="53"/>
      <c r="L767" s="53"/>
      <c r="M767" s="53"/>
      <c r="N767" s="73"/>
      <c r="O767" s="74"/>
      <c r="P767" s="183" t="s">
        <v>571</v>
      </c>
      <c r="Q767" s="183"/>
      <c r="R767" s="183"/>
      <c r="S767" s="190">
        <f>IF($T$677=30,1.2,IF($T$677=40,1.5,IF($T$677=50,1.8,IF($T$677=60,2,"ERROR"))))</f>
        <v>1.5</v>
      </c>
      <c r="T767" s="190"/>
      <c r="U767" s="190"/>
      <c r="V767" s="190"/>
      <c r="W767" s="190">
        <f>S767</f>
        <v>1.5</v>
      </c>
      <c r="X767" s="190"/>
      <c r="Y767" s="190"/>
      <c r="Z767" s="190"/>
      <c r="AA767" s="190">
        <f>S767</f>
        <v>1.5</v>
      </c>
      <c r="AB767" s="190"/>
      <c r="AC767" s="190"/>
      <c r="AD767" s="190"/>
      <c r="AH767" s="27"/>
      <c r="AJ767" s="27"/>
      <c r="AL767" s="58"/>
      <c r="AM767" s="58"/>
      <c r="AQ767" s="29"/>
    </row>
    <row r="768" spans="2:43" ht="12.75" customHeight="1">
      <c r="B768" s="4"/>
      <c r="C768" s="4" t="s">
        <v>380</v>
      </c>
      <c r="D768" s="63"/>
      <c r="E768" s="64"/>
      <c r="F768" s="64"/>
      <c r="G768" s="65"/>
      <c r="H768" s="65"/>
      <c r="I768" s="65"/>
      <c r="J768" s="65"/>
      <c r="K768" s="66"/>
      <c r="L768" s="66"/>
      <c r="M768" s="66"/>
      <c r="N768" s="65"/>
      <c r="O768" s="67"/>
      <c r="P768" s="183" t="s">
        <v>1008</v>
      </c>
      <c r="Q768" s="183"/>
      <c r="R768" s="183"/>
      <c r="S768" s="190">
        <f>S744+S746+S748+S750+S754+S762</f>
        <v>-10.037617312276065</v>
      </c>
      <c r="T768" s="190"/>
      <c r="U768" s="190"/>
      <c r="V768" s="190"/>
      <c r="W768" s="190">
        <f>W744+W746+W748+W750+W754+W762</f>
        <v>1.083076684505681</v>
      </c>
      <c r="X768" s="190"/>
      <c r="Y768" s="190"/>
      <c r="Z768" s="190"/>
      <c r="AA768" s="190">
        <f>AA744+AA746+AA748+AA750+AA754+AA762</f>
        <v>-10.037617312276065</v>
      </c>
      <c r="AB768" s="190"/>
      <c r="AC768" s="190"/>
      <c r="AD768" s="190"/>
      <c r="AH768" s="27"/>
      <c r="AJ768" s="27"/>
      <c r="AL768" s="58"/>
      <c r="AM768" s="58"/>
      <c r="AQ768" s="29"/>
    </row>
    <row r="769" spans="2:43" ht="12.75" customHeight="1">
      <c r="B769" s="4"/>
      <c r="C769" s="4"/>
      <c r="D769" s="258" t="s">
        <v>572</v>
      </c>
      <c r="E769" s="259"/>
      <c r="F769" s="259"/>
      <c r="G769" s="259"/>
      <c r="H769" s="259"/>
      <c r="I769" s="259"/>
      <c r="J769" s="259"/>
      <c r="K769" s="259"/>
      <c r="L769" s="259"/>
      <c r="M769" s="259"/>
      <c r="N769" s="259"/>
      <c r="O769" s="260"/>
      <c r="P769" s="183" t="s">
        <v>1010</v>
      </c>
      <c r="Q769" s="183"/>
      <c r="R769" s="183"/>
      <c r="S769" s="190">
        <f>S745+S747+S749+S751+S755+S763</f>
        <v>1.2129701270510687</v>
      </c>
      <c r="T769" s="190"/>
      <c r="U769" s="190"/>
      <c r="V769" s="190"/>
      <c r="W769" s="190">
        <f>W745+W747+W749+W751+W755+W763</f>
        <v>-12.098983229016717</v>
      </c>
      <c r="X769" s="190"/>
      <c r="Y769" s="190"/>
      <c r="Z769" s="190"/>
      <c r="AA769" s="190">
        <f>AA745+AA747+AA749+AA751+AA755+AA763</f>
        <v>1.2129701270510687</v>
      </c>
      <c r="AB769" s="190"/>
      <c r="AC769" s="190"/>
      <c r="AD769" s="190"/>
      <c r="AH769" s="27"/>
      <c r="AJ769" s="27"/>
      <c r="AL769" s="58"/>
      <c r="AM769" s="58"/>
      <c r="AQ769" s="29"/>
    </row>
    <row r="770" spans="2:43" ht="12.75" customHeight="1">
      <c r="B770" s="4"/>
      <c r="C770" s="4"/>
      <c r="D770" s="258" t="s">
        <v>573</v>
      </c>
      <c r="E770" s="259"/>
      <c r="F770" s="259"/>
      <c r="G770" s="259"/>
      <c r="H770" s="259"/>
      <c r="I770" s="259"/>
      <c r="J770" s="259"/>
      <c r="K770" s="259"/>
      <c r="L770" s="259"/>
      <c r="M770" s="259"/>
      <c r="N770" s="259"/>
      <c r="O770" s="260"/>
      <c r="P770" s="183" t="s">
        <v>570</v>
      </c>
      <c r="Q770" s="183"/>
      <c r="R770" s="183"/>
      <c r="S770" s="190">
        <f>IF($T$677=30,12,IF($T$677=40,15,IF($T$677=50,17,IF($T$677=60,19,"ERROR"))))*-1</f>
        <v>-15</v>
      </c>
      <c r="T770" s="190"/>
      <c r="U770" s="190"/>
      <c r="V770" s="190"/>
      <c r="W770" s="190">
        <f>S770</f>
        <v>-15</v>
      </c>
      <c r="X770" s="190"/>
      <c r="Y770" s="190"/>
      <c r="Z770" s="190"/>
      <c r="AA770" s="190">
        <f>S770</f>
        <v>-15</v>
      </c>
      <c r="AB770" s="190"/>
      <c r="AC770" s="190"/>
      <c r="AD770" s="190"/>
      <c r="AH770" s="27"/>
      <c r="AJ770" s="27"/>
      <c r="AL770" s="58"/>
      <c r="AM770" s="58"/>
      <c r="AQ770" s="29"/>
    </row>
    <row r="771" spans="2:45" ht="12.75" customHeight="1">
      <c r="B771" s="4"/>
      <c r="C771" s="4"/>
      <c r="D771" s="71"/>
      <c r="E771" s="72"/>
      <c r="F771" s="72"/>
      <c r="G771" s="73"/>
      <c r="H771" s="73"/>
      <c r="I771" s="73"/>
      <c r="J771" s="73"/>
      <c r="K771" s="53"/>
      <c r="L771" s="53"/>
      <c r="M771" s="53"/>
      <c r="N771" s="73"/>
      <c r="O771" s="74"/>
      <c r="P771" s="183" t="s">
        <v>571</v>
      </c>
      <c r="Q771" s="183"/>
      <c r="R771" s="183"/>
      <c r="S771" s="190">
        <f>$X$662</f>
        <v>2.250359141765158</v>
      </c>
      <c r="T771" s="190"/>
      <c r="U771" s="190"/>
      <c r="V771" s="190"/>
      <c r="W771" s="190">
        <f>$X$661</f>
        <v>2.470144622524153</v>
      </c>
      <c r="X771" s="190"/>
      <c r="Y771" s="190"/>
      <c r="Z771" s="190"/>
      <c r="AA771" s="190">
        <f>S771</f>
        <v>2.250359141765158</v>
      </c>
      <c r="AB771" s="190"/>
      <c r="AC771" s="190"/>
      <c r="AD771" s="190"/>
      <c r="AH771" s="27"/>
      <c r="AJ771" s="27"/>
      <c r="AL771" s="58"/>
      <c r="AM771" s="58"/>
      <c r="AQ771" s="29"/>
      <c r="AS771" s="36"/>
    </row>
    <row r="772" spans="2:43" ht="12.75" customHeight="1">
      <c r="B772" s="4"/>
      <c r="C772" s="4"/>
      <c r="D772" s="63"/>
      <c r="E772" s="64"/>
      <c r="F772" s="64"/>
      <c r="G772" s="65"/>
      <c r="H772" s="65"/>
      <c r="I772" s="65"/>
      <c r="J772" s="65"/>
      <c r="K772" s="66"/>
      <c r="L772" s="66"/>
      <c r="M772" s="66"/>
      <c r="N772" s="65"/>
      <c r="O772" s="67"/>
      <c r="P772" s="183" t="s">
        <v>1008</v>
      </c>
      <c r="Q772" s="183"/>
      <c r="R772" s="183"/>
      <c r="S772" s="190">
        <f>S744+S746+S748+S750+S752+S754+S762</f>
        <v>-7.089366979866094</v>
      </c>
      <c r="T772" s="190"/>
      <c r="U772" s="190"/>
      <c r="V772" s="190"/>
      <c r="W772" s="190">
        <f>W744+W746+W748+W750+W752+W754+W762</f>
        <v>-4.113889982160986</v>
      </c>
      <c r="X772" s="190"/>
      <c r="Y772" s="190"/>
      <c r="Z772" s="190"/>
      <c r="AA772" s="190">
        <f>AA744+AA746+AA748+AA750+AA752+AA754+AA762</f>
        <v>-7.089366979866094</v>
      </c>
      <c r="AB772" s="190"/>
      <c r="AC772" s="190"/>
      <c r="AD772" s="190"/>
      <c r="AH772" s="27"/>
      <c r="AJ772" s="27"/>
      <c r="AL772" s="58"/>
      <c r="AM772" s="58"/>
      <c r="AQ772" s="29"/>
    </row>
    <row r="773" spans="2:43" ht="12.75" customHeight="1">
      <c r="B773" s="4"/>
      <c r="C773" s="4"/>
      <c r="D773" s="258" t="s">
        <v>1226</v>
      </c>
      <c r="E773" s="259"/>
      <c r="F773" s="259"/>
      <c r="G773" s="259"/>
      <c r="H773" s="259"/>
      <c r="I773" s="259"/>
      <c r="J773" s="259"/>
      <c r="K773" s="259"/>
      <c r="L773" s="259"/>
      <c r="M773" s="259"/>
      <c r="N773" s="259"/>
      <c r="O773" s="260"/>
      <c r="P773" s="183" t="s">
        <v>1010</v>
      </c>
      <c r="Q773" s="183"/>
      <c r="R773" s="183"/>
      <c r="S773" s="190">
        <f>S745+S747+S749+S751+S753+S755+S763</f>
        <v>-1.7352802053589023</v>
      </c>
      <c r="T773" s="190"/>
      <c r="U773" s="190"/>
      <c r="V773" s="190"/>
      <c r="W773" s="190">
        <f>W745+W747+W749+W751+W753+W755+W763</f>
        <v>-6.902016562350051</v>
      </c>
      <c r="X773" s="190"/>
      <c r="Y773" s="190"/>
      <c r="Z773" s="190"/>
      <c r="AA773" s="190">
        <f>AA745+AA747+AA749+AA751+AA753+AA755+AA763</f>
        <v>-1.7352802053589023</v>
      </c>
      <c r="AB773" s="190"/>
      <c r="AC773" s="190"/>
      <c r="AD773" s="190"/>
      <c r="AH773" s="27"/>
      <c r="AJ773" s="27"/>
      <c r="AL773" s="58"/>
      <c r="AM773" s="58"/>
      <c r="AQ773" s="29"/>
    </row>
    <row r="774" spans="2:43" ht="12.75" customHeight="1">
      <c r="B774" s="4"/>
      <c r="C774" s="4"/>
      <c r="D774" s="258" t="s">
        <v>574</v>
      </c>
      <c r="E774" s="259"/>
      <c r="F774" s="259"/>
      <c r="G774" s="259"/>
      <c r="H774" s="259"/>
      <c r="I774" s="259"/>
      <c r="J774" s="259"/>
      <c r="K774" s="259"/>
      <c r="L774" s="259"/>
      <c r="M774" s="259"/>
      <c r="N774" s="259"/>
      <c r="O774" s="260"/>
      <c r="P774" s="183" t="s">
        <v>570</v>
      </c>
      <c r="Q774" s="183"/>
      <c r="R774" s="183"/>
      <c r="S774" s="190">
        <f>IF($T$677=30,12,IF($T$677=40,15,IF($T$677=50,17,IF($T$677=60,19,"ERROR"))))*-1</f>
        <v>-15</v>
      </c>
      <c r="T774" s="190"/>
      <c r="U774" s="190"/>
      <c r="V774" s="190"/>
      <c r="W774" s="190">
        <f>S774</f>
        <v>-15</v>
      </c>
      <c r="X774" s="190"/>
      <c r="Y774" s="190"/>
      <c r="Z774" s="190"/>
      <c r="AA774" s="190">
        <f>S774</f>
        <v>-15</v>
      </c>
      <c r="AB774" s="190"/>
      <c r="AC774" s="190"/>
      <c r="AD774" s="190"/>
      <c r="AH774" s="27"/>
      <c r="AJ774" s="27"/>
      <c r="AL774" s="58"/>
      <c r="AM774" s="58"/>
      <c r="AQ774" s="29"/>
    </row>
    <row r="775" spans="2:43" ht="12.75" customHeight="1">
      <c r="B775" s="4"/>
      <c r="C775" s="4"/>
      <c r="D775" s="75"/>
      <c r="E775" s="72"/>
      <c r="F775" s="72"/>
      <c r="G775" s="73"/>
      <c r="H775" s="73"/>
      <c r="I775" s="73"/>
      <c r="J775" s="73"/>
      <c r="K775" s="53"/>
      <c r="L775" s="53"/>
      <c r="M775" s="53"/>
      <c r="N775" s="73"/>
      <c r="O775" s="74"/>
      <c r="P775" s="183" t="s">
        <v>571</v>
      </c>
      <c r="Q775" s="183"/>
      <c r="R775" s="183"/>
      <c r="S775" s="190">
        <f>$X$662</f>
        <v>2.250359141765158</v>
      </c>
      <c r="T775" s="190"/>
      <c r="U775" s="190"/>
      <c r="V775" s="190"/>
      <c r="W775" s="190">
        <f>$X$661</f>
        <v>2.470144622524153</v>
      </c>
      <c r="X775" s="190"/>
      <c r="Y775" s="190"/>
      <c r="Z775" s="190"/>
      <c r="AA775" s="190">
        <f>S775</f>
        <v>2.250359141765158</v>
      </c>
      <c r="AB775" s="190"/>
      <c r="AC775" s="190"/>
      <c r="AD775" s="190"/>
      <c r="AH775" s="27"/>
      <c r="AJ775" s="27"/>
      <c r="AL775" s="58"/>
      <c r="AM775" s="58"/>
      <c r="AQ775" s="29"/>
    </row>
    <row r="776" spans="2:43" ht="12.75" customHeight="1">
      <c r="B776" s="4"/>
      <c r="C776" s="4"/>
      <c r="D776" s="63"/>
      <c r="E776" s="64"/>
      <c r="F776" s="64"/>
      <c r="G776" s="65"/>
      <c r="H776" s="65"/>
      <c r="I776" s="65"/>
      <c r="J776" s="65"/>
      <c r="K776" s="66"/>
      <c r="L776" s="66"/>
      <c r="M776" s="66"/>
      <c r="N776" s="65"/>
      <c r="O776" s="67"/>
      <c r="P776" s="183" t="s">
        <v>1008</v>
      </c>
      <c r="Q776" s="183"/>
      <c r="R776" s="183"/>
      <c r="S776" s="190">
        <f>S744+S746+S748+S750+S752+S754+1/2*S758+S762</f>
        <v>-7.063432769339778</v>
      </c>
      <c r="T776" s="190"/>
      <c r="U776" s="190"/>
      <c r="V776" s="190"/>
      <c r="W776" s="190">
        <f>W744+W746+W748+W750+W752+W754+1/2*W758+W762</f>
        <v>-4.113889982160986</v>
      </c>
      <c r="X776" s="190"/>
      <c r="Y776" s="190"/>
      <c r="Z776" s="190"/>
      <c r="AA776" s="190">
        <f>AA744+AA746+AA748+AA750+AA752+AA754+1/2*AA758+AA762</f>
        <v>-7.063432769339778</v>
      </c>
      <c r="AB776" s="190"/>
      <c r="AC776" s="190"/>
      <c r="AD776" s="190"/>
      <c r="AH776" s="27"/>
      <c r="AJ776" s="27"/>
      <c r="AL776" s="58"/>
      <c r="AM776" s="58"/>
      <c r="AQ776" s="29"/>
    </row>
    <row r="777" spans="2:43" ht="12.75" customHeight="1">
      <c r="B777" s="4"/>
      <c r="C777" s="4"/>
      <c r="D777" s="258" t="s">
        <v>1410</v>
      </c>
      <c r="E777" s="259"/>
      <c r="F777" s="259"/>
      <c r="G777" s="259"/>
      <c r="H777" s="259"/>
      <c r="I777" s="259"/>
      <c r="J777" s="259"/>
      <c r="K777" s="259"/>
      <c r="L777" s="259"/>
      <c r="M777" s="259"/>
      <c r="N777" s="259"/>
      <c r="O777" s="260"/>
      <c r="P777" s="183" t="s">
        <v>1010</v>
      </c>
      <c r="Q777" s="183"/>
      <c r="R777" s="183"/>
      <c r="S777" s="190">
        <f>S745+S747+S749+S751+S753+S755+1/2*S759+S763</f>
        <v>-1.761214415885218</v>
      </c>
      <c r="T777" s="190"/>
      <c r="U777" s="190"/>
      <c r="V777" s="190"/>
      <c r="W777" s="190">
        <f>W745+W747+W749+W751+W753+W755+1/2*W759+W763</f>
        <v>-6.902016562350051</v>
      </c>
      <c r="X777" s="190"/>
      <c r="Y777" s="190"/>
      <c r="Z777" s="190"/>
      <c r="AA777" s="190">
        <f>AA745+AA747+AA749+AA751+AA753+AA755+1/2*AA759+AA763</f>
        <v>-1.761214415885218</v>
      </c>
      <c r="AB777" s="190"/>
      <c r="AC777" s="190"/>
      <c r="AD777" s="190"/>
      <c r="AH777" s="27"/>
      <c r="AJ777" s="27"/>
      <c r="AL777" s="58"/>
      <c r="AM777" s="58"/>
      <c r="AQ777" s="29"/>
    </row>
    <row r="778" spans="2:43" ht="12.75" customHeight="1">
      <c r="B778" s="4"/>
      <c r="C778" s="4"/>
      <c r="D778" s="258" t="s">
        <v>575</v>
      </c>
      <c r="E778" s="259"/>
      <c r="F778" s="259"/>
      <c r="G778" s="259"/>
      <c r="H778" s="259"/>
      <c r="I778" s="259"/>
      <c r="J778" s="259"/>
      <c r="K778" s="259"/>
      <c r="L778" s="259"/>
      <c r="M778" s="259"/>
      <c r="N778" s="259"/>
      <c r="O778" s="260"/>
      <c r="P778" s="183" t="s">
        <v>576</v>
      </c>
      <c r="Q778" s="183"/>
      <c r="R778" s="183"/>
      <c r="S778" s="190">
        <f>IF($T$677=30,12,IF($T$677=40,15,IF($T$677=50,17,IF($T$677=60,19,"ERROR"))))*-1.25</f>
        <v>-18.75</v>
      </c>
      <c r="T778" s="190"/>
      <c r="U778" s="190"/>
      <c r="V778" s="190"/>
      <c r="W778" s="190">
        <f>S778</f>
        <v>-18.75</v>
      </c>
      <c r="X778" s="190"/>
      <c r="Y778" s="190"/>
      <c r="Z778" s="190"/>
      <c r="AA778" s="190">
        <f>S778</f>
        <v>-18.75</v>
      </c>
      <c r="AB778" s="190"/>
      <c r="AC778" s="190"/>
      <c r="AD778" s="190"/>
      <c r="AH778" s="27"/>
      <c r="AJ778" s="27"/>
      <c r="AL778" s="58"/>
      <c r="AM778" s="58"/>
      <c r="AQ778" s="29"/>
    </row>
    <row r="779" spans="2:43" ht="12.75" customHeight="1">
      <c r="B779" s="4"/>
      <c r="C779" s="4"/>
      <c r="D779" s="71" t="s">
        <v>42</v>
      </c>
      <c r="E779" s="72"/>
      <c r="F779" s="72"/>
      <c r="G779" s="73"/>
      <c r="H779" s="73"/>
      <c r="I779" s="73"/>
      <c r="J779" s="73"/>
      <c r="K779" s="53"/>
      <c r="L779" s="53"/>
      <c r="M779" s="53"/>
      <c r="N779" s="73"/>
      <c r="O779" s="74"/>
      <c r="P779" s="183" t="s">
        <v>577</v>
      </c>
      <c r="Q779" s="183"/>
      <c r="R779" s="183"/>
      <c r="S779" s="190">
        <f>$X$662</f>
        <v>2.250359141765158</v>
      </c>
      <c r="T779" s="190"/>
      <c r="U779" s="190"/>
      <c r="V779" s="190"/>
      <c r="W779" s="190">
        <f>$X$661</f>
        <v>2.470144622524153</v>
      </c>
      <c r="X779" s="190"/>
      <c r="Y779" s="190"/>
      <c r="Z779" s="190"/>
      <c r="AA779" s="190">
        <f>S779</f>
        <v>2.250359141765158</v>
      </c>
      <c r="AB779" s="190"/>
      <c r="AC779" s="190"/>
      <c r="AD779" s="190"/>
      <c r="AH779" s="27"/>
      <c r="AJ779" s="27"/>
      <c r="AL779" s="58"/>
      <c r="AM779" s="58"/>
      <c r="AQ779" s="29"/>
    </row>
    <row r="780" spans="2:43" ht="12.75" customHeight="1">
      <c r="B780" s="4"/>
      <c r="C780" s="4"/>
      <c r="D780" s="63"/>
      <c r="E780" s="64"/>
      <c r="F780" s="64"/>
      <c r="G780" s="65"/>
      <c r="H780" s="65"/>
      <c r="I780" s="65"/>
      <c r="J780" s="65"/>
      <c r="K780" s="66"/>
      <c r="L780" s="66"/>
      <c r="M780" s="66"/>
      <c r="N780" s="65"/>
      <c r="O780" s="67"/>
      <c r="P780" s="183" t="s">
        <v>1008</v>
      </c>
      <c r="Q780" s="183"/>
      <c r="R780" s="183"/>
      <c r="S780" s="190">
        <f>S744+S746+S748+S750+S758+S762</f>
        <v>-10.121309833051688</v>
      </c>
      <c r="T780" s="190"/>
      <c r="U780" s="190"/>
      <c r="V780" s="190"/>
      <c r="W780" s="190">
        <f>W744+W746+W748+W750+W758+W762</f>
        <v>1.083076684505681</v>
      </c>
      <c r="X780" s="190"/>
      <c r="Y780" s="190"/>
      <c r="Z780" s="190"/>
      <c r="AA780" s="190">
        <f>AA744+AA746+AA748+AA750+AA758+AA762</f>
        <v>-10.121309833051688</v>
      </c>
      <c r="AB780" s="190"/>
      <c r="AC780" s="190"/>
      <c r="AD780" s="190"/>
      <c r="AH780" s="27"/>
      <c r="AJ780" s="27"/>
      <c r="AL780" s="58"/>
      <c r="AM780" s="58"/>
      <c r="AQ780" s="29"/>
    </row>
    <row r="781" spans="2:43" ht="12.75" customHeight="1">
      <c r="B781" s="4"/>
      <c r="C781" s="4"/>
      <c r="D781" s="258" t="s">
        <v>3</v>
      </c>
      <c r="E781" s="259"/>
      <c r="F781" s="259"/>
      <c r="G781" s="259"/>
      <c r="H781" s="259"/>
      <c r="I781" s="259"/>
      <c r="J781" s="259"/>
      <c r="K781" s="259"/>
      <c r="L781" s="259"/>
      <c r="M781" s="259"/>
      <c r="N781" s="259"/>
      <c r="O781" s="260"/>
      <c r="P781" s="183" t="s">
        <v>1010</v>
      </c>
      <c r="Q781" s="183"/>
      <c r="R781" s="183"/>
      <c r="S781" s="190">
        <f>S745+S747+S749+S751+S759+S763</f>
        <v>1.2966626478266918</v>
      </c>
      <c r="T781" s="190"/>
      <c r="U781" s="190"/>
      <c r="V781" s="190"/>
      <c r="W781" s="190">
        <f>W745+W747+W749+W751+W759+W763</f>
        <v>-12.098983229016717</v>
      </c>
      <c r="X781" s="190"/>
      <c r="Y781" s="190"/>
      <c r="Z781" s="190"/>
      <c r="AA781" s="190">
        <f>AA745+AA747+AA749+AA751+AA759+AA763</f>
        <v>1.2966626478266918</v>
      </c>
      <c r="AB781" s="190"/>
      <c r="AC781" s="190"/>
      <c r="AD781" s="190"/>
      <c r="AH781" s="27"/>
      <c r="AJ781" s="27"/>
      <c r="AL781" s="58"/>
      <c r="AM781" s="58"/>
      <c r="AQ781" s="29"/>
    </row>
    <row r="782" spans="2:43" ht="12.75" customHeight="1">
      <c r="B782" s="4"/>
      <c r="C782" s="4"/>
      <c r="D782" s="258" t="s">
        <v>578</v>
      </c>
      <c r="E782" s="259"/>
      <c r="F782" s="259"/>
      <c r="G782" s="259"/>
      <c r="H782" s="259"/>
      <c r="I782" s="259"/>
      <c r="J782" s="259"/>
      <c r="K782" s="259"/>
      <c r="L782" s="259"/>
      <c r="M782" s="259"/>
      <c r="N782" s="259"/>
      <c r="O782" s="260"/>
      <c r="P782" s="183" t="s">
        <v>576</v>
      </c>
      <c r="Q782" s="183"/>
      <c r="R782" s="183"/>
      <c r="S782" s="190">
        <f>IF($T$677=30,12,IF($T$677=40,15,IF($T$677=50,17,IF($T$677=60,19,"ERROR"))))*-1.25</f>
        <v>-18.75</v>
      </c>
      <c r="T782" s="190"/>
      <c r="U782" s="190"/>
      <c r="V782" s="190"/>
      <c r="W782" s="190">
        <f>S782</f>
        <v>-18.75</v>
      </c>
      <c r="X782" s="190"/>
      <c r="Y782" s="190"/>
      <c r="Z782" s="190"/>
      <c r="AA782" s="190">
        <f>S782</f>
        <v>-18.75</v>
      </c>
      <c r="AB782" s="190"/>
      <c r="AC782" s="190"/>
      <c r="AD782" s="190"/>
      <c r="AH782" s="27"/>
      <c r="AJ782" s="27"/>
      <c r="AL782" s="58"/>
      <c r="AM782" s="58"/>
      <c r="AQ782" s="29"/>
    </row>
    <row r="783" spans="2:43" ht="12.75" customHeight="1">
      <c r="B783" s="4"/>
      <c r="C783" s="4"/>
      <c r="D783" s="71"/>
      <c r="E783" s="72"/>
      <c r="F783" s="72"/>
      <c r="G783" s="73"/>
      <c r="H783" s="73"/>
      <c r="I783" s="73"/>
      <c r="J783" s="73"/>
      <c r="K783" s="53"/>
      <c r="L783" s="53"/>
      <c r="M783" s="53"/>
      <c r="N783" s="73"/>
      <c r="O783" s="74"/>
      <c r="P783" s="183" t="s">
        <v>577</v>
      </c>
      <c r="Q783" s="183"/>
      <c r="R783" s="183"/>
      <c r="S783" s="190">
        <f>$X$662</f>
        <v>2.250359141765158</v>
      </c>
      <c r="T783" s="190"/>
      <c r="U783" s="190"/>
      <c r="V783" s="190"/>
      <c r="W783" s="190">
        <f>$X$661</f>
        <v>2.470144622524153</v>
      </c>
      <c r="X783" s="190"/>
      <c r="Y783" s="190"/>
      <c r="Z783" s="190"/>
      <c r="AA783" s="190">
        <f>S783</f>
        <v>2.250359141765158</v>
      </c>
      <c r="AB783" s="190"/>
      <c r="AC783" s="190"/>
      <c r="AD783" s="190"/>
      <c r="AH783" s="27"/>
      <c r="AJ783" s="27"/>
      <c r="AL783" s="58"/>
      <c r="AM783" s="58"/>
      <c r="AQ783" s="29"/>
    </row>
    <row r="784" spans="2:43" ht="12.75" customHeight="1">
      <c r="B784" s="4"/>
      <c r="C784" s="4"/>
      <c r="D784" s="291" t="s">
        <v>1227</v>
      </c>
      <c r="E784" s="292"/>
      <c r="F784" s="292"/>
      <c r="G784" s="292"/>
      <c r="H784" s="292"/>
      <c r="I784" s="292"/>
      <c r="J784" s="292"/>
      <c r="K784" s="292"/>
      <c r="L784" s="292"/>
      <c r="M784" s="292"/>
      <c r="N784" s="292"/>
      <c r="O784" s="293"/>
      <c r="P784" s="183" t="s">
        <v>1008</v>
      </c>
      <c r="Q784" s="183"/>
      <c r="R784" s="183"/>
      <c r="S784" s="190">
        <f>S744+S746+S748+S750+S752+S756+S762</f>
        <v>-7.2249279216943485</v>
      </c>
      <c r="T784" s="190"/>
      <c r="U784" s="190"/>
      <c r="V784" s="190"/>
      <c r="W784" s="190">
        <f>W744+W746+W748+W750+W752+W756+W762</f>
        <v>-4.113889982160986</v>
      </c>
      <c r="X784" s="190"/>
      <c r="Y784" s="190"/>
      <c r="Z784" s="190"/>
      <c r="AA784" s="190">
        <f>AA744+AA746+AA748+AA750+AA752+AA756+AA762</f>
        <v>-7.2249279216943485</v>
      </c>
      <c r="AB784" s="190"/>
      <c r="AC784" s="190"/>
      <c r="AD784" s="190"/>
      <c r="AH784" s="27"/>
      <c r="AJ784" s="27"/>
      <c r="AL784" s="58"/>
      <c r="AM784" s="58"/>
      <c r="AQ784" s="29"/>
    </row>
    <row r="785" spans="2:43" ht="12.75" customHeight="1">
      <c r="B785" s="4"/>
      <c r="C785" s="4"/>
      <c r="D785" s="70" t="s">
        <v>579</v>
      </c>
      <c r="E785" s="68"/>
      <c r="F785" s="76"/>
      <c r="G785" s="68"/>
      <c r="H785" s="68"/>
      <c r="I785" s="68"/>
      <c r="J785" s="68"/>
      <c r="K785" s="62"/>
      <c r="L785" s="62"/>
      <c r="M785" s="62"/>
      <c r="N785" s="68"/>
      <c r="O785" s="69"/>
      <c r="P785" s="183" t="s">
        <v>1010</v>
      </c>
      <c r="Q785" s="183"/>
      <c r="R785" s="183"/>
      <c r="S785" s="190">
        <f>S745+S747+S749+S751+S753+S757+S763</f>
        <v>-1.5997192635306479</v>
      </c>
      <c r="T785" s="190"/>
      <c r="U785" s="190"/>
      <c r="V785" s="190"/>
      <c r="W785" s="190">
        <f>W745+W747+W749+W751+W753+W757+W763</f>
        <v>-6.902016562350051</v>
      </c>
      <c r="X785" s="190"/>
      <c r="Y785" s="190"/>
      <c r="Z785" s="190"/>
      <c r="AA785" s="190">
        <f>AA745+AA747+AA749+AA751+AA753+AA757+AA763</f>
        <v>-1.5997192635306479</v>
      </c>
      <c r="AB785" s="190"/>
      <c r="AC785" s="190"/>
      <c r="AD785" s="190"/>
      <c r="AH785" s="27"/>
      <c r="AJ785" s="27"/>
      <c r="AL785" s="58"/>
      <c r="AM785" s="58"/>
      <c r="AQ785" s="29"/>
    </row>
    <row r="786" spans="2:43" ht="12.75" customHeight="1">
      <c r="B786" s="4"/>
      <c r="C786" s="4"/>
      <c r="D786" s="71"/>
      <c r="E786" s="72"/>
      <c r="F786" s="72"/>
      <c r="G786" s="73"/>
      <c r="H786" s="73"/>
      <c r="I786" s="73"/>
      <c r="J786" s="73"/>
      <c r="K786" s="53"/>
      <c r="L786" s="53"/>
      <c r="M786" s="53"/>
      <c r="N786" s="73"/>
      <c r="O786" s="74"/>
      <c r="P786" s="183" t="s">
        <v>580</v>
      </c>
      <c r="Q786" s="183"/>
      <c r="R786" s="183"/>
      <c r="S786" s="190">
        <f>S774*1.5</f>
        <v>-22.5</v>
      </c>
      <c r="T786" s="190"/>
      <c r="U786" s="190"/>
      <c r="V786" s="190"/>
      <c r="W786" s="190">
        <f>S786</f>
        <v>-22.5</v>
      </c>
      <c r="X786" s="190"/>
      <c r="Y786" s="190"/>
      <c r="Z786" s="190"/>
      <c r="AA786" s="190">
        <f>S786</f>
        <v>-22.5</v>
      </c>
      <c r="AB786" s="190"/>
      <c r="AC786" s="190"/>
      <c r="AD786" s="190"/>
      <c r="AH786" s="27"/>
      <c r="AJ786" s="27"/>
      <c r="AL786" s="58"/>
      <c r="AM786" s="58"/>
      <c r="AQ786" s="29"/>
    </row>
    <row r="787" spans="2:45" ht="12.75" customHeight="1">
      <c r="B787" s="4"/>
      <c r="C787" s="4"/>
      <c r="D787" s="58" t="s">
        <v>1326</v>
      </c>
      <c r="E787" s="58"/>
      <c r="H787" s="58" t="s">
        <v>1412</v>
      </c>
      <c r="I787" s="58"/>
      <c r="J787" s="58"/>
      <c r="K787" s="4"/>
      <c r="L787" s="4"/>
      <c r="M787" s="4"/>
      <c r="N787" s="4"/>
      <c r="O787" s="4"/>
      <c r="Q787" s="261">
        <f>IF($T$677=30,15,IF($T$677=40,19,IF($T$677=50,21,IF($T$677=60,23,"ERROR"))))*-1</f>
        <v>-19</v>
      </c>
      <c r="R787" s="261"/>
      <c r="S787" s="261"/>
      <c r="U787" s="27" t="s">
        <v>581</v>
      </c>
      <c r="W787" s="27" t="s">
        <v>582</v>
      </c>
      <c r="Z787" s="27" t="s">
        <v>581</v>
      </c>
      <c r="AB787" s="261">
        <f>IF($T$677=30,1.2,IF($T$677=40,1.5,IF($T$677=50,1.8,IF($T$677=60,2,"ERROR"))))</f>
        <v>1.5</v>
      </c>
      <c r="AC787" s="261"/>
      <c r="AD787" s="261"/>
      <c r="AE787" s="29" t="s">
        <v>385</v>
      </c>
      <c r="AH787" s="27"/>
      <c r="AI787" s="27"/>
      <c r="AJ787" s="27"/>
      <c r="AQ787" s="29"/>
      <c r="AR787" s="29"/>
      <c r="AS787" s="29"/>
    </row>
    <row r="788" spans="2:45" ht="12.75" customHeight="1">
      <c r="B788" s="4"/>
      <c r="C788" s="4"/>
      <c r="D788" s="4"/>
      <c r="E788" s="4"/>
      <c r="H788" s="4" t="s">
        <v>572</v>
      </c>
      <c r="I788" s="4"/>
      <c r="J788" s="4"/>
      <c r="K788" s="4"/>
      <c r="L788" s="4"/>
      <c r="M788" s="4"/>
      <c r="N788" s="4"/>
      <c r="O788" s="4"/>
      <c r="Q788" s="261">
        <f>IF($T$677=30,12,IF($T$677=40,15,IF($T$677=50,17,IF($T$677=60,19,"ERROR"))))*-1</f>
        <v>-15</v>
      </c>
      <c r="R788" s="261"/>
      <c r="S788" s="261"/>
      <c r="U788" s="27" t="s">
        <v>581</v>
      </c>
      <c r="W788" s="27" t="s">
        <v>582</v>
      </c>
      <c r="Z788" s="27" t="s">
        <v>581</v>
      </c>
      <c r="AB788" s="261">
        <f>$X$661</f>
        <v>2.470144622524153</v>
      </c>
      <c r="AC788" s="261"/>
      <c r="AD788" s="261"/>
      <c r="AE788" s="27" t="s">
        <v>555</v>
      </c>
      <c r="AF788" s="261">
        <f>$X$662</f>
        <v>2.250359141765158</v>
      </c>
      <c r="AG788" s="261"/>
      <c r="AH788" s="261"/>
      <c r="AI788" s="27" t="s">
        <v>423</v>
      </c>
      <c r="AJ788" s="29" t="s">
        <v>385</v>
      </c>
      <c r="AQ788" s="29"/>
      <c r="AR788" s="29"/>
      <c r="AS788" s="29"/>
    </row>
    <row r="789" spans="2:45" ht="12.75" customHeight="1">
      <c r="B789" s="4"/>
      <c r="C789" s="4"/>
      <c r="D789" s="4"/>
      <c r="E789" s="4"/>
      <c r="H789" s="4" t="s">
        <v>1226</v>
      </c>
      <c r="I789" s="4"/>
      <c r="J789" s="4"/>
      <c r="K789" s="4"/>
      <c r="L789" s="4"/>
      <c r="M789" s="4"/>
      <c r="N789" s="4"/>
      <c r="O789" s="4"/>
      <c r="Q789" s="261">
        <f>IF($T$677=30,12,IF($T$677=40,15,IF($T$677=50,17,IF($T$677=60,19,"ERROR"))))*-1</f>
        <v>-15</v>
      </c>
      <c r="R789" s="261"/>
      <c r="S789" s="261"/>
      <c r="U789" s="27" t="s">
        <v>581</v>
      </c>
      <c r="W789" s="27" t="s">
        <v>582</v>
      </c>
      <c r="Z789" s="27" t="s">
        <v>581</v>
      </c>
      <c r="AB789" s="261">
        <f>$X$661</f>
        <v>2.470144622524153</v>
      </c>
      <c r="AC789" s="261"/>
      <c r="AD789" s="261"/>
      <c r="AE789" s="27" t="s">
        <v>555</v>
      </c>
      <c r="AF789" s="261">
        <f>$X$662</f>
        <v>2.250359141765158</v>
      </c>
      <c r="AG789" s="261"/>
      <c r="AH789" s="261"/>
      <c r="AI789" s="27" t="s">
        <v>423</v>
      </c>
      <c r="AJ789" s="29" t="s">
        <v>385</v>
      </c>
      <c r="AQ789" s="29"/>
      <c r="AR789" s="29"/>
      <c r="AS789" s="29"/>
    </row>
    <row r="790" spans="2:45" ht="12.75" customHeight="1">
      <c r="B790" s="4"/>
      <c r="C790" s="4"/>
      <c r="D790" s="4"/>
      <c r="E790" s="4"/>
      <c r="H790" s="4" t="s">
        <v>4</v>
      </c>
      <c r="I790" s="4"/>
      <c r="J790" s="4"/>
      <c r="K790" s="4"/>
      <c r="L790" s="4"/>
      <c r="M790" s="4"/>
      <c r="N790" s="4"/>
      <c r="O790" s="4"/>
      <c r="Q790" s="261">
        <f>IF($T$677=30,12,IF($T$677=40,15,IF($T$677=50,17,IF($T$677=60,19,"ERROR"))))*-1.25</f>
        <v>-18.75</v>
      </c>
      <c r="R790" s="261"/>
      <c r="S790" s="261"/>
      <c r="U790" s="27" t="s">
        <v>585</v>
      </c>
      <c r="W790" s="27" t="s">
        <v>586</v>
      </c>
      <c r="Z790" s="27" t="s">
        <v>585</v>
      </c>
      <c r="AB790" s="261">
        <f>$X$661</f>
        <v>2.470144622524153</v>
      </c>
      <c r="AC790" s="261"/>
      <c r="AD790" s="261"/>
      <c r="AE790" s="27" t="s">
        <v>1048</v>
      </c>
      <c r="AF790" s="261">
        <f>$X$662</f>
        <v>2.250359141765158</v>
      </c>
      <c r="AG790" s="261"/>
      <c r="AH790" s="261"/>
      <c r="AI790" s="27" t="s">
        <v>587</v>
      </c>
      <c r="AJ790" s="29" t="s">
        <v>588</v>
      </c>
      <c r="AQ790" s="29"/>
      <c r="AR790" s="29"/>
      <c r="AS790" s="29"/>
    </row>
    <row r="791" spans="2:45" ht="12.75" customHeight="1">
      <c r="B791" s="4"/>
      <c r="C791" s="4"/>
      <c r="D791" s="4"/>
      <c r="E791" s="4"/>
      <c r="H791" s="4" t="s">
        <v>0</v>
      </c>
      <c r="I791" s="4"/>
      <c r="J791" s="4"/>
      <c r="K791" s="4"/>
      <c r="L791" s="4"/>
      <c r="M791" s="4"/>
      <c r="N791" s="4"/>
      <c r="O791" s="4"/>
      <c r="Q791" s="261">
        <f>Q789*1.5</f>
        <v>-22.5</v>
      </c>
      <c r="R791" s="261"/>
      <c r="S791" s="261"/>
      <c r="U791" s="27" t="s">
        <v>589</v>
      </c>
      <c r="W791" s="27" t="s">
        <v>590</v>
      </c>
      <c r="Z791" s="27" t="s">
        <v>589</v>
      </c>
      <c r="AB791" s="261">
        <f>$X$661</f>
        <v>2.470144622524153</v>
      </c>
      <c r="AC791" s="261"/>
      <c r="AD791" s="261"/>
      <c r="AE791" s="27" t="s">
        <v>1355</v>
      </c>
      <c r="AF791" s="261">
        <f>$X$662</f>
        <v>2.250359141765158</v>
      </c>
      <c r="AG791" s="261"/>
      <c r="AH791" s="261"/>
      <c r="AI791" s="27" t="s">
        <v>1118</v>
      </c>
      <c r="AJ791" s="29" t="s">
        <v>1116</v>
      </c>
      <c r="AQ791" s="29"/>
      <c r="AR791" s="29"/>
      <c r="AS791" s="29"/>
    </row>
    <row r="792" spans="2:43" ht="12.75" customHeight="1">
      <c r="B792" s="4"/>
      <c r="C792" s="4"/>
      <c r="D792" s="4"/>
      <c r="E792" s="4"/>
      <c r="F792" s="4"/>
      <c r="H792" s="4"/>
      <c r="I792" s="4"/>
      <c r="J792" s="4"/>
      <c r="K792" s="4"/>
      <c r="L792" s="4"/>
      <c r="M792" s="4"/>
      <c r="N792" s="4" t="s">
        <v>1049</v>
      </c>
      <c r="AH792" s="27"/>
      <c r="AQ792" s="29"/>
    </row>
    <row r="793" spans="2:43" ht="12.75" customHeight="1">
      <c r="B793" s="4"/>
      <c r="C793" s="4"/>
      <c r="D793" s="4"/>
      <c r="E793" s="4"/>
      <c r="F793" s="4"/>
      <c r="G793" s="4"/>
      <c r="H793" s="4"/>
      <c r="I793" s="4"/>
      <c r="J793" s="4"/>
      <c r="K793" s="4"/>
      <c r="L793" s="4"/>
      <c r="M793" s="4"/>
      <c r="AH793" s="27"/>
      <c r="AQ793" s="29"/>
    </row>
    <row r="794" spans="1:12" ht="19.5" customHeight="1">
      <c r="A794" s="4"/>
      <c r="B794" s="4"/>
      <c r="C794" s="4"/>
      <c r="D794" s="4"/>
      <c r="E794" s="4"/>
      <c r="F794" s="4"/>
      <c r="G794" s="4"/>
      <c r="H794" s="4"/>
      <c r="I794" s="4"/>
      <c r="J794" s="4"/>
      <c r="K794" s="4"/>
      <c r="L794" s="4"/>
    </row>
    <row r="795" spans="2:45" ht="19.5" customHeight="1">
      <c r="B795" s="4" t="s">
        <v>592</v>
      </c>
      <c r="C795" s="4" t="s">
        <v>5</v>
      </c>
      <c r="D795" s="4"/>
      <c r="E795" s="4"/>
      <c r="F795" s="4"/>
      <c r="G795" s="4"/>
      <c r="H795" s="4"/>
      <c r="I795" s="4"/>
      <c r="J795" s="4"/>
      <c r="K795" s="4"/>
      <c r="L795" s="4"/>
      <c r="M795" s="4"/>
      <c r="AH795" s="27"/>
      <c r="AQ795" s="29"/>
      <c r="AS795" s="36"/>
    </row>
    <row r="796" spans="1:56" ht="19.5" customHeight="1">
      <c r="A796" s="4"/>
      <c r="B796" s="4"/>
      <c r="D796" s="4" t="s">
        <v>6</v>
      </c>
      <c r="E796" s="4"/>
      <c r="F796" s="4"/>
      <c r="G796" s="4"/>
      <c r="H796" s="4"/>
      <c r="I796" s="4"/>
      <c r="J796" s="4"/>
      <c r="K796" s="4"/>
      <c r="L796" s="4"/>
      <c r="AX796" s="29"/>
      <c r="AY796" s="29"/>
      <c r="AZ796" s="29"/>
      <c r="BA796" s="29"/>
      <c r="BB796" s="29"/>
      <c r="BC796" s="29"/>
      <c r="BD796" s="29"/>
    </row>
    <row r="797" spans="1:56" ht="19.5" customHeight="1">
      <c r="A797" s="4"/>
      <c r="B797" s="4"/>
      <c r="C797" s="4"/>
      <c r="E797" s="4" t="s">
        <v>7</v>
      </c>
      <c r="F797" s="4"/>
      <c r="G797" s="4"/>
      <c r="H797" s="4"/>
      <c r="I797" s="4"/>
      <c r="J797" s="4"/>
      <c r="K797" s="4"/>
      <c r="L797" s="4"/>
      <c r="AX797" s="29"/>
      <c r="AY797" s="29"/>
      <c r="AZ797" s="29"/>
      <c r="BA797" s="29"/>
      <c r="BB797" s="29"/>
      <c r="BC797" s="29"/>
      <c r="BD797" s="29"/>
    </row>
    <row r="798" spans="1:56" ht="19.5" customHeight="1">
      <c r="A798" s="4"/>
      <c r="B798" s="4"/>
      <c r="C798" s="4"/>
      <c r="D798" s="4"/>
      <c r="E798" s="4"/>
      <c r="F798" s="4"/>
      <c r="G798" s="4"/>
      <c r="H798" s="4"/>
      <c r="I798" s="4"/>
      <c r="J798" s="4"/>
      <c r="K798" s="4"/>
      <c r="L798" s="4"/>
      <c r="AX798" s="29"/>
      <c r="AY798" s="29"/>
      <c r="AZ798" s="29"/>
      <c r="BA798" s="29"/>
      <c r="BB798" s="29"/>
      <c r="BC798" s="29"/>
      <c r="BD798" s="29"/>
    </row>
    <row r="799" spans="1:12" ht="19.5" customHeight="1">
      <c r="A799" s="4"/>
      <c r="B799" s="4"/>
      <c r="C799" s="4"/>
      <c r="D799" s="4"/>
      <c r="E799" s="4" t="s">
        <v>8</v>
      </c>
      <c r="G799" s="4"/>
      <c r="H799" s="4"/>
      <c r="I799" s="4"/>
      <c r="J799" s="4"/>
      <c r="K799" s="4"/>
      <c r="L799" s="4"/>
    </row>
    <row r="800" spans="1:37" ht="19.5" customHeight="1">
      <c r="A800" s="4"/>
      <c r="B800" s="4"/>
      <c r="C800" s="4"/>
      <c r="D800" s="4"/>
      <c r="E800" s="4"/>
      <c r="F800" s="27" t="s">
        <v>923</v>
      </c>
      <c r="L800" s="4" t="s">
        <v>593</v>
      </c>
      <c r="M800" s="4"/>
      <c r="N800" s="375">
        <v>0.0035</v>
      </c>
      <c r="O800" s="375"/>
      <c r="P800" s="375"/>
      <c r="Q800" s="4" t="s">
        <v>594</v>
      </c>
      <c r="R800" s="27" t="s">
        <v>290</v>
      </c>
      <c r="S800" s="235">
        <f>N800</f>
        <v>0.0035</v>
      </c>
      <c r="T800" s="235"/>
      <c r="U800" s="235"/>
      <c r="V800" s="27" t="s">
        <v>349</v>
      </c>
      <c r="W800" s="237">
        <f>Y817</f>
        <v>30.5</v>
      </c>
      <c r="X800" s="320"/>
      <c r="Y800" s="320"/>
      <c r="Z800" s="27" t="s">
        <v>290</v>
      </c>
      <c r="AA800" s="321">
        <f>S800*W800</f>
        <v>0.10675</v>
      </c>
      <c r="AB800" s="321"/>
      <c r="AC800" s="321"/>
      <c r="AD800" s="321"/>
      <c r="AE800" s="27" t="s">
        <v>595</v>
      </c>
      <c r="AH800" s="27"/>
      <c r="AI800" s="27"/>
      <c r="AJ800" s="27"/>
      <c r="AK800" s="27"/>
    </row>
    <row r="801" spans="1:37" ht="19.5" customHeight="1">
      <c r="A801" s="4"/>
      <c r="B801" s="4"/>
      <c r="C801" s="4"/>
      <c r="D801" s="4"/>
      <c r="E801" s="4"/>
      <c r="F801" s="27" t="s">
        <v>924</v>
      </c>
      <c r="L801" s="4" t="s">
        <v>593</v>
      </c>
      <c r="M801" s="4"/>
      <c r="N801" s="375">
        <v>0.005</v>
      </c>
      <c r="O801" s="375"/>
      <c r="P801" s="375"/>
      <c r="Q801" s="4" t="s">
        <v>594</v>
      </c>
      <c r="R801" s="27" t="s">
        <v>290</v>
      </c>
      <c r="S801" s="235">
        <f>N801</f>
        <v>0.005</v>
      </c>
      <c r="T801" s="235"/>
      <c r="U801" s="235"/>
      <c r="V801" s="27" t="s">
        <v>349</v>
      </c>
      <c r="W801" s="237">
        <f>Y818</f>
        <v>30.5</v>
      </c>
      <c r="X801" s="320"/>
      <c r="Y801" s="320"/>
      <c r="Z801" s="27" t="s">
        <v>290</v>
      </c>
      <c r="AA801" s="321">
        <f>S801*W801</f>
        <v>0.1525</v>
      </c>
      <c r="AB801" s="321"/>
      <c r="AC801" s="321"/>
      <c r="AD801" s="321"/>
      <c r="AE801" s="27" t="s">
        <v>595</v>
      </c>
      <c r="AH801" s="27"/>
      <c r="AI801" s="27"/>
      <c r="AJ801" s="27"/>
      <c r="AK801" s="27"/>
    </row>
    <row r="802" spans="1:56" ht="19.5" customHeight="1">
      <c r="A802" s="4"/>
      <c r="B802" s="4"/>
      <c r="C802" s="4"/>
      <c r="D802" s="4"/>
      <c r="E802" s="4" t="s">
        <v>9</v>
      </c>
      <c r="F802" s="4"/>
      <c r="G802" s="4"/>
      <c r="H802" s="4"/>
      <c r="I802" s="4"/>
      <c r="J802" s="4"/>
      <c r="K802" s="4"/>
      <c r="L802" s="4"/>
      <c r="AX802" s="29"/>
      <c r="AY802" s="29"/>
      <c r="AZ802" s="29"/>
      <c r="BA802" s="29"/>
      <c r="BB802" s="29"/>
      <c r="BC802" s="29"/>
      <c r="BD802" s="29"/>
    </row>
    <row r="803" spans="3:44" ht="19.5" customHeight="1">
      <c r="C803" s="4"/>
      <c r="D803" s="4"/>
      <c r="E803" s="49"/>
      <c r="F803" s="49" t="s">
        <v>1050</v>
      </c>
      <c r="G803" s="83" t="s">
        <v>1051</v>
      </c>
      <c r="H803" s="49"/>
      <c r="I803" s="49"/>
      <c r="J803" s="376"/>
      <c r="K803" s="376"/>
      <c r="L803" s="376"/>
      <c r="M803" s="376"/>
      <c r="N803" s="49"/>
      <c r="O803" s="49"/>
      <c r="P803" s="49"/>
      <c r="Q803" s="49"/>
      <c r="R803" s="49"/>
      <c r="S803" s="49"/>
      <c r="T803" s="49"/>
      <c r="U803" s="49"/>
      <c r="V803" s="49"/>
      <c r="W803" s="49"/>
      <c r="X803" s="49"/>
      <c r="Y803" s="49"/>
      <c r="AE803" s="376"/>
      <c r="AF803" s="376"/>
      <c r="AG803" s="376"/>
      <c r="AH803" s="376"/>
      <c r="AI803" s="27"/>
      <c r="AQ803" s="29"/>
      <c r="AR803" s="29"/>
    </row>
    <row r="804" spans="1:38" ht="19.5" customHeight="1">
      <c r="A804" s="4"/>
      <c r="B804" s="4"/>
      <c r="C804" s="4"/>
      <c r="D804" s="4"/>
      <c r="E804" s="4"/>
      <c r="F804" s="4"/>
      <c r="G804" s="4" t="s">
        <v>1045</v>
      </c>
      <c r="H804" s="235">
        <v>1.1</v>
      </c>
      <c r="I804" s="235"/>
      <c r="J804" s="27" t="s">
        <v>1046</v>
      </c>
      <c r="K804" s="244">
        <v>1</v>
      </c>
      <c r="L804" s="244"/>
      <c r="M804" s="27" t="s">
        <v>1046</v>
      </c>
      <c r="N804" s="243">
        <f>AE810</f>
        <v>0.95</v>
      </c>
      <c r="O804" s="243"/>
      <c r="P804" s="243"/>
      <c r="Q804" s="27" t="s">
        <v>1046</v>
      </c>
      <c r="R804" s="243">
        <f>AF814</f>
        <v>1</v>
      </c>
      <c r="S804" s="243"/>
      <c r="T804" s="243"/>
      <c r="U804" s="27" t="s">
        <v>1052</v>
      </c>
      <c r="W804" s="27">
        <v>4</v>
      </c>
      <c r="X804" s="27" t="s">
        <v>1046</v>
      </c>
      <c r="Y804" s="237">
        <f>Y817</f>
        <v>30.5</v>
      </c>
      <c r="Z804" s="320"/>
      <c r="AA804" s="320"/>
      <c r="AB804" s="27" t="s">
        <v>1053</v>
      </c>
      <c r="AC804" s="236">
        <v>0.7</v>
      </c>
      <c r="AD804" s="236"/>
      <c r="AE804" s="27" t="s">
        <v>1054</v>
      </c>
      <c r="AG804" s="320">
        <f>K254</f>
        <v>125</v>
      </c>
      <c r="AH804" s="320"/>
      <c r="AI804" s="82" t="s">
        <v>1401</v>
      </c>
      <c r="AJ804" s="303">
        <f>Z820</f>
        <v>19</v>
      </c>
      <c r="AK804" s="303"/>
      <c r="AL804" s="29" t="s">
        <v>1122</v>
      </c>
    </row>
    <row r="805" spans="1:30" ht="19.5" customHeight="1">
      <c r="A805" s="4"/>
      <c r="B805" s="4"/>
      <c r="C805" s="4"/>
      <c r="D805" s="4"/>
      <c r="E805" s="4"/>
      <c r="F805" s="4"/>
      <c r="G805" s="4"/>
      <c r="H805" s="4" t="s">
        <v>1016</v>
      </c>
      <c r="I805" s="4"/>
      <c r="J805" s="27" t="s">
        <v>1055</v>
      </c>
      <c r="K805" s="244">
        <f>S828</f>
        <v>-42.7922625452853</v>
      </c>
      <c r="L805" s="235"/>
      <c r="M805" s="235"/>
      <c r="N805" s="235"/>
      <c r="O805" s="39" t="s">
        <v>1056</v>
      </c>
      <c r="Q805" s="250">
        <f>Y822</f>
        <v>2</v>
      </c>
      <c r="R805" s="250"/>
      <c r="S805" s="250"/>
      <c r="T805" s="27" t="s">
        <v>1046</v>
      </c>
      <c r="U805" s="322" t="s">
        <v>1057</v>
      </c>
      <c r="V805" s="236"/>
      <c r="W805" s="27" t="s">
        <v>1058</v>
      </c>
      <c r="X805" s="27" t="s">
        <v>1053</v>
      </c>
      <c r="Y805" s="236">
        <f>R824</f>
        <v>150</v>
      </c>
      <c r="Z805" s="236"/>
      <c r="AA805" s="39" t="s">
        <v>1059</v>
      </c>
      <c r="AD805" s="27" t="s">
        <v>1060</v>
      </c>
    </row>
    <row r="806" spans="1:26" ht="19.5" customHeight="1">
      <c r="A806" s="4"/>
      <c r="B806" s="4"/>
      <c r="C806" s="4"/>
      <c r="D806" s="4"/>
      <c r="E806" s="4"/>
      <c r="F806" s="4"/>
      <c r="G806" s="4" t="s">
        <v>1045</v>
      </c>
      <c r="H806" s="248">
        <f>H804*K804*N804*R804*(W804*Y804+AC804*(AG804-AJ804))*(K805/(Q805*10^5)+Y805*10^(-6))</f>
        <v>-0.013113923986986499</v>
      </c>
      <c r="I806" s="248"/>
      <c r="J806" s="248"/>
      <c r="K806" s="248"/>
      <c r="L806" s="33" t="s">
        <v>1061</v>
      </c>
      <c r="M806" s="33"/>
      <c r="N806" s="322" t="str">
        <f>IF(H806&lt;=S806,"&lt;","&gt;")</f>
        <v>&lt;</v>
      </c>
      <c r="O806" s="322"/>
      <c r="P806" s="54"/>
      <c r="Q806" s="4" t="s">
        <v>1062</v>
      </c>
      <c r="R806" s="54"/>
      <c r="S806" s="321">
        <f>AA801</f>
        <v>0.1525</v>
      </c>
      <c r="T806" s="321"/>
      <c r="U806" s="321"/>
      <c r="V806" s="321"/>
      <c r="W806" s="27" t="s">
        <v>1061</v>
      </c>
      <c r="Z806" s="27" t="str">
        <f>IF(H806&lt;=S806,"O.K.","N.G.")</f>
        <v>O.K.</v>
      </c>
    </row>
    <row r="807" spans="1:43" ht="19.5" customHeight="1">
      <c r="A807" s="4"/>
      <c r="B807" s="4"/>
      <c r="C807" s="4"/>
      <c r="D807" s="4"/>
      <c r="E807" s="4"/>
      <c r="F807" s="4"/>
      <c r="G807" s="4" t="s">
        <v>929</v>
      </c>
      <c r="H807" s="4"/>
      <c r="I807" s="4"/>
      <c r="J807" s="4"/>
      <c r="K807" s="4" t="s">
        <v>1063</v>
      </c>
      <c r="L807" s="4"/>
      <c r="N807" s="27" t="s">
        <v>10</v>
      </c>
      <c r="AH807" s="27"/>
      <c r="AQ807" s="29"/>
    </row>
    <row r="808" spans="1:43" ht="19.5" customHeight="1">
      <c r="A808" s="4"/>
      <c r="B808" s="4"/>
      <c r="C808" s="4"/>
      <c r="D808" s="4"/>
      <c r="E808" s="4"/>
      <c r="F808" s="4"/>
      <c r="G808" s="4"/>
      <c r="H808" s="4"/>
      <c r="I808" s="4"/>
      <c r="J808" s="4"/>
      <c r="K808" s="4" t="s">
        <v>596</v>
      </c>
      <c r="L808" s="4"/>
      <c r="N808" s="27" t="s">
        <v>11</v>
      </c>
      <c r="AH808" s="27"/>
      <c r="AQ808" s="29"/>
    </row>
    <row r="809" spans="1:43" ht="19.5" customHeight="1">
      <c r="A809" s="4"/>
      <c r="B809" s="4"/>
      <c r="C809" s="4"/>
      <c r="D809" s="4"/>
      <c r="E809" s="4"/>
      <c r="F809" s="4"/>
      <c r="G809" s="4"/>
      <c r="H809" s="4"/>
      <c r="I809" s="4"/>
      <c r="J809" s="4"/>
      <c r="K809" s="4"/>
      <c r="L809" s="4"/>
      <c r="N809" s="27" t="s">
        <v>597</v>
      </c>
      <c r="AH809" s="27"/>
      <c r="AQ809" s="29"/>
    </row>
    <row r="810" spans="1:43" ht="19.5" customHeight="1">
      <c r="A810" s="4"/>
      <c r="B810" s="4"/>
      <c r="C810" s="4"/>
      <c r="D810" s="4"/>
      <c r="E810" s="4"/>
      <c r="F810" s="4"/>
      <c r="G810" s="4"/>
      <c r="H810" s="4"/>
      <c r="I810" s="4"/>
      <c r="J810" s="4"/>
      <c r="K810" s="4"/>
      <c r="L810" s="4"/>
      <c r="O810" s="27" t="s">
        <v>598</v>
      </c>
      <c r="P810" s="236">
        <v>15</v>
      </c>
      <c r="Q810" s="236"/>
      <c r="R810" s="39" t="s">
        <v>599</v>
      </c>
      <c r="S810" s="27" t="s">
        <v>600</v>
      </c>
      <c r="T810" s="237">
        <f>Z811</f>
        <v>40</v>
      </c>
      <c r="U810" s="237"/>
      <c r="V810" s="237"/>
      <c r="W810" s="27" t="s">
        <v>601</v>
      </c>
      <c r="X810" s="236">
        <v>20</v>
      </c>
      <c r="Y810" s="236"/>
      <c r="Z810" s="27" t="s">
        <v>602</v>
      </c>
      <c r="AB810" s="236">
        <v>0.7</v>
      </c>
      <c r="AC810" s="236"/>
      <c r="AD810" s="27" t="s">
        <v>598</v>
      </c>
      <c r="AE810" s="243">
        <f>P810/(T810+X810)+AB810</f>
        <v>0.95</v>
      </c>
      <c r="AF810" s="243"/>
      <c r="AG810" s="243"/>
      <c r="AH810" s="27"/>
      <c r="AQ810" s="29"/>
    </row>
    <row r="811" spans="1:44" ht="19.5" customHeight="1">
      <c r="A811" s="4"/>
      <c r="B811" s="4"/>
      <c r="C811" s="4"/>
      <c r="D811" s="4"/>
      <c r="E811" s="4"/>
      <c r="F811" s="4"/>
      <c r="G811" s="4"/>
      <c r="H811" s="4"/>
      <c r="I811" s="4"/>
      <c r="J811" s="4"/>
      <c r="K811" s="4" t="s">
        <v>916</v>
      </c>
      <c r="L811" s="4"/>
      <c r="N811" s="27" t="s">
        <v>12</v>
      </c>
      <c r="X811" s="27" t="s">
        <v>1047</v>
      </c>
      <c r="Z811" s="237">
        <f>T677</f>
        <v>40</v>
      </c>
      <c r="AA811" s="237"/>
      <c r="AB811" s="237"/>
      <c r="AC811" s="27" t="s">
        <v>603</v>
      </c>
      <c r="AH811" s="27"/>
      <c r="AQ811" s="29"/>
      <c r="AR811" s="36"/>
    </row>
    <row r="812" spans="1:43" ht="19.5" customHeight="1">
      <c r="A812" s="4"/>
      <c r="B812" s="4"/>
      <c r="C812" s="4"/>
      <c r="D812" s="4"/>
      <c r="E812" s="4"/>
      <c r="F812" s="4"/>
      <c r="G812" s="4"/>
      <c r="H812" s="4"/>
      <c r="I812" s="4"/>
      <c r="J812" s="4"/>
      <c r="K812" s="4" t="s">
        <v>604</v>
      </c>
      <c r="L812" s="4"/>
      <c r="N812" s="27" t="s">
        <v>13</v>
      </c>
      <c r="AH812" s="27"/>
      <c r="AQ812" s="29"/>
    </row>
    <row r="813" spans="1:43" ht="19.5" customHeight="1">
      <c r="A813" s="4"/>
      <c r="B813" s="4"/>
      <c r="C813" s="4"/>
      <c r="D813" s="4"/>
      <c r="E813" s="4"/>
      <c r="F813" s="4"/>
      <c r="G813" s="4"/>
      <c r="H813" s="4"/>
      <c r="I813" s="4"/>
      <c r="J813" s="4"/>
      <c r="K813" s="4"/>
      <c r="L813" s="4"/>
      <c r="N813" s="27" t="s">
        <v>605</v>
      </c>
      <c r="AH813" s="27"/>
      <c r="AQ813" s="29"/>
    </row>
    <row r="814" spans="1:43" ht="19.5" customHeight="1">
      <c r="A814" s="4"/>
      <c r="B814" s="4"/>
      <c r="C814" s="4"/>
      <c r="D814" s="4"/>
      <c r="E814" s="4"/>
      <c r="F814" s="4"/>
      <c r="G814" s="4"/>
      <c r="H814" s="4"/>
      <c r="I814" s="4"/>
      <c r="J814" s="4"/>
      <c r="K814" s="4"/>
      <c r="L814" s="4"/>
      <c r="O814" s="27" t="s">
        <v>1361</v>
      </c>
      <c r="P814" s="27">
        <v>5</v>
      </c>
      <c r="Q814" s="27" t="s">
        <v>606</v>
      </c>
      <c r="S814" s="27">
        <v>1</v>
      </c>
      <c r="T814" s="27" t="s">
        <v>1044</v>
      </c>
      <c r="U814" s="27">
        <v>2</v>
      </c>
      <c r="V814" s="27" t="s">
        <v>607</v>
      </c>
      <c r="Y814" s="27">
        <v>7</v>
      </c>
      <c r="Z814" s="27" t="s">
        <v>329</v>
      </c>
      <c r="AA814" s="27">
        <v>1</v>
      </c>
      <c r="AB814" s="27" t="s">
        <v>1044</v>
      </c>
      <c r="AC814" s="27">
        <v>8</v>
      </c>
      <c r="AD814" s="27" t="s">
        <v>608</v>
      </c>
      <c r="AE814" s="27" t="s">
        <v>1361</v>
      </c>
      <c r="AF814" s="243">
        <f>P814*(S814+U814)/(Y814*AA814+AC814)</f>
        <v>1</v>
      </c>
      <c r="AG814" s="243"/>
      <c r="AH814" s="243"/>
      <c r="AQ814" s="29"/>
    </row>
    <row r="815" spans="1:43" ht="19.5" customHeight="1">
      <c r="A815" s="4"/>
      <c r="B815" s="4"/>
      <c r="C815" s="4"/>
      <c r="D815" s="4"/>
      <c r="E815" s="4"/>
      <c r="F815" s="4"/>
      <c r="G815" s="4"/>
      <c r="H815" s="4"/>
      <c r="I815" s="4"/>
      <c r="J815" s="4"/>
      <c r="K815" s="4" t="s">
        <v>334</v>
      </c>
      <c r="L815" s="4"/>
      <c r="N815" s="27" t="s">
        <v>14</v>
      </c>
      <c r="AH815" s="27"/>
      <c r="AQ815" s="29"/>
    </row>
    <row r="816" spans="1:43" ht="19.5" customHeight="1">
      <c r="A816" s="4"/>
      <c r="B816" s="4"/>
      <c r="C816" s="4"/>
      <c r="D816" s="4"/>
      <c r="E816" s="4"/>
      <c r="F816" s="4"/>
      <c r="G816" s="4"/>
      <c r="H816" s="4"/>
      <c r="I816" s="4"/>
      <c r="J816" s="4"/>
      <c r="K816" s="4" t="s">
        <v>609</v>
      </c>
      <c r="L816" s="4"/>
      <c r="N816" s="27" t="s">
        <v>15</v>
      </c>
      <c r="U816" s="27" t="s">
        <v>1272</v>
      </c>
      <c r="AH816" s="27"/>
      <c r="AQ816" s="29"/>
    </row>
    <row r="817" spans="1:43" ht="19.5" customHeight="1">
      <c r="A817" s="4"/>
      <c r="B817" s="4"/>
      <c r="C817" s="4"/>
      <c r="D817" s="4"/>
      <c r="E817" s="4"/>
      <c r="F817" s="4"/>
      <c r="G817" s="4"/>
      <c r="H817" s="4"/>
      <c r="I817" s="4"/>
      <c r="J817" s="4"/>
      <c r="K817" s="4"/>
      <c r="L817" s="4"/>
      <c r="O817" s="27" t="s">
        <v>610</v>
      </c>
      <c r="Q817" s="236">
        <f>O255</f>
        <v>40</v>
      </c>
      <c r="R817" s="236"/>
      <c r="S817" s="27" t="s">
        <v>611</v>
      </c>
      <c r="T817" s="236">
        <f>Z820</f>
        <v>19</v>
      </c>
      <c r="U817" s="236"/>
      <c r="V817" s="39" t="s">
        <v>207</v>
      </c>
      <c r="W817" s="27">
        <v>2</v>
      </c>
      <c r="X817" s="27" t="s">
        <v>993</v>
      </c>
      <c r="Y817" s="237">
        <f>Q817-T817/W817</f>
        <v>30.5</v>
      </c>
      <c r="Z817" s="237"/>
      <c r="AA817" s="237"/>
      <c r="AB817" s="27" t="s">
        <v>612</v>
      </c>
      <c r="AD817" s="27" t="s">
        <v>1009</v>
      </c>
      <c r="AH817" s="27"/>
      <c r="AQ817" s="29"/>
    </row>
    <row r="818" spans="1:43" ht="19.5" customHeight="1">
      <c r="A818" s="4"/>
      <c r="B818" s="4"/>
      <c r="C818" s="4"/>
      <c r="D818" s="4"/>
      <c r="E818" s="4"/>
      <c r="F818" s="4"/>
      <c r="G818" s="4"/>
      <c r="H818" s="4"/>
      <c r="I818" s="4"/>
      <c r="J818" s="4"/>
      <c r="K818" s="4"/>
      <c r="L818" s="4"/>
      <c r="O818" s="27" t="s">
        <v>610</v>
      </c>
      <c r="Q818" s="236">
        <f>O257</f>
        <v>40</v>
      </c>
      <c r="R818" s="236"/>
      <c r="S818" s="27" t="s">
        <v>611</v>
      </c>
      <c r="T818" s="236">
        <f>AG820</f>
        <v>19</v>
      </c>
      <c r="U818" s="236"/>
      <c r="V818" s="39" t="s">
        <v>207</v>
      </c>
      <c r="W818" s="27">
        <v>2</v>
      </c>
      <c r="X818" s="27" t="s">
        <v>993</v>
      </c>
      <c r="Y818" s="237">
        <f>Y804</f>
        <v>30.5</v>
      </c>
      <c r="Z818" s="237"/>
      <c r="AA818" s="237"/>
      <c r="AB818" s="27" t="s">
        <v>612</v>
      </c>
      <c r="AD818" s="27" t="s">
        <v>1011</v>
      </c>
      <c r="AH818" s="27"/>
      <c r="AQ818" s="29"/>
    </row>
    <row r="819" spans="1:43" ht="19.5" customHeight="1">
      <c r="A819" s="4"/>
      <c r="B819" s="4"/>
      <c r="C819" s="4"/>
      <c r="D819" s="4"/>
      <c r="E819" s="4"/>
      <c r="F819" s="4"/>
      <c r="G819" s="4"/>
      <c r="H819" s="4"/>
      <c r="I819" s="4"/>
      <c r="J819" s="4"/>
      <c r="K819" s="4" t="s">
        <v>613</v>
      </c>
      <c r="L819" s="4"/>
      <c r="N819" s="27" t="s">
        <v>16</v>
      </c>
      <c r="AH819" s="27"/>
      <c r="AQ819" s="29"/>
    </row>
    <row r="820" spans="1:43" ht="19.5" customHeight="1">
      <c r="A820" s="4"/>
      <c r="B820" s="4"/>
      <c r="C820" s="4"/>
      <c r="D820" s="4"/>
      <c r="E820" s="4"/>
      <c r="F820" s="4"/>
      <c r="G820" s="4"/>
      <c r="H820" s="4"/>
      <c r="I820" s="4"/>
      <c r="J820" s="4"/>
      <c r="K820" s="4" t="s">
        <v>614</v>
      </c>
      <c r="L820" s="4"/>
      <c r="N820" s="27" t="s">
        <v>17</v>
      </c>
      <c r="V820" s="27" t="s">
        <v>615</v>
      </c>
      <c r="W820" s="27" t="s">
        <v>18</v>
      </c>
      <c r="Z820" s="241">
        <f>G254</f>
        <v>19</v>
      </c>
      <c r="AA820" s="241"/>
      <c r="AB820" s="27" t="s">
        <v>612</v>
      </c>
      <c r="AC820" s="27" t="s">
        <v>616</v>
      </c>
      <c r="AD820" s="27" t="s">
        <v>19</v>
      </c>
      <c r="AG820" s="241">
        <f>Y259</f>
        <v>19</v>
      </c>
      <c r="AH820" s="241"/>
      <c r="AI820" s="27" t="s">
        <v>1324</v>
      </c>
      <c r="AJ820" s="27"/>
      <c r="AK820" s="27"/>
      <c r="AL820" s="27"/>
      <c r="AM820" s="27"/>
      <c r="AN820" s="27"/>
      <c r="AQ820" s="29"/>
    </row>
    <row r="821" spans="1:10" ht="19.5" customHeight="1">
      <c r="A821" s="4"/>
      <c r="B821" s="4"/>
      <c r="C821" s="4"/>
      <c r="D821" s="4"/>
      <c r="E821" s="4"/>
      <c r="F821" s="4"/>
      <c r="G821" s="4"/>
      <c r="H821" s="4"/>
      <c r="I821" s="4"/>
      <c r="J821" s="4"/>
    </row>
    <row r="822" spans="1:32" ht="19.5" customHeight="1">
      <c r="A822" s="4"/>
      <c r="B822" s="4"/>
      <c r="C822" s="4"/>
      <c r="D822" s="4"/>
      <c r="E822" s="4"/>
      <c r="F822" s="4"/>
      <c r="G822" s="4"/>
      <c r="H822" s="4"/>
      <c r="I822" s="4"/>
      <c r="J822" s="4"/>
      <c r="K822" s="4" t="s">
        <v>617</v>
      </c>
      <c r="L822" s="4"/>
      <c r="N822" s="27" t="s">
        <v>975</v>
      </c>
      <c r="W822" s="27" t="s">
        <v>1355</v>
      </c>
      <c r="X822" s="27" t="s">
        <v>993</v>
      </c>
      <c r="Y822" s="325">
        <v>2</v>
      </c>
      <c r="Z822" s="325"/>
      <c r="AA822" s="27" t="s">
        <v>1353</v>
      </c>
      <c r="AB822" s="39" t="s">
        <v>618</v>
      </c>
      <c r="AC822" s="29"/>
      <c r="AD822" s="29" t="s">
        <v>619</v>
      </c>
      <c r="AE822" s="29"/>
      <c r="AF822" s="29"/>
    </row>
    <row r="823" spans="1:34" ht="19.5" customHeight="1">
      <c r="A823" s="4"/>
      <c r="B823" s="4"/>
      <c r="C823" s="4"/>
      <c r="D823" s="4"/>
      <c r="E823" s="4"/>
      <c r="F823" s="4"/>
      <c r="G823" s="4"/>
      <c r="H823" s="4"/>
      <c r="I823" s="4"/>
      <c r="J823" s="4"/>
      <c r="K823" s="4" t="s">
        <v>620</v>
      </c>
      <c r="L823" s="4"/>
      <c r="N823" s="27" t="s">
        <v>20</v>
      </c>
      <c r="AH823" s="27"/>
    </row>
    <row r="824" spans="1:20" ht="19.5" customHeight="1">
      <c r="A824" s="4"/>
      <c r="B824" s="4"/>
      <c r="C824" s="4"/>
      <c r="D824" s="4"/>
      <c r="E824" s="4"/>
      <c r="F824" s="4"/>
      <c r="G824" s="4"/>
      <c r="H824" s="4"/>
      <c r="I824" s="4"/>
      <c r="J824" s="4"/>
      <c r="K824" s="4"/>
      <c r="L824" s="4"/>
      <c r="O824" s="4" t="s">
        <v>621</v>
      </c>
      <c r="R824" s="330">
        <v>150</v>
      </c>
      <c r="S824" s="330"/>
      <c r="T824" s="39" t="s">
        <v>622</v>
      </c>
    </row>
    <row r="825" spans="1:14" ht="19.5" customHeight="1">
      <c r="A825" s="4"/>
      <c r="B825" s="4"/>
      <c r="C825" s="4"/>
      <c r="D825" s="4"/>
      <c r="E825" s="4"/>
      <c r="F825" s="4"/>
      <c r="G825" s="4"/>
      <c r="H825" s="4"/>
      <c r="I825" s="4"/>
      <c r="J825" s="4"/>
      <c r="K825" s="4" t="s">
        <v>623</v>
      </c>
      <c r="L825" s="4"/>
      <c r="N825" s="27" t="s">
        <v>21</v>
      </c>
    </row>
    <row r="826" spans="1:42" ht="19.5" customHeight="1">
      <c r="A826" s="4"/>
      <c r="B826" s="4"/>
      <c r="C826" s="4"/>
      <c r="D826" s="4"/>
      <c r="E826" s="4"/>
      <c r="F826" s="4"/>
      <c r="G826" s="4"/>
      <c r="H826" s="4"/>
      <c r="I826" s="4"/>
      <c r="J826" s="4"/>
      <c r="K826" s="4"/>
      <c r="L826" s="4"/>
      <c r="O826" s="4" t="s">
        <v>624</v>
      </c>
      <c r="P826" s="4"/>
      <c r="R826" s="27" t="s">
        <v>625</v>
      </c>
      <c r="S826" s="27" t="s">
        <v>626</v>
      </c>
      <c r="T826" s="27" t="s">
        <v>627</v>
      </c>
      <c r="U826" s="4" t="s">
        <v>1274</v>
      </c>
      <c r="W826" s="27" t="s">
        <v>627</v>
      </c>
      <c r="X826" s="35" t="s">
        <v>628</v>
      </c>
      <c r="Y826" s="35" t="s">
        <v>629</v>
      </c>
      <c r="Z826" s="27" t="s">
        <v>630</v>
      </c>
      <c r="AA826" s="236">
        <f>AI829</f>
        <v>40</v>
      </c>
      <c r="AB826" s="236"/>
      <c r="AC826" s="27" t="s">
        <v>631</v>
      </c>
      <c r="AH826" s="27"/>
      <c r="AI826" s="27"/>
      <c r="AJ826" s="27"/>
      <c r="AK826" s="27"/>
      <c r="AL826" s="27"/>
      <c r="AM826" s="27"/>
      <c r="AN826" s="27"/>
      <c r="AO826" s="27"/>
      <c r="AP826" s="27"/>
    </row>
    <row r="827" spans="1:40" ht="19.5" customHeight="1">
      <c r="A827" s="4"/>
      <c r="B827" s="4"/>
      <c r="C827" s="4"/>
      <c r="D827" s="4"/>
      <c r="E827" s="4"/>
      <c r="F827" s="4"/>
      <c r="G827" s="4"/>
      <c r="H827" s="4"/>
      <c r="I827" s="4"/>
      <c r="J827" s="4"/>
      <c r="K827" s="4"/>
      <c r="L827" s="4"/>
      <c r="O827" s="4"/>
      <c r="P827" s="4"/>
      <c r="R827" s="27" t="s">
        <v>625</v>
      </c>
      <c r="S827" s="84">
        <f>AH841</f>
        <v>6.451612903225806</v>
      </c>
      <c r="T827" s="84"/>
      <c r="U827" s="84"/>
      <c r="V827" s="27" t="s">
        <v>627</v>
      </c>
      <c r="W827" s="244">
        <f>U836</f>
        <v>-7.2249279216943485</v>
      </c>
      <c r="X827" s="235"/>
      <c r="Y827" s="27" t="s">
        <v>627</v>
      </c>
      <c r="Z827" s="35" t="s">
        <v>628</v>
      </c>
      <c r="AA827" s="38">
        <f>AG836</f>
        <v>488.06591489889513</v>
      </c>
      <c r="AB827" s="38"/>
      <c r="AC827" s="38"/>
      <c r="AD827" s="35" t="s">
        <v>630</v>
      </c>
      <c r="AE827" s="236">
        <f>AA826</f>
        <v>40</v>
      </c>
      <c r="AF827" s="236"/>
      <c r="AG827" s="27" t="s">
        <v>632</v>
      </c>
      <c r="AH827" s="27"/>
      <c r="AI827" s="38">
        <f>AG836</f>
        <v>488.06591489889513</v>
      </c>
      <c r="AJ827" s="38"/>
      <c r="AK827" s="38"/>
      <c r="AL827" s="27"/>
      <c r="AM827" s="27"/>
      <c r="AN827" s="27"/>
    </row>
    <row r="828" spans="1:22" ht="19.5" customHeight="1">
      <c r="A828" s="4"/>
      <c r="B828" s="4"/>
      <c r="C828" s="4"/>
      <c r="D828" s="4"/>
      <c r="E828" s="4"/>
      <c r="F828" s="4"/>
      <c r="G828" s="4"/>
      <c r="H828" s="4"/>
      <c r="I828" s="4"/>
      <c r="J828" s="4"/>
      <c r="K828" s="4"/>
      <c r="L828" s="4"/>
      <c r="O828" s="4"/>
      <c r="R828" s="27" t="s">
        <v>625</v>
      </c>
      <c r="S828" s="237">
        <f>S827*W827*(AA827-AE827)/AI827</f>
        <v>-42.7922625452853</v>
      </c>
      <c r="T828" s="237"/>
      <c r="U828" s="237"/>
      <c r="V828" s="29" t="s">
        <v>297</v>
      </c>
    </row>
    <row r="829" spans="1:38" ht="19.5" customHeight="1">
      <c r="A829" s="4"/>
      <c r="B829" s="4"/>
      <c r="C829" s="4"/>
      <c r="D829" s="4"/>
      <c r="E829" s="4"/>
      <c r="F829" s="4"/>
      <c r="G829" s="4"/>
      <c r="H829" s="4"/>
      <c r="I829" s="4"/>
      <c r="J829" s="4"/>
      <c r="N829" s="4"/>
      <c r="O829" s="4"/>
      <c r="P829" s="4"/>
      <c r="Q829" s="4"/>
      <c r="R829" s="4"/>
      <c r="S829" s="4"/>
      <c r="U829" s="47"/>
      <c r="V829" s="47"/>
      <c r="Z829" s="79">
        <f>O255</f>
        <v>40</v>
      </c>
      <c r="AH829" s="27"/>
      <c r="AI829" s="80">
        <f>Z829</f>
        <v>40</v>
      </c>
      <c r="AJ829" s="27"/>
      <c r="AK829" s="27"/>
      <c r="AL829" s="27"/>
    </row>
    <row r="830" spans="1:38" ht="19.5" customHeight="1">
      <c r="A830" s="4"/>
      <c r="B830" s="4"/>
      <c r="C830" s="4"/>
      <c r="D830" s="4"/>
      <c r="E830" s="4"/>
      <c r="F830" s="4"/>
      <c r="G830" s="4"/>
      <c r="H830" s="4"/>
      <c r="I830" s="4"/>
      <c r="J830" s="4"/>
      <c r="N830" s="4"/>
      <c r="O830" s="4"/>
      <c r="P830" s="4"/>
      <c r="Q830" s="4"/>
      <c r="R830" s="4"/>
      <c r="S830" s="4"/>
      <c r="Y830" s="251"/>
      <c r="Z830" s="251">
        <f>AA830-O137</f>
        <v>380</v>
      </c>
      <c r="AA830" s="300">
        <f>AC255</f>
        <v>380</v>
      </c>
      <c r="AH830" s="27"/>
      <c r="AI830" s="324"/>
      <c r="AJ830" s="323" t="s">
        <v>629</v>
      </c>
      <c r="AK830" s="323">
        <f>AA830</f>
        <v>380</v>
      </c>
      <c r="AL830" s="27"/>
    </row>
    <row r="831" spans="1:38" ht="19.5" customHeight="1">
      <c r="A831" s="4"/>
      <c r="B831" s="4"/>
      <c r="C831" s="4"/>
      <c r="D831" s="4"/>
      <c r="E831" s="4"/>
      <c r="F831" s="4"/>
      <c r="G831" s="4"/>
      <c r="H831" s="4"/>
      <c r="I831" s="4"/>
      <c r="J831" s="4"/>
      <c r="K831" s="4"/>
      <c r="L831" s="4"/>
      <c r="N831" s="4"/>
      <c r="O831" s="4"/>
      <c r="P831" s="4"/>
      <c r="Q831" s="4"/>
      <c r="R831" s="4"/>
      <c r="S831" s="4"/>
      <c r="Y831" s="251"/>
      <c r="Z831" s="251"/>
      <c r="AA831" s="300"/>
      <c r="AH831" s="27"/>
      <c r="AI831" s="324"/>
      <c r="AJ831" s="323"/>
      <c r="AK831" s="323"/>
      <c r="AL831" s="27"/>
    </row>
    <row r="832" spans="2:41" ht="19.5" customHeight="1">
      <c r="B832" s="4"/>
      <c r="C832" s="4"/>
      <c r="D832" s="4"/>
      <c r="N832" s="4"/>
      <c r="O832" s="4"/>
      <c r="P832" s="4"/>
      <c r="Q832" s="4"/>
      <c r="R832" s="4"/>
      <c r="Y832" s="48"/>
      <c r="Z832" s="48"/>
      <c r="AH832" s="27"/>
      <c r="AI832" s="27"/>
      <c r="AJ832" s="27"/>
      <c r="AK832" s="81" t="s">
        <v>633</v>
      </c>
      <c r="AL832" s="27"/>
      <c r="AM832" s="27"/>
      <c r="AN832" s="27"/>
      <c r="AO832" s="27"/>
    </row>
    <row r="833" spans="2:43" ht="19.5" customHeight="1">
      <c r="B833" s="4"/>
      <c r="C833" s="4"/>
      <c r="D833" s="4"/>
      <c r="N833" s="4"/>
      <c r="O833" s="4"/>
      <c r="P833" s="4"/>
      <c r="Q833" s="4"/>
      <c r="R833" s="4"/>
      <c r="AH833" s="27"/>
      <c r="AI833" s="27"/>
      <c r="AJ833" s="27"/>
      <c r="AK833" s="27"/>
      <c r="AL833" s="27"/>
      <c r="AN833" s="27"/>
      <c r="AO833" s="27"/>
      <c r="AQ833" s="29"/>
    </row>
    <row r="834" spans="2:43" ht="19.5" customHeight="1">
      <c r="B834" s="4"/>
      <c r="C834" s="4"/>
      <c r="D834" s="4"/>
      <c r="K834" s="4" t="s">
        <v>629</v>
      </c>
      <c r="L834" s="4"/>
      <c r="N834" s="4" t="s">
        <v>1183</v>
      </c>
      <c r="O834" s="4"/>
      <c r="AC834" s="27" t="s">
        <v>634</v>
      </c>
      <c r="AH834" s="27"/>
      <c r="AI834" s="27"/>
      <c r="AJ834" s="27"/>
      <c r="AK834" s="27"/>
      <c r="AL834" s="27"/>
      <c r="AM834" s="27"/>
      <c r="AN834" s="27"/>
      <c r="AO834" s="27"/>
      <c r="AQ834" s="29"/>
    </row>
    <row r="835" spans="2:43" ht="19.5" customHeight="1">
      <c r="B835" s="4"/>
      <c r="C835" s="4"/>
      <c r="D835" s="4"/>
      <c r="K835" s="4"/>
      <c r="L835" s="4"/>
      <c r="M835" s="4"/>
      <c r="N835" s="4"/>
      <c r="O835" s="4" t="s">
        <v>635</v>
      </c>
      <c r="P835" s="85" t="s">
        <v>636</v>
      </c>
      <c r="AH835" s="27"/>
      <c r="AI835" s="27"/>
      <c r="AJ835" s="27"/>
      <c r="AK835" s="48"/>
      <c r="AL835" s="27"/>
      <c r="AM835" s="27"/>
      <c r="AN835" s="27"/>
      <c r="AO835" s="27"/>
      <c r="AQ835" s="29"/>
    </row>
    <row r="836" spans="2:44" ht="19.5" customHeight="1">
      <c r="B836" s="4"/>
      <c r="C836" s="4"/>
      <c r="D836" s="4"/>
      <c r="K836" s="4"/>
      <c r="L836" s="4"/>
      <c r="M836" s="4"/>
      <c r="N836" s="4"/>
      <c r="O836" s="4"/>
      <c r="P836" s="27" t="s">
        <v>637</v>
      </c>
      <c r="Q836" s="40">
        <f>-AK830</f>
        <v>-380</v>
      </c>
      <c r="R836" s="38"/>
      <c r="S836" s="38"/>
      <c r="T836" s="27" t="s">
        <v>638</v>
      </c>
      <c r="U836" s="38">
        <f>S732</f>
        <v>-7.2249279216943485</v>
      </c>
      <c r="V836" s="38"/>
      <c r="W836" s="39" t="s">
        <v>639</v>
      </c>
      <c r="X836" s="27" t="s">
        <v>640</v>
      </c>
      <c r="Y836" s="38">
        <f>S733</f>
        <v>-1.5997192635306479</v>
      </c>
      <c r="Z836" s="38"/>
      <c r="AA836" s="38"/>
      <c r="AB836" s="27" t="s">
        <v>641</v>
      </c>
      <c r="AC836" s="38">
        <f>U836</f>
        <v>-7.2249279216943485</v>
      </c>
      <c r="AD836" s="38"/>
      <c r="AE836" s="38" t="s">
        <v>642</v>
      </c>
      <c r="AF836" s="27" t="s">
        <v>637</v>
      </c>
      <c r="AG836" s="38">
        <f>Q836*U836/(Y836-AC836)</f>
        <v>488.06591489889513</v>
      </c>
      <c r="AH836" s="38"/>
      <c r="AI836" s="38"/>
      <c r="AJ836" s="27" t="s">
        <v>643</v>
      </c>
      <c r="AK836" s="27"/>
      <c r="AL836" s="27"/>
      <c r="AM836" s="27"/>
      <c r="AN836" s="27"/>
      <c r="AO836" s="27"/>
      <c r="AP836" s="27"/>
      <c r="AQ836" s="29"/>
      <c r="AR836" s="29"/>
    </row>
    <row r="837" spans="1:36" ht="19.5" customHeight="1">
      <c r="A837" s="4"/>
      <c r="B837" s="4"/>
      <c r="C837" s="4"/>
      <c r="D837" s="4"/>
      <c r="F837" s="4"/>
      <c r="G837" s="4"/>
      <c r="K837" s="4" t="s">
        <v>644</v>
      </c>
      <c r="L837" s="4"/>
      <c r="M837" s="4"/>
      <c r="N837" s="4" t="s">
        <v>645</v>
      </c>
      <c r="O837" s="4"/>
      <c r="Z837" s="29" t="s">
        <v>646</v>
      </c>
      <c r="AH837" s="27"/>
      <c r="AI837" s="27"/>
      <c r="AJ837" s="27"/>
    </row>
    <row r="838" spans="1:36" ht="19.5" customHeight="1">
      <c r="A838" s="4"/>
      <c r="B838" s="4"/>
      <c r="C838" s="4"/>
      <c r="D838" s="4"/>
      <c r="E838" s="4"/>
      <c r="F838" s="4"/>
      <c r="G838" s="4"/>
      <c r="K838" s="4" t="s">
        <v>647</v>
      </c>
      <c r="L838" s="4"/>
      <c r="M838" s="4"/>
      <c r="N838" s="4" t="s">
        <v>1184</v>
      </c>
      <c r="O838" s="4"/>
      <c r="Z838" s="29" t="s">
        <v>648</v>
      </c>
      <c r="AH838" s="27"/>
      <c r="AI838" s="27"/>
      <c r="AJ838" s="27"/>
    </row>
    <row r="839" spans="1:36" ht="19.5" customHeight="1">
      <c r="A839" s="4"/>
      <c r="B839" s="4"/>
      <c r="C839" s="4" t="s">
        <v>568</v>
      </c>
      <c r="D839" s="4"/>
      <c r="E839" s="4"/>
      <c r="F839" s="4"/>
      <c r="G839" s="4"/>
      <c r="K839" s="4" t="s">
        <v>649</v>
      </c>
      <c r="L839" s="4"/>
      <c r="M839" s="4"/>
      <c r="N839" s="4" t="s">
        <v>85</v>
      </c>
      <c r="O839" s="4"/>
      <c r="U839" s="27" t="s">
        <v>650</v>
      </c>
      <c r="AH839" s="27"/>
      <c r="AI839" s="27"/>
      <c r="AJ839" s="27"/>
    </row>
    <row r="840" spans="1:14" ht="19.5" customHeight="1">
      <c r="A840" s="4"/>
      <c r="B840" s="4"/>
      <c r="C840" s="4"/>
      <c r="D840" s="4"/>
      <c r="F840" s="4"/>
      <c r="G840" s="4"/>
      <c r="K840" s="27" t="s">
        <v>651</v>
      </c>
      <c r="N840" s="4" t="s">
        <v>652</v>
      </c>
    </row>
    <row r="841" spans="1:36" ht="19.5" customHeight="1">
      <c r="A841" s="4"/>
      <c r="B841" s="4"/>
      <c r="C841" s="4"/>
      <c r="D841" s="4"/>
      <c r="F841" s="4"/>
      <c r="G841" s="4"/>
      <c r="O841" s="27" t="s">
        <v>653</v>
      </c>
      <c r="T841" s="27" t="s">
        <v>1356</v>
      </c>
      <c r="U841" s="38">
        <f>Y822</f>
        <v>2</v>
      </c>
      <c r="V841" s="38"/>
      <c r="W841" s="27" t="s">
        <v>654</v>
      </c>
      <c r="X841" s="39" t="s">
        <v>655</v>
      </c>
      <c r="Y841" s="29"/>
      <c r="Z841" s="39" t="s">
        <v>1386</v>
      </c>
      <c r="AA841" s="327">
        <v>3.1</v>
      </c>
      <c r="AB841" s="327"/>
      <c r="AC841" s="327"/>
      <c r="AD841" s="27" t="s">
        <v>654</v>
      </c>
      <c r="AE841" s="39" t="s">
        <v>656</v>
      </c>
      <c r="AG841" s="27" t="s">
        <v>1356</v>
      </c>
      <c r="AH841" s="250">
        <f>U841*10/AA841</f>
        <v>6.451612903225806</v>
      </c>
      <c r="AI841" s="250"/>
      <c r="AJ841" s="250"/>
    </row>
    <row r="842" spans="1:7" ht="19.5" customHeight="1">
      <c r="A842" s="4"/>
      <c r="B842" s="4"/>
      <c r="C842" s="4"/>
      <c r="D842" s="4"/>
      <c r="F842" s="4"/>
      <c r="G842" s="4"/>
    </row>
    <row r="843" spans="1:7" ht="19.5" customHeight="1">
      <c r="A843" s="4"/>
      <c r="B843" s="4"/>
      <c r="C843" s="4"/>
      <c r="D843" s="4" t="s">
        <v>22</v>
      </c>
      <c r="F843" s="4"/>
      <c r="G843" s="4"/>
    </row>
    <row r="844" spans="1:29" ht="19.5" customHeight="1">
      <c r="A844" s="4"/>
      <c r="B844" s="4"/>
      <c r="C844" s="58"/>
      <c r="D844" s="183" t="s">
        <v>1021</v>
      </c>
      <c r="E844" s="183"/>
      <c r="F844" s="183"/>
      <c r="G844" s="183"/>
      <c r="H844" s="183"/>
      <c r="I844" s="183"/>
      <c r="J844" s="183"/>
      <c r="K844" s="183"/>
      <c r="L844" s="183"/>
      <c r="M844" s="183"/>
      <c r="N844" s="183"/>
      <c r="O844" s="183"/>
      <c r="P844" s="183"/>
      <c r="Q844" s="183"/>
      <c r="R844" s="204" t="s">
        <v>437</v>
      </c>
      <c r="S844" s="204"/>
      <c r="T844" s="204"/>
      <c r="U844" s="204"/>
      <c r="V844" s="204" t="s">
        <v>438</v>
      </c>
      <c r="W844" s="204"/>
      <c r="X844" s="204"/>
      <c r="Y844" s="204"/>
      <c r="Z844" s="204" t="s">
        <v>439</v>
      </c>
      <c r="AA844" s="204"/>
      <c r="AB844" s="204"/>
      <c r="AC844" s="204"/>
    </row>
    <row r="845" spans="1:29" ht="19.5" customHeight="1">
      <c r="A845" s="4"/>
      <c r="B845" s="4"/>
      <c r="C845" s="58"/>
      <c r="D845" s="184" t="s">
        <v>657</v>
      </c>
      <c r="E845" s="184"/>
      <c r="F845" s="184"/>
      <c r="G845" s="184"/>
      <c r="H845" s="184"/>
      <c r="I845" s="184"/>
      <c r="J845" s="184"/>
      <c r="K845" s="184"/>
      <c r="L845" s="184"/>
      <c r="M845" s="184"/>
      <c r="N845" s="204" t="s">
        <v>447</v>
      </c>
      <c r="O845" s="204"/>
      <c r="P845" s="204"/>
      <c r="Q845" s="204"/>
      <c r="R845" s="190">
        <f>S732</f>
        <v>-7.2249279216943485</v>
      </c>
      <c r="S845" s="190"/>
      <c r="T845" s="190"/>
      <c r="U845" s="190"/>
      <c r="V845" s="190">
        <f>W732</f>
        <v>-5.352689982160985</v>
      </c>
      <c r="W845" s="190"/>
      <c r="X845" s="190"/>
      <c r="Y845" s="190"/>
      <c r="Z845" s="190">
        <f>AA732</f>
        <v>-7.2249279216943485</v>
      </c>
      <c r="AA845" s="190"/>
      <c r="AB845" s="190"/>
      <c r="AC845" s="190"/>
    </row>
    <row r="846" spans="1:29" ht="19.5" customHeight="1">
      <c r="A846" s="4"/>
      <c r="B846" s="4"/>
      <c r="C846" s="58"/>
      <c r="D846" s="184" t="s">
        <v>658</v>
      </c>
      <c r="E846" s="184"/>
      <c r="F846" s="184"/>
      <c r="G846" s="184"/>
      <c r="H846" s="184"/>
      <c r="I846" s="184"/>
      <c r="J846" s="184"/>
      <c r="K846" s="184"/>
      <c r="L846" s="184"/>
      <c r="M846" s="184"/>
      <c r="N846" s="204" t="s">
        <v>447</v>
      </c>
      <c r="O846" s="204"/>
      <c r="P846" s="204"/>
      <c r="Q846" s="204"/>
      <c r="R846" s="190">
        <f>S733</f>
        <v>-1.5997192635306479</v>
      </c>
      <c r="S846" s="190"/>
      <c r="T846" s="190"/>
      <c r="U846" s="190"/>
      <c r="V846" s="190">
        <f>W733</f>
        <v>-5.765346310169246</v>
      </c>
      <c r="W846" s="190"/>
      <c r="X846" s="190"/>
      <c r="Y846" s="190"/>
      <c r="Z846" s="190">
        <f>AA733</f>
        <v>-1.5997192635306479</v>
      </c>
      <c r="AA846" s="190"/>
      <c r="AB846" s="190"/>
      <c r="AC846" s="190"/>
    </row>
    <row r="847" spans="1:29" ht="19.5" customHeight="1">
      <c r="A847" s="4"/>
      <c r="B847" s="4"/>
      <c r="C847" s="58"/>
      <c r="D847" s="184" t="s">
        <v>23</v>
      </c>
      <c r="E847" s="184"/>
      <c r="F847" s="184"/>
      <c r="G847" s="184"/>
      <c r="H847" s="184"/>
      <c r="I847" s="184"/>
      <c r="J847" s="184"/>
      <c r="K847" s="184"/>
      <c r="L847" s="184"/>
      <c r="M847" s="184"/>
      <c r="N847" s="204" t="s">
        <v>650</v>
      </c>
      <c r="O847" s="204"/>
      <c r="P847" s="204"/>
      <c r="Q847" s="204"/>
      <c r="R847" s="190">
        <f>$AC$255</f>
        <v>380</v>
      </c>
      <c r="S847" s="190"/>
      <c r="T847" s="190"/>
      <c r="U847" s="190"/>
      <c r="V847" s="190">
        <f>$AC$240</f>
        <v>300</v>
      </c>
      <c r="W847" s="190"/>
      <c r="X847" s="190"/>
      <c r="Y847" s="190"/>
      <c r="Z847" s="190">
        <f>$AC$255</f>
        <v>380</v>
      </c>
      <c r="AA847" s="190"/>
      <c r="AB847" s="190"/>
      <c r="AC847" s="190"/>
    </row>
    <row r="848" spans="1:29" ht="19.5" customHeight="1">
      <c r="A848" s="4"/>
      <c r="B848" s="4"/>
      <c r="C848" s="58"/>
      <c r="D848" s="184" t="s">
        <v>659</v>
      </c>
      <c r="E848" s="184"/>
      <c r="F848" s="184"/>
      <c r="G848" s="184"/>
      <c r="H848" s="184"/>
      <c r="I848" s="184"/>
      <c r="J848" s="184"/>
      <c r="K848" s="184"/>
      <c r="L848" s="184"/>
      <c r="M848" s="184"/>
      <c r="N848" s="204" t="s">
        <v>650</v>
      </c>
      <c r="O848" s="204"/>
      <c r="P848" s="204"/>
      <c r="Q848" s="204"/>
      <c r="R848" s="190">
        <f>-R847*R845/(R846-R845)</f>
        <v>488.06591489889513</v>
      </c>
      <c r="S848" s="190"/>
      <c r="T848" s="190"/>
      <c r="U848" s="190"/>
      <c r="V848" s="205">
        <f>-V847*V846/(V845-V846)</f>
        <v>4191.390694040563</v>
      </c>
      <c r="W848" s="206"/>
      <c r="X848" s="206"/>
      <c r="Y848" s="207"/>
      <c r="Z848" s="190">
        <f>-Z847*Z845/(Z846-Z845)</f>
        <v>488.06591489889513</v>
      </c>
      <c r="AA848" s="190"/>
      <c r="AB848" s="190"/>
      <c r="AC848" s="190"/>
    </row>
    <row r="849" spans="1:29" ht="19.5" customHeight="1">
      <c r="A849" s="4"/>
      <c r="B849" s="4"/>
      <c r="C849" s="58"/>
      <c r="D849" s="184" t="s">
        <v>24</v>
      </c>
      <c r="E849" s="184"/>
      <c r="F849" s="184"/>
      <c r="G849" s="184"/>
      <c r="H849" s="184"/>
      <c r="I849" s="184"/>
      <c r="J849" s="184"/>
      <c r="K849" s="184"/>
      <c r="L849" s="184"/>
      <c r="M849" s="184"/>
      <c r="N849" s="204" t="s">
        <v>660</v>
      </c>
      <c r="O849" s="204"/>
      <c r="P849" s="204"/>
      <c r="Q849" s="204"/>
      <c r="R849" s="190">
        <f>$AH$841*R845*(R848-$O$255)/R848</f>
        <v>-42.7922625452853</v>
      </c>
      <c r="S849" s="190"/>
      <c r="T849" s="190"/>
      <c r="U849" s="190"/>
      <c r="V849" s="190">
        <f>$AH$841*V846*(V848-$O$242)/V848</f>
        <v>-36.84080946086975</v>
      </c>
      <c r="W849" s="190"/>
      <c r="X849" s="190"/>
      <c r="Y849" s="190"/>
      <c r="Z849" s="190">
        <f>$AH$841*Z845*(Z848-$O$255)/Z848</f>
        <v>-42.7922625452853</v>
      </c>
      <c r="AA849" s="190"/>
      <c r="AB849" s="190"/>
      <c r="AC849" s="190"/>
    </row>
    <row r="850" spans="1:29" ht="19.5" customHeight="1">
      <c r="A850" s="4"/>
      <c r="B850" s="4"/>
      <c r="C850" s="58"/>
      <c r="D850" s="184" t="s">
        <v>25</v>
      </c>
      <c r="E850" s="184"/>
      <c r="F850" s="184"/>
      <c r="G850" s="184"/>
      <c r="H850" s="184"/>
      <c r="I850" s="184"/>
      <c r="J850" s="184"/>
      <c r="K850" s="184"/>
      <c r="L850" s="184"/>
      <c r="M850" s="184"/>
      <c r="N850" s="204" t="s">
        <v>661</v>
      </c>
      <c r="O850" s="204"/>
      <c r="P850" s="204"/>
      <c r="Q850" s="204"/>
      <c r="R850" s="189">
        <f>1.1*(15/($Z$811+20)+0.7)*(4*($O$255-$G$254/2)+0.7*($K$254-$G$254))*(R849/($U$509*10^5)+$R$824*10^(-6))</f>
        <v>-0.013113923986986499</v>
      </c>
      <c r="S850" s="189"/>
      <c r="T850" s="189"/>
      <c r="U850" s="189"/>
      <c r="V850" s="189">
        <f>1.1*(15/($Z$811+20)+0.7)*(4*($O$242-$Y$244/2)+0.7*($AC$244-$Y$244))*(V849/($U$509*10^5)+$R$824*10^(-6))</f>
        <v>-0.007012821614763319</v>
      </c>
      <c r="W850" s="189"/>
      <c r="X850" s="189"/>
      <c r="Y850" s="189"/>
      <c r="Z850" s="189">
        <f>1.1*(15/($Z$811+20)+0.7)*(4*($O$255-$G$254/2)+0.7*($K$254-$G$254))*(Z849/($U$509*10^5)+$R$824*10^(-6))</f>
        <v>-0.013113923986986499</v>
      </c>
      <c r="AA850" s="189"/>
      <c r="AB850" s="189"/>
      <c r="AC850" s="189"/>
    </row>
    <row r="851" spans="1:29" ht="19.5" customHeight="1">
      <c r="A851" s="4"/>
      <c r="B851" s="4"/>
      <c r="C851" s="58"/>
      <c r="D851" s="184" t="s">
        <v>26</v>
      </c>
      <c r="E851" s="184"/>
      <c r="F851" s="184"/>
      <c r="G851" s="184"/>
      <c r="H851" s="184"/>
      <c r="I851" s="184"/>
      <c r="J851" s="184"/>
      <c r="K851" s="184"/>
      <c r="L851" s="184"/>
      <c r="M851" s="184"/>
      <c r="N851" s="204" t="s">
        <v>662</v>
      </c>
      <c r="O851" s="204"/>
      <c r="P851" s="204"/>
      <c r="Q851" s="204"/>
      <c r="R851" s="189">
        <f>$N$800*($O$255-$G$254/2)</f>
        <v>0.10675</v>
      </c>
      <c r="S851" s="189"/>
      <c r="T851" s="189"/>
      <c r="U851" s="189"/>
      <c r="V851" s="189">
        <f>$N$801*($O$242-$Y$244/2)</f>
        <v>0.1525</v>
      </c>
      <c r="W851" s="189"/>
      <c r="X851" s="189"/>
      <c r="Y851" s="189"/>
      <c r="Z851" s="189">
        <f>$N$800*($O$255-$G$254/2)</f>
        <v>0.10675</v>
      </c>
      <c r="AA851" s="189"/>
      <c r="AB851" s="189"/>
      <c r="AC851" s="189"/>
    </row>
    <row r="852" spans="1:29" ht="19.5" customHeight="1">
      <c r="A852" s="4"/>
      <c r="B852" s="4"/>
      <c r="C852" s="58"/>
      <c r="D852" s="183" t="s">
        <v>1002</v>
      </c>
      <c r="E852" s="183"/>
      <c r="F852" s="183"/>
      <c r="G852" s="183"/>
      <c r="H852" s="183"/>
      <c r="I852" s="183"/>
      <c r="J852" s="183"/>
      <c r="K852" s="183"/>
      <c r="L852" s="183"/>
      <c r="M852" s="183"/>
      <c r="N852" s="183"/>
      <c r="O852" s="183"/>
      <c r="P852" s="183"/>
      <c r="Q852" s="183"/>
      <c r="R852" s="190" t="str">
        <f>IF(R850&lt;=R851,"O.K.","N.G.")</f>
        <v>O.K.</v>
      </c>
      <c r="S852" s="190"/>
      <c r="T852" s="190"/>
      <c r="U852" s="190"/>
      <c r="V852" s="190" t="str">
        <f>IF(V850&lt;=V851,"O.K.","N.G.")</f>
        <v>O.K.</v>
      </c>
      <c r="W852" s="190"/>
      <c r="X852" s="190"/>
      <c r="Y852" s="190"/>
      <c r="Z852" s="190" t="str">
        <f>IF(Z850&lt;=Z851,"O.K.","N.G.")</f>
        <v>O.K.</v>
      </c>
      <c r="AA852" s="190"/>
      <c r="AB852" s="190"/>
      <c r="AC852" s="190"/>
    </row>
    <row r="853" spans="1:20" ht="19.5" customHeight="1">
      <c r="A853" s="4"/>
      <c r="B853" s="4"/>
      <c r="C853" s="4"/>
      <c r="D853" s="4"/>
      <c r="E853" s="4"/>
      <c r="F853" s="4"/>
      <c r="G853" s="4"/>
      <c r="H853" s="4"/>
      <c r="I853" s="4"/>
      <c r="J853" s="4"/>
      <c r="K853" s="4"/>
      <c r="L853" s="4"/>
      <c r="O853" s="4"/>
      <c r="R853" s="35"/>
      <c r="S853" s="35"/>
      <c r="T853" s="39"/>
    </row>
    <row r="854" spans="1:29" ht="19.5" customHeight="1">
      <c r="A854" s="4"/>
      <c r="B854" s="4"/>
      <c r="C854" s="58"/>
      <c r="D854" s="183" t="s">
        <v>917</v>
      </c>
      <c r="E854" s="183"/>
      <c r="F854" s="183"/>
      <c r="G854" s="183"/>
      <c r="H854" s="183"/>
      <c r="I854" s="183"/>
      <c r="J854" s="183"/>
      <c r="K854" s="183"/>
      <c r="L854" s="183"/>
      <c r="M854" s="183"/>
      <c r="N854" s="183"/>
      <c r="O854" s="183"/>
      <c r="P854" s="183"/>
      <c r="Q854" s="183"/>
      <c r="R854" s="204" t="s">
        <v>663</v>
      </c>
      <c r="S854" s="204"/>
      <c r="T854" s="204"/>
      <c r="U854" s="204"/>
      <c r="V854" s="204" t="s">
        <v>664</v>
      </c>
      <c r="W854" s="204"/>
      <c r="X854" s="204"/>
      <c r="Y854" s="204"/>
      <c r="Z854" s="204" t="s">
        <v>665</v>
      </c>
      <c r="AA854" s="204"/>
      <c r="AB854" s="204"/>
      <c r="AC854" s="204"/>
    </row>
    <row r="855" spans="1:29" ht="19.5" customHeight="1">
      <c r="A855" s="4"/>
      <c r="B855" s="4"/>
      <c r="C855" s="58"/>
      <c r="D855" s="184" t="s">
        <v>666</v>
      </c>
      <c r="E855" s="184"/>
      <c r="F855" s="184"/>
      <c r="G855" s="184"/>
      <c r="H855" s="184"/>
      <c r="I855" s="184"/>
      <c r="J855" s="184"/>
      <c r="K855" s="184"/>
      <c r="L855" s="184"/>
      <c r="M855" s="184"/>
      <c r="N855" s="204" t="s">
        <v>667</v>
      </c>
      <c r="O855" s="204"/>
      <c r="P855" s="204"/>
      <c r="Q855" s="204"/>
      <c r="R855" s="190">
        <f>S784</f>
        <v>-7.2249279216943485</v>
      </c>
      <c r="S855" s="190"/>
      <c r="T855" s="190"/>
      <c r="U855" s="190"/>
      <c r="V855" s="190">
        <f>W784</f>
        <v>-4.113889982160986</v>
      </c>
      <c r="W855" s="190"/>
      <c r="X855" s="190"/>
      <c r="Y855" s="190"/>
      <c r="Z855" s="190">
        <f>AA784</f>
        <v>-7.2249279216943485</v>
      </c>
      <c r="AA855" s="190"/>
      <c r="AB855" s="190"/>
      <c r="AC855" s="190"/>
    </row>
    <row r="856" spans="1:29" ht="19.5" customHeight="1">
      <c r="A856" s="4"/>
      <c r="B856" s="4"/>
      <c r="C856" s="58"/>
      <c r="D856" s="184" t="s">
        <v>668</v>
      </c>
      <c r="E856" s="184"/>
      <c r="F856" s="184"/>
      <c r="G856" s="184"/>
      <c r="H856" s="184"/>
      <c r="I856" s="184"/>
      <c r="J856" s="184"/>
      <c r="K856" s="184"/>
      <c r="L856" s="184"/>
      <c r="M856" s="184"/>
      <c r="N856" s="204" t="s">
        <v>667</v>
      </c>
      <c r="O856" s="204"/>
      <c r="P856" s="204"/>
      <c r="Q856" s="204"/>
      <c r="R856" s="190">
        <f>S785</f>
        <v>-1.5997192635306479</v>
      </c>
      <c r="S856" s="190"/>
      <c r="T856" s="190"/>
      <c r="U856" s="190"/>
      <c r="V856" s="190">
        <f>W785</f>
        <v>-6.902016562350051</v>
      </c>
      <c r="W856" s="190"/>
      <c r="X856" s="190"/>
      <c r="Y856" s="190"/>
      <c r="Z856" s="190">
        <f>AA785</f>
        <v>-1.5997192635306479</v>
      </c>
      <c r="AA856" s="190"/>
      <c r="AB856" s="190"/>
      <c r="AC856" s="190"/>
    </row>
    <row r="857" spans="1:29" ht="19.5" customHeight="1">
      <c r="A857" s="4"/>
      <c r="B857" s="4"/>
      <c r="C857" s="58"/>
      <c r="D857" s="184" t="s">
        <v>23</v>
      </c>
      <c r="E857" s="184"/>
      <c r="F857" s="184"/>
      <c r="G857" s="184"/>
      <c r="H857" s="184"/>
      <c r="I857" s="184"/>
      <c r="J857" s="184"/>
      <c r="K857" s="184"/>
      <c r="L857" s="184"/>
      <c r="M857" s="184"/>
      <c r="N857" s="204" t="s">
        <v>650</v>
      </c>
      <c r="O857" s="204"/>
      <c r="P857" s="204"/>
      <c r="Q857" s="204"/>
      <c r="R857" s="190">
        <f>$AC$255</f>
        <v>380</v>
      </c>
      <c r="S857" s="190"/>
      <c r="T857" s="190"/>
      <c r="U857" s="190"/>
      <c r="V857" s="190">
        <f>$AC$240</f>
        <v>300</v>
      </c>
      <c r="W857" s="190"/>
      <c r="X857" s="190"/>
      <c r="Y857" s="190"/>
      <c r="Z857" s="190">
        <f>$AC$255</f>
        <v>380</v>
      </c>
      <c r="AA857" s="190"/>
      <c r="AB857" s="190"/>
      <c r="AC857" s="190"/>
    </row>
    <row r="858" spans="1:29" ht="19.5" customHeight="1">
      <c r="A858" s="4"/>
      <c r="B858" s="4"/>
      <c r="C858" s="58"/>
      <c r="D858" s="184" t="s">
        <v>659</v>
      </c>
      <c r="E858" s="184"/>
      <c r="F858" s="184"/>
      <c r="G858" s="184"/>
      <c r="H858" s="184"/>
      <c r="I858" s="184"/>
      <c r="J858" s="184"/>
      <c r="K858" s="184"/>
      <c r="L858" s="184"/>
      <c r="M858" s="184"/>
      <c r="N858" s="204" t="s">
        <v>650</v>
      </c>
      <c r="O858" s="204"/>
      <c r="P858" s="204"/>
      <c r="Q858" s="204"/>
      <c r="R858" s="190">
        <f>-R857*R855/(R856-R855)</f>
        <v>488.06591489889513</v>
      </c>
      <c r="S858" s="190"/>
      <c r="T858" s="190"/>
      <c r="U858" s="190"/>
      <c r="V858" s="205">
        <f>-V857*V856/(V855-V856)</f>
        <v>742.6509913207047</v>
      </c>
      <c r="W858" s="206"/>
      <c r="X858" s="206"/>
      <c r="Y858" s="207"/>
      <c r="Z858" s="190">
        <f>-Z857*Z855/(Z856-Z855)</f>
        <v>488.06591489889513</v>
      </c>
      <c r="AA858" s="190"/>
      <c r="AB858" s="190"/>
      <c r="AC858" s="190"/>
    </row>
    <row r="859" spans="1:29" ht="19.5" customHeight="1">
      <c r="A859" s="4"/>
      <c r="B859" s="4"/>
      <c r="C859" s="58"/>
      <c r="D859" s="184" t="s">
        <v>24</v>
      </c>
      <c r="E859" s="184"/>
      <c r="F859" s="184"/>
      <c r="G859" s="184"/>
      <c r="H859" s="184"/>
      <c r="I859" s="184"/>
      <c r="J859" s="184"/>
      <c r="K859" s="184"/>
      <c r="L859" s="184"/>
      <c r="M859" s="184"/>
      <c r="N859" s="204" t="s">
        <v>660</v>
      </c>
      <c r="O859" s="204"/>
      <c r="P859" s="204"/>
      <c r="Q859" s="204"/>
      <c r="R859" s="190">
        <f>$AH$841*R855*(R858-$O$255)/R858</f>
        <v>-42.7922625452853</v>
      </c>
      <c r="S859" s="190"/>
      <c r="T859" s="190"/>
      <c r="U859" s="190"/>
      <c r="V859" s="190">
        <f>$AH$841*V856*(V858-$O$242)/V858</f>
        <v>-42.13075065585919</v>
      </c>
      <c r="W859" s="190"/>
      <c r="X859" s="190"/>
      <c r="Y859" s="190"/>
      <c r="Z859" s="190">
        <f>$AH$841*Z855*(Z858-$O$255)/Z858</f>
        <v>-42.7922625452853</v>
      </c>
      <c r="AA859" s="190"/>
      <c r="AB859" s="190"/>
      <c r="AC859" s="190"/>
    </row>
    <row r="860" spans="1:29" ht="19.5" customHeight="1">
      <c r="A860" s="4"/>
      <c r="B860" s="4"/>
      <c r="C860" s="58"/>
      <c r="D860" s="184" t="s">
        <v>25</v>
      </c>
      <c r="E860" s="184"/>
      <c r="F860" s="184"/>
      <c r="G860" s="184"/>
      <c r="H860" s="184"/>
      <c r="I860" s="184"/>
      <c r="J860" s="184"/>
      <c r="K860" s="184"/>
      <c r="L860" s="184"/>
      <c r="M860" s="184"/>
      <c r="N860" s="204" t="s">
        <v>661</v>
      </c>
      <c r="O860" s="204"/>
      <c r="P860" s="204"/>
      <c r="Q860" s="204"/>
      <c r="R860" s="189">
        <f>1.1*(15/($Z$811+20)+0.7)*(4*($O$255-$G$254/2)+0.7*($K$254-$G$254))*(R859/($U$509*10^5)+$R$824*10^(-6))</f>
        <v>-0.013113923986986499</v>
      </c>
      <c r="S860" s="189"/>
      <c r="T860" s="189"/>
      <c r="U860" s="189"/>
      <c r="V860" s="189">
        <f>1.1*(15/($Z$811+20)+0.7)*(4*($O$242-$Y$244/2)+0.7*($AC$244-$Y$244))*(V859/($U$509*10^5)+$R$824*10^(-6))</f>
        <v>-0.012435778381100769</v>
      </c>
      <c r="W860" s="189"/>
      <c r="X860" s="189"/>
      <c r="Y860" s="189"/>
      <c r="Z860" s="189">
        <f>1.1*(15/($Z$811+20)+0.7)*(4*($O$255-$G$254/2)+0.7*($K$254-$G$254))*(Z859/($U$509*10^5)+$R$824*10^(-6))</f>
        <v>-0.013113923986986499</v>
      </c>
      <c r="AA860" s="189"/>
      <c r="AB860" s="189"/>
      <c r="AC860" s="189"/>
    </row>
    <row r="861" spans="1:29" ht="19.5" customHeight="1">
      <c r="A861" s="4"/>
      <c r="B861" s="4"/>
      <c r="C861" s="58"/>
      <c r="D861" s="184" t="s">
        <v>26</v>
      </c>
      <c r="E861" s="184"/>
      <c r="F861" s="184"/>
      <c r="G861" s="184"/>
      <c r="H861" s="184"/>
      <c r="I861" s="184"/>
      <c r="J861" s="184"/>
      <c r="K861" s="184"/>
      <c r="L861" s="184"/>
      <c r="M861" s="184"/>
      <c r="N861" s="204" t="s">
        <v>662</v>
      </c>
      <c r="O861" s="204"/>
      <c r="P861" s="204"/>
      <c r="Q861" s="204"/>
      <c r="R861" s="189">
        <f>$N$800*($O$255-$G$254/2)</f>
        <v>0.10675</v>
      </c>
      <c r="S861" s="189"/>
      <c r="T861" s="189"/>
      <c r="U861" s="189"/>
      <c r="V861" s="189">
        <f>$N$801*($O$242-$Y$244/2)</f>
        <v>0.1525</v>
      </c>
      <c r="W861" s="189"/>
      <c r="X861" s="189"/>
      <c r="Y861" s="189"/>
      <c r="Z861" s="189">
        <f>$N$800*($O$255-$G$254/2)</f>
        <v>0.10675</v>
      </c>
      <c r="AA861" s="189"/>
      <c r="AB861" s="189"/>
      <c r="AC861" s="189"/>
    </row>
    <row r="862" spans="1:29" ht="19.5" customHeight="1">
      <c r="A862" s="4"/>
      <c r="B862" s="4"/>
      <c r="C862" s="58"/>
      <c r="D862" s="183" t="s">
        <v>1002</v>
      </c>
      <c r="E862" s="183"/>
      <c r="F862" s="183"/>
      <c r="G862" s="183"/>
      <c r="H862" s="183"/>
      <c r="I862" s="183"/>
      <c r="J862" s="183"/>
      <c r="K862" s="183"/>
      <c r="L862" s="183"/>
      <c r="M862" s="183"/>
      <c r="N862" s="183"/>
      <c r="O862" s="183"/>
      <c r="P862" s="183"/>
      <c r="Q862" s="183"/>
      <c r="R862" s="190" t="str">
        <f>IF(R860&lt;=R861,"O.K.","N.G.")</f>
        <v>O.K.</v>
      </c>
      <c r="S862" s="190"/>
      <c r="T862" s="190"/>
      <c r="U862" s="190"/>
      <c r="V862" s="190" t="str">
        <f>IF(V860&lt;=V861,"O.K.","N.G.")</f>
        <v>O.K.</v>
      </c>
      <c r="W862" s="190"/>
      <c r="X862" s="190"/>
      <c r="Y862" s="190"/>
      <c r="Z862" s="190" t="str">
        <f>IF(Z860&lt;=Z861,"O.K.","N.G.")</f>
        <v>O.K.</v>
      </c>
      <c r="AA862" s="190"/>
      <c r="AB862" s="190"/>
      <c r="AC862" s="190"/>
    </row>
    <row r="863" spans="2:12" ht="19.5" customHeight="1">
      <c r="B863" s="4" t="s">
        <v>27</v>
      </c>
      <c r="C863" s="4"/>
      <c r="D863" s="4"/>
      <c r="E863" s="4"/>
      <c r="F863" s="4"/>
      <c r="G863" s="4"/>
      <c r="H863" s="4"/>
      <c r="I863" s="4"/>
      <c r="J863" s="4"/>
      <c r="K863" s="4"/>
      <c r="L863" s="4"/>
    </row>
    <row r="864" spans="3:43" ht="19.5" customHeight="1">
      <c r="C864" s="4" t="s">
        <v>28</v>
      </c>
      <c r="E864" s="4"/>
      <c r="F864" s="4"/>
      <c r="G864" s="4"/>
      <c r="H864" s="4"/>
      <c r="I864" s="4"/>
      <c r="J864" s="4"/>
      <c r="K864" s="4"/>
      <c r="L864" s="4"/>
      <c r="M864" s="4"/>
      <c r="AH864" s="27"/>
      <c r="AQ864" s="29"/>
    </row>
    <row r="865" spans="3:43" ht="19.5" customHeight="1">
      <c r="C865" s="4" t="s">
        <v>29</v>
      </c>
      <c r="E865" s="4"/>
      <c r="F865" s="4"/>
      <c r="G865" s="4"/>
      <c r="H865" s="4"/>
      <c r="I865" s="4"/>
      <c r="J865" s="4"/>
      <c r="K865" s="4"/>
      <c r="L865" s="4"/>
      <c r="M865" s="4"/>
      <c r="AH865" s="27"/>
      <c r="AQ865" s="29"/>
    </row>
    <row r="866" spans="3:43" ht="19.5" customHeight="1">
      <c r="C866" s="27" t="s">
        <v>30</v>
      </c>
      <c r="D866" s="4"/>
      <c r="F866" s="4"/>
      <c r="G866" s="4"/>
      <c r="H866" s="4"/>
      <c r="I866" s="4"/>
      <c r="J866" s="4"/>
      <c r="K866" s="4"/>
      <c r="L866" s="4"/>
      <c r="M866" s="4"/>
      <c r="AH866" s="27"/>
      <c r="AQ866" s="29"/>
    </row>
    <row r="867" spans="3:43" ht="19.5" customHeight="1">
      <c r="C867" s="4" t="s">
        <v>31</v>
      </c>
      <c r="D867" s="4"/>
      <c r="E867" s="4"/>
      <c r="F867" s="4"/>
      <c r="G867" s="4"/>
      <c r="H867" s="4"/>
      <c r="I867" s="4"/>
      <c r="J867" s="4"/>
      <c r="K867" s="4"/>
      <c r="L867" s="4"/>
      <c r="M867" s="4"/>
      <c r="AH867" s="27"/>
      <c r="AQ867" s="29"/>
    </row>
    <row r="868" spans="3:44" ht="19.5" customHeight="1">
      <c r="C868" s="4"/>
      <c r="D868" s="4"/>
      <c r="E868" s="4" t="s">
        <v>669</v>
      </c>
      <c r="F868" s="4"/>
      <c r="G868" s="4"/>
      <c r="H868" s="237">
        <f>R886</f>
        <v>4.881502305470958</v>
      </c>
      <c r="I868" s="237"/>
      <c r="J868" s="237"/>
      <c r="K868" s="29" t="s">
        <v>670</v>
      </c>
      <c r="M868" s="4"/>
      <c r="N868" s="4" t="s">
        <v>919</v>
      </c>
      <c r="AH868" s="27"/>
      <c r="AQ868" s="29"/>
      <c r="AR868" s="36"/>
    </row>
    <row r="869" spans="3:43" ht="19.5" customHeight="1">
      <c r="C869" s="4"/>
      <c r="D869" s="4"/>
      <c r="E869" s="4" t="s">
        <v>32</v>
      </c>
      <c r="F869" s="4"/>
      <c r="G869" s="4"/>
      <c r="H869" s="4"/>
      <c r="I869" s="4"/>
      <c r="J869" s="4"/>
      <c r="K869" s="4"/>
      <c r="L869" s="4"/>
      <c r="M869" s="4"/>
      <c r="AH869" s="27"/>
      <c r="AQ869" s="29"/>
    </row>
    <row r="870" spans="3:43" ht="19.5" customHeight="1">
      <c r="C870" s="4"/>
      <c r="D870" s="4"/>
      <c r="E870" s="4" t="s">
        <v>671</v>
      </c>
      <c r="F870" s="4"/>
      <c r="G870" s="4"/>
      <c r="H870" s="4" t="s">
        <v>672</v>
      </c>
      <c r="I870" s="4"/>
      <c r="J870" s="4"/>
      <c r="K870" s="4" t="s">
        <v>1350</v>
      </c>
      <c r="L870" s="250">
        <f>AH841</f>
        <v>6.451612903225806</v>
      </c>
      <c r="M870" s="250"/>
      <c r="N870" s="250"/>
      <c r="O870" s="27" t="s">
        <v>1349</v>
      </c>
      <c r="P870" s="237">
        <f>H868</f>
        <v>4.881502305470958</v>
      </c>
      <c r="Q870" s="237"/>
      <c r="R870" s="237"/>
      <c r="S870" s="27" t="s">
        <v>1350</v>
      </c>
      <c r="T870" s="237">
        <f>L870*P870</f>
        <v>31.493563261102953</v>
      </c>
      <c r="U870" s="237"/>
      <c r="V870" s="237"/>
      <c r="W870" s="29" t="s">
        <v>673</v>
      </c>
      <c r="AH870" s="27"/>
      <c r="AQ870" s="29"/>
    </row>
    <row r="871" spans="3:43" ht="19.5" customHeight="1">
      <c r="C871" s="4"/>
      <c r="D871" s="4"/>
      <c r="E871" s="4"/>
      <c r="F871" s="4"/>
      <c r="H871" s="4"/>
      <c r="I871" s="4"/>
      <c r="J871" s="4"/>
      <c r="K871" s="4"/>
      <c r="L871" s="4"/>
      <c r="M871" s="4"/>
      <c r="AH871" s="27"/>
      <c r="AQ871" s="29"/>
    </row>
    <row r="872" spans="3:43" ht="19.5" customHeight="1">
      <c r="C872" s="4"/>
      <c r="D872" s="4"/>
      <c r="E872" s="4" t="s">
        <v>33</v>
      </c>
      <c r="F872" s="4"/>
      <c r="G872" s="4"/>
      <c r="H872" s="4"/>
      <c r="I872" s="4"/>
      <c r="J872" s="4"/>
      <c r="K872" s="4"/>
      <c r="L872" s="4"/>
      <c r="M872" s="4"/>
      <c r="AH872" s="27"/>
      <c r="AQ872" s="29"/>
    </row>
    <row r="873" spans="3:43" ht="19.5" customHeight="1">
      <c r="C873" s="4"/>
      <c r="D873" s="4"/>
      <c r="E873" s="4" t="s">
        <v>674</v>
      </c>
      <c r="F873" s="4"/>
      <c r="G873" s="33" t="s">
        <v>494</v>
      </c>
      <c r="H873" s="4" t="s">
        <v>675</v>
      </c>
      <c r="I873" s="4"/>
      <c r="J873" s="4"/>
      <c r="K873" s="4"/>
      <c r="L873" s="4"/>
      <c r="M873" s="4"/>
      <c r="AH873" s="27"/>
      <c r="AQ873" s="29"/>
    </row>
    <row r="874" spans="3:43" ht="19.5" customHeight="1">
      <c r="C874" s="4"/>
      <c r="D874" s="4"/>
      <c r="E874" s="4"/>
      <c r="F874" s="4"/>
      <c r="G874" s="33" t="s">
        <v>494</v>
      </c>
      <c r="H874" s="237">
        <f>J606</f>
        <v>964.3523146046765</v>
      </c>
      <c r="I874" s="237"/>
      <c r="J874" s="237"/>
      <c r="K874" s="4" t="s">
        <v>676</v>
      </c>
      <c r="L874" s="237">
        <f>T870</f>
        <v>31.493563261102953</v>
      </c>
      <c r="M874" s="237"/>
      <c r="N874" s="237"/>
      <c r="O874" s="35" t="s">
        <v>494</v>
      </c>
      <c r="P874" s="237">
        <f>H874+L874</f>
        <v>995.8458778657795</v>
      </c>
      <c r="Q874" s="237"/>
      <c r="R874" s="237"/>
      <c r="S874" s="29" t="s">
        <v>496</v>
      </c>
      <c r="T874" s="4"/>
      <c r="V874" s="27" t="str">
        <f>IF(P874&lt;=AA874,"＜","＞")</f>
        <v>＜</v>
      </c>
      <c r="X874" s="235" t="s">
        <v>497</v>
      </c>
      <c r="Y874" s="235"/>
      <c r="Z874" s="235"/>
      <c r="AA874" s="237">
        <f>U606</f>
        <v>1098.8</v>
      </c>
      <c r="AB874" s="237"/>
      <c r="AC874" s="237"/>
      <c r="AD874" s="29" t="s">
        <v>496</v>
      </c>
      <c r="AH874" s="27" t="str">
        <f>IF(P874&lt;=AA874,"O.K","N.G")</f>
        <v>O.K</v>
      </c>
      <c r="AI874" s="27"/>
      <c r="AQ874" s="29"/>
    </row>
    <row r="875" spans="3:43" ht="19.5" customHeight="1">
      <c r="C875" s="4"/>
      <c r="D875" s="4"/>
      <c r="E875" s="4"/>
      <c r="F875" s="4"/>
      <c r="G875" s="4"/>
      <c r="H875" s="4"/>
      <c r="I875" s="4"/>
      <c r="J875" s="4"/>
      <c r="K875" s="4"/>
      <c r="L875" s="4"/>
      <c r="M875" s="4"/>
      <c r="AH875" s="27"/>
      <c r="AQ875" s="29"/>
    </row>
    <row r="876" spans="1:22" ht="19.5" customHeight="1">
      <c r="A876" s="4"/>
      <c r="B876" s="4"/>
      <c r="C876" s="4"/>
      <c r="D876" s="4"/>
      <c r="E876" s="58" t="s">
        <v>34</v>
      </c>
      <c r="F876" s="4"/>
      <c r="G876" s="4"/>
      <c r="H876" s="4"/>
      <c r="I876" s="4"/>
      <c r="J876" s="4"/>
      <c r="K876" s="4"/>
      <c r="L876" s="4"/>
      <c r="V876" s="29" t="s">
        <v>447</v>
      </c>
    </row>
    <row r="877" spans="1:25" ht="19.5" customHeight="1">
      <c r="A877" s="4"/>
      <c r="B877" s="4"/>
      <c r="C877" s="4"/>
      <c r="D877" s="4"/>
      <c r="E877" s="204" t="s">
        <v>1021</v>
      </c>
      <c r="F877" s="204"/>
      <c r="G877" s="204"/>
      <c r="H877" s="204"/>
      <c r="I877" s="204"/>
      <c r="J877" s="204"/>
      <c r="K877" s="204"/>
      <c r="L877" s="204"/>
      <c r="M877" s="204"/>
      <c r="N877" s="204" t="s">
        <v>437</v>
      </c>
      <c r="O877" s="204"/>
      <c r="P877" s="204"/>
      <c r="Q877" s="204"/>
      <c r="R877" s="204" t="s">
        <v>438</v>
      </c>
      <c r="S877" s="204"/>
      <c r="T877" s="204"/>
      <c r="U877" s="204"/>
      <c r="V877" s="204" t="s">
        <v>439</v>
      </c>
      <c r="W877" s="204"/>
      <c r="X877" s="204"/>
      <c r="Y877" s="204"/>
    </row>
    <row r="878" spans="1:25" ht="19.5" customHeight="1">
      <c r="A878" s="4"/>
      <c r="B878" s="4"/>
      <c r="C878" s="4"/>
      <c r="D878" s="4"/>
      <c r="E878" s="267" t="s">
        <v>677</v>
      </c>
      <c r="F878" s="297" t="s">
        <v>678</v>
      </c>
      <c r="G878" s="270" t="s">
        <v>920</v>
      </c>
      <c r="H878" s="270"/>
      <c r="I878" s="270"/>
      <c r="J878" s="270"/>
      <c r="K878" s="270"/>
      <c r="L878" s="270"/>
      <c r="M878" s="270"/>
      <c r="N878" s="190">
        <f>T207*1000/$AH$266</f>
        <v>0.07073771686834815</v>
      </c>
      <c r="O878" s="190"/>
      <c r="P878" s="190"/>
      <c r="Q878" s="190"/>
      <c r="R878" s="190">
        <f>X207*1000/$AH$251</f>
        <v>0.05357777777777778</v>
      </c>
      <c r="S878" s="190"/>
      <c r="T878" s="190"/>
      <c r="U878" s="190"/>
      <c r="V878" s="190">
        <f>AB207*1000/$AH$266</f>
        <v>0.07073771686834815</v>
      </c>
      <c r="W878" s="190"/>
      <c r="X878" s="190"/>
      <c r="Y878" s="190"/>
    </row>
    <row r="879" spans="1:25" ht="19.5" customHeight="1">
      <c r="A879" s="4"/>
      <c r="B879" s="4"/>
      <c r="C879" s="4"/>
      <c r="D879" s="4"/>
      <c r="E879" s="268"/>
      <c r="F879" s="298"/>
      <c r="G879" s="270" t="s">
        <v>35</v>
      </c>
      <c r="H879" s="270"/>
      <c r="I879" s="270"/>
      <c r="J879" s="270"/>
      <c r="K879" s="270"/>
      <c r="L879" s="270"/>
      <c r="M879" s="270"/>
      <c r="N879" s="190">
        <f>T208*1000/$AH$266</f>
        <v>0.26486295378335034</v>
      </c>
      <c r="O879" s="190"/>
      <c r="P879" s="190"/>
      <c r="Q879" s="190"/>
      <c r="R879" s="190">
        <f>X208*1000/$AH$251</f>
        <v>0</v>
      </c>
      <c r="S879" s="190"/>
      <c r="T879" s="190"/>
      <c r="U879" s="190"/>
      <c r="V879" s="190">
        <f>AB208*1000/$AH$266</f>
        <v>0.26486295378335034</v>
      </c>
      <c r="W879" s="190"/>
      <c r="X879" s="190"/>
      <c r="Y879" s="190"/>
    </row>
    <row r="880" spans="1:25" ht="19.5" customHeight="1">
      <c r="A880" s="4"/>
      <c r="B880" s="4"/>
      <c r="C880" s="4"/>
      <c r="D880" s="4"/>
      <c r="E880" s="268"/>
      <c r="F880" s="298"/>
      <c r="G880" s="270" t="s">
        <v>978</v>
      </c>
      <c r="H880" s="270"/>
      <c r="I880" s="270"/>
      <c r="J880" s="270"/>
      <c r="K880" s="270"/>
      <c r="L880" s="270"/>
      <c r="M880" s="270"/>
      <c r="N880" s="190">
        <f>M569</f>
        <v>2.68384359691664</v>
      </c>
      <c r="O880" s="190"/>
      <c r="P880" s="190"/>
      <c r="Q880" s="190"/>
      <c r="R880" s="190">
        <f>Q569</f>
        <v>3.0956023054709583</v>
      </c>
      <c r="S880" s="190"/>
      <c r="T880" s="190"/>
      <c r="U880" s="190"/>
      <c r="V880" s="190">
        <f>U569</f>
        <v>2.68384359691664</v>
      </c>
      <c r="W880" s="190"/>
      <c r="X880" s="190"/>
      <c r="Y880" s="190"/>
    </row>
    <row r="881" spans="1:25" ht="19.5" customHeight="1">
      <c r="A881" s="4"/>
      <c r="B881" s="4"/>
      <c r="C881" s="4"/>
      <c r="D881" s="4"/>
      <c r="E881" s="268"/>
      <c r="F881" s="298"/>
      <c r="G881" s="270" t="s">
        <v>967</v>
      </c>
      <c r="H881" s="270"/>
      <c r="I881" s="270"/>
      <c r="J881" s="270"/>
      <c r="K881" s="270"/>
      <c r="L881" s="270"/>
      <c r="M881" s="270"/>
      <c r="N881" s="190">
        <f>T209*1000/$AH$266</f>
        <v>1.3965396311415657</v>
      </c>
      <c r="O881" s="190"/>
      <c r="P881" s="190"/>
      <c r="Q881" s="190"/>
      <c r="R881" s="205">
        <f>X209*1000/$AH$251</f>
        <v>1.7323222222222223</v>
      </c>
      <c r="S881" s="206"/>
      <c r="T881" s="206"/>
      <c r="U881" s="207"/>
      <c r="V881" s="190">
        <f>AB209*1000/$AH$266</f>
        <v>1.3965396311415657</v>
      </c>
      <c r="W881" s="190"/>
      <c r="X881" s="190"/>
      <c r="Y881" s="190"/>
    </row>
    <row r="882" spans="1:25" ht="19.5" customHeight="1">
      <c r="A882" s="4"/>
      <c r="B882" s="4"/>
      <c r="C882" s="4"/>
      <c r="D882" s="4"/>
      <c r="E882" s="268"/>
      <c r="F882" s="298"/>
      <c r="G882" s="270" t="s">
        <v>36</v>
      </c>
      <c r="H882" s="270"/>
      <c r="I882" s="270"/>
      <c r="J882" s="270"/>
      <c r="K882" s="270"/>
      <c r="L882" s="270"/>
      <c r="M882" s="270"/>
      <c r="N882" s="190">
        <f>T210*1000/$AH$266</f>
        <v>0.06421307770812072</v>
      </c>
      <c r="O882" s="190"/>
      <c r="P882" s="190"/>
      <c r="Q882" s="190"/>
      <c r="R882" s="205">
        <f>X210*1000/$AH$251</f>
        <v>0</v>
      </c>
      <c r="S882" s="206"/>
      <c r="T882" s="206"/>
      <c r="U882" s="207"/>
      <c r="V882" s="190">
        <f>AB210*1000/$AH$266</f>
        <v>0.06421307770812072</v>
      </c>
      <c r="W882" s="190"/>
      <c r="X882" s="190"/>
      <c r="Y882" s="190"/>
    </row>
    <row r="883" spans="1:25" ht="19.5" customHeight="1">
      <c r="A883" s="4"/>
      <c r="B883" s="4"/>
      <c r="C883" s="4"/>
      <c r="D883" s="4"/>
      <c r="E883" s="268"/>
      <c r="F883" s="298"/>
      <c r="G883" s="270" t="s">
        <v>973</v>
      </c>
      <c r="H883" s="270"/>
      <c r="I883" s="270"/>
      <c r="J883" s="270"/>
      <c r="K883" s="270"/>
      <c r="L883" s="270"/>
      <c r="M883" s="270"/>
      <c r="N883" s="190">
        <f>T211*1000/$AH$266</f>
        <v>0</v>
      </c>
      <c r="O883" s="190"/>
      <c r="P883" s="190"/>
      <c r="Q883" s="190"/>
      <c r="R883" s="205">
        <f>X211*1000/$AH$251</f>
        <v>0</v>
      </c>
      <c r="S883" s="206"/>
      <c r="T883" s="206"/>
      <c r="U883" s="207"/>
      <c r="V883" s="190">
        <f>AB211*1000/$AH$266</f>
        <v>0</v>
      </c>
      <c r="W883" s="190"/>
      <c r="X883" s="190"/>
      <c r="Y883" s="190"/>
    </row>
    <row r="884" spans="1:25" ht="19.5" customHeight="1">
      <c r="A884" s="4"/>
      <c r="B884" s="4"/>
      <c r="C884" s="4"/>
      <c r="D884" s="4"/>
      <c r="E884" s="268"/>
      <c r="F884" s="298"/>
      <c r="G884" s="294" t="s">
        <v>979</v>
      </c>
      <c r="H884" s="295"/>
      <c r="I884" s="295"/>
      <c r="J884" s="295"/>
      <c r="K884" s="295"/>
      <c r="L884" s="295"/>
      <c r="M884" s="296"/>
      <c r="N884" s="190">
        <f>T212*1000/$AH$266</f>
        <v>0.02456925207756233</v>
      </c>
      <c r="O884" s="190"/>
      <c r="P884" s="190"/>
      <c r="Q884" s="190"/>
      <c r="R884" s="205">
        <f>X212*1000/$AH$251</f>
        <v>0</v>
      </c>
      <c r="S884" s="206"/>
      <c r="T884" s="206"/>
      <c r="U884" s="207"/>
      <c r="V884" s="190">
        <f>AB212*1000/$AH$266</f>
        <v>0.02456925207756233</v>
      </c>
      <c r="W884" s="190"/>
      <c r="X884" s="190"/>
      <c r="Y884" s="190"/>
    </row>
    <row r="885" spans="1:25" ht="19.5" customHeight="1">
      <c r="A885" s="4"/>
      <c r="B885" s="4"/>
      <c r="C885" s="4"/>
      <c r="D885" s="4"/>
      <c r="E885" s="268"/>
      <c r="F885" s="298"/>
      <c r="G885" s="270" t="s">
        <v>679</v>
      </c>
      <c r="H885" s="270"/>
      <c r="I885" s="270"/>
      <c r="J885" s="270"/>
      <c r="K885" s="270"/>
      <c r="L885" s="270"/>
      <c r="M885" s="270"/>
      <c r="N885" s="190">
        <f>N878+N879+N880</f>
        <v>3.0194442675683386</v>
      </c>
      <c r="O885" s="190"/>
      <c r="P885" s="190"/>
      <c r="Q885" s="190"/>
      <c r="R885" s="190">
        <f>R878+R879+R880</f>
        <v>3.149180083248736</v>
      </c>
      <c r="S885" s="190"/>
      <c r="T885" s="190"/>
      <c r="U885" s="190"/>
      <c r="V885" s="190">
        <f>V878+V879+V880</f>
        <v>3.0194442675683386</v>
      </c>
      <c r="W885" s="190"/>
      <c r="X885" s="190"/>
      <c r="Y885" s="190"/>
    </row>
    <row r="886" spans="1:25" ht="19.5" customHeight="1">
      <c r="A886" s="4"/>
      <c r="B886" s="4"/>
      <c r="C886" s="4"/>
      <c r="D886" s="4"/>
      <c r="E886" s="268"/>
      <c r="F886" s="298"/>
      <c r="G886" s="270" t="s">
        <v>1226</v>
      </c>
      <c r="H886" s="270"/>
      <c r="I886" s="270"/>
      <c r="J886" s="270"/>
      <c r="K886" s="270"/>
      <c r="L886" s="270"/>
      <c r="M886" s="270"/>
      <c r="N886" s="190">
        <f>N885+N881+N882</f>
        <v>4.480196976418025</v>
      </c>
      <c r="O886" s="190"/>
      <c r="P886" s="190"/>
      <c r="Q886" s="190"/>
      <c r="R886" s="190">
        <f>R885+R881+R882</f>
        <v>4.881502305470958</v>
      </c>
      <c r="S886" s="190"/>
      <c r="T886" s="190"/>
      <c r="U886" s="190"/>
      <c r="V886" s="190">
        <f>V885+V881+V882</f>
        <v>4.480196976418025</v>
      </c>
      <c r="W886" s="190"/>
      <c r="X886" s="190"/>
      <c r="Y886" s="190"/>
    </row>
    <row r="887" spans="1:25" ht="19.5" customHeight="1">
      <c r="A887" s="4"/>
      <c r="B887" s="4"/>
      <c r="C887" s="4"/>
      <c r="D887" s="4"/>
      <c r="E887" s="268"/>
      <c r="F887" s="298"/>
      <c r="G887" s="294" t="s">
        <v>1410</v>
      </c>
      <c r="H887" s="295"/>
      <c r="I887" s="295"/>
      <c r="J887" s="295"/>
      <c r="K887" s="295"/>
      <c r="L887" s="295"/>
      <c r="M887" s="296"/>
      <c r="N887" s="205">
        <f>N885+N881+N882+1/2*N884</f>
        <v>4.492481602456806</v>
      </c>
      <c r="O887" s="206"/>
      <c r="P887" s="206"/>
      <c r="Q887" s="207"/>
      <c r="R887" s="205">
        <f>R885+R881+R882+1/2*R884</f>
        <v>4.881502305470958</v>
      </c>
      <c r="S887" s="206"/>
      <c r="T887" s="206"/>
      <c r="U887" s="207"/>
      <c r="V887" s="205">
        <f>V885+V881+V882+1/2*V884</f>
        <v>4.492481602456806</v>
      </c>
      <c r="W887" s="206"/>
      <c r="X887" s="206"/>
      <c r="Y887" s="207"/>
    </row>
    <row r="888" spans="1:25" ht="19.5" customHeight="1">
      <c r="A888" s="4"/>
      <c r="B888" s="4"/>
      <c r="C888" s="4"/>
      <c r="D888" s="4"/>
      <c r="E888" s="268"/>
      <c r="F888" s="298"/>
      <c r="G888" s="294" t="s">
        <v>3</v>
      </c>
      <c r="H888" s="295"/>
      <c r="I888" s="295"/>
      <c r="J888" s="295"/>
      <c r="K888" s="295"/>
      <c r="L888" s="295"/>
      <c r="M888" s="296"/>
      <c r="N888" s="205">
        <f>N885+N884</f>
        <v>3.044013519645901</v>
      </c>
      <c r="O888" s="206"/>
      <c r="P888" s="206"/>
      <c r="Q888" s="207"/>
      <c r="R888" s="205">
        <f>R885+R884</f>
        <v>3.149180083248736</v>
      </c>
      <c r="S888" s="206"/>
      <c r="T888" s="206"/>
      <c r="U888" s="207"/>
      <c r="V888" s="205">
        <f>V885+V884</f>
        <v>3.044013519645901</v>
      </c>
      <c r="W888" s="206"/>
      <c r="X888" s="206"/>
      <c r="Y888" s="207"/>
    </row>
    <row r="889" spans="1:25" ht="19.5" customHeight="1">
      <c r="A889" s="4"/>
      <c r="B889" s="4"/>
      <c r="C889" s="4"/>
      <c r="D889" s="4"/>
      <c r="E889" s="268"/>
      <c r="F889" s="298"/>
      <c r="G889" s="270" t="s">
        <v>94</v>
      </c>
      <c r="H889" s="270"/>
      <c r="I889" s="270"/>
      <c r="J889" s="270"/>
      <c r="K889" s="270"/>
      <c r="L889" s="270"/>
      <c r="M889" s="270"/>
      <c r="N889" s="190">
        <f>N886+N883</f>
        <v>4.480196976418025</v>
      </c>
      <c r="O889" s="190"/>
      <c r="P889" s="190"/>
      <c r="Q889" s="190"/>
      <c r="R889" s="190">
        <f>R886+R883</f>
        <v>4.881502305470958</v>
      </c>
      <c r="S889" s="190"/>
      <c r="T889" s="190"/>
      <c r="U889" s="190"/>
      <c r="V889" s="190">
        <f>V886+V883</f>
        <v>4.480196976418025</v>
      </c>
      <c r="W889" s="190"/>
      <c r="X889" s="190"/>
      <c r="Y889" s="190"/>
    </row>
    <row r="890" spans="1:25" ht="19.5" customHeight="1">
      <c r="A890" s="4"/>
      <c r="B890" s="4"/>
      <c r="C890" s="4"/>
      <c r="D890" s="4"/>
      <c r="E890" s="269"/>
      <c r="F890" s="299"/>
      <c r="G890" s="270" t="s">
        <v>37</v>
      </c>
      <c r="H890" s="270"/>
      <c r="I890" s="270"/>
      <c r="J890" s="270"/>
      <c r="K890" s="270"/>
      <c r="L890" s="270"/>
      <c r="M890" s="270"/>
      <c r="N890" s="190">
        <f>MAX(N878:Q889)</f>
        <v>4.492481602456806</v>
      </c>
      <c r="O890" s="190"/>
      <c r="P890" s="190"/>
      <c r="Q890" s="190"/>
      <c r="R890" s="190">
        <f>MAX(R878:U889)</f>
        <v>4.881502305470958</v>
      </c>
      <c r="S890" s="190"/>
      <c r="T890" s="190"/>
      <c r="U890" s="190"/>
      <c r="V890" s="190">
        <f>MAX(V878:Y889)</f>
        <v>4.492481602456806</v>
      </c>
      <c r="W890" s="190"/>
      <c r="X890" s="190"/>
      <c r="Y890" s="190"/>
    </row>
    <row r="891" spans="1:25" ht="19.5" customHeight="1">
      <c r="A891" s="4"/>
      <c r="B891" s="4"/>
      <c r="C891" s="4"/>
      <c r="D891" s="4"/>
      <c r="E891" s="270" t="s">
        <v>931</v>
      </c>
      <c r="F891" s="270"/>
      <c r="G891" s="270"/>
      <c r="H891" s="270"/>
      <c r="I891" s="270"/>
      <c r="J891" s="270"/>
      <c r="K891" s="270"/>
      <c r="L891" s="270"/>
      <c r="M891" s="270"/>
      <c r="N891" s="290">
        <f>$AH$841</f>
        <v>6.451612903225806</v>
      </c>
      <c r="O891" s="290"/>
      <c r="P891" s="290"/>
      <c r="Q891" s="290"/>
      <c r="R891" s="290">
        <f>$AH$841</f>
        <v>6.451612903225806</v>
      </c>
      <c r="S891" s="290"/>
      <c r="T891" s="290"/>
      <c r="U891" s="290"/>
      <c r="V891" s="290">
        <f>$AH$841</f>
        <v>6.451612903225806</v>
      </c>
      <c r="W891" s="290"/>
      <c r="X891" s="290"/>
      <c r="Y891" s="290"/>
    </row>
    <row r="892" spans="1:25" ht="19.5" customHeight="1">
      <c r="A892" s="4"/>
      <c r="B892" s="4"/>
      <c r="C892" s="4"/>
      <c r="D892" s="4"/>
      <c r="E892" s="270" t="s">
        <v>38</v>
      </c>
      <c r="F892" s="270"/>
      <c r="G892" s="270"/>
      <c r="H892" s="270"/>
      <c r="I892" s="270"/>
      <c r="J892" s="270"/>
      <c r="K892" s="270"/>
      <c r="L892" s="270"/>
      <c r="M892" s="270"/>
      <c r="N892" s="190">
        <f>L$615</f>
        <v>966.3472814157785</v>
      </c>
      <c r="O892" s="190"/>
      <c r="P892" s="190"/>
      <c r="Q892" s="190"/>
      <c r="R892" s="190">
        <f>P$615</f>
        <v>964.3523146046765</v>
      </c>
      <c r="S892" s="190"/>
      <c r="T892" s="190"/>
      <c r="U892" s="190"/>
      <c r="V892" s="190">
        <f>T$615</f>
        <v>966.3472814157785</v>
      </c>
      <c r="W892" s="190"/>
      <c r="X892" s="190"/>
      <c r="Y892" s="190"/>
    </row>
    <row r="893" spans="1:25" ht="19.5" customHeight="1">
      <c r="A893" s="4" t="s">
        <v>274</v>
      </c>
      <c r="B893" s="4"/>
      <c r="C893" s="4"/>
      <c r="D893" s="4"/>
      <c r="E893" s="270" t="s">
        <v>39</v>
      </c>
      <c r="F893" s="270"/>
      <c r="G893" s="270"/>
      <c r="H893" s="270"/>
      <c r="I893" s="270"/>
      <c r="J893" s="270"/>
      <c r="K893" s="270"/>
      <c r="L893" s="270"/>
      <c r="M893" s="270"/>
      <c r="N893" s="190">
        <f>N890*N891</f>
        <v>28.983752273914874</v>
      </c>
      <c r="O893" s="190"/>
      <c r="P893" s="190"/>
      <c r="Q893" s="190"/>
      <c r="R893" s="190">
        <f>R890*R891</f>
        <v>31.493563261102953</v>
      </c>
      <c r="S893" s="190"/>
      <c r="T893" s="190"/>
      <c r="U893" s="190"/>
      <c r="V893" s="190">
        <f>V890*V891</f>
        <v>28.983752273914874</v>
      </c>
      <c r="W893" s="190"/>
      <c r="X893" s="190"/>
      <c r="Y893" s="190"/>
    </row>
    <row r="894" spans="1:25" ht="19.5" customHeight="1">
      <c r="A894" s="4"/>
      <c r="B894" s="4"/>
      <c r="C894" s="4"/>
      <c r="D894" s="4"/>
      <c r="E894" s="270" t="s">
        <v>680</v>
      </c>
      <c r="F894" s="270"/>
      <c r="G894" s="270"/>
      <c r="H894" s="270"/>
      <c r="I894" s="270"/>
      <c r="J894" s="270"/>
      <c r="K894" s="270"/>
      <c r="L894" s="270"/>
      <c r="M894" s="270"/>
      <c r="N894" s="190">
        <f>N892+N893</f>
        <v>995.3310336896934</v>
      </c>
      <c r="O894" s="190"/>
      <c r="P894" s="190"/>
      <c r="Q894" s="190"/>
      <c r="R894" s="190">
        <f>R892+R893</f>
        <v>995.8458778657795</v>
      </c>
      <c r="S894" s="190"/>
      <c r="T894" s="190"/>
      <c r="U894" s="190"/>
      <c r="V894" s="190">
        <f>V892+V893</f>
        <v>995.3310336896934</v>
      </c>
      <c r="W894" s="190"/>
      <c r="X894" s="190"/>
      <c r="Y894" s="190"/>
    </row>
    <row r="895" spans="1:44" ht="19.5" customHeight="1">
      <c r="A895" s="4"/>
      <c r="B895" s="4"/>
      <c r="C895" s="4"/>
      <c r="D895" s="4"/>
      <c r="E895" s="270" t="s">
        <v>40</v>
      </c>
      <c r="F895" s="270"/>
      <c r="G895" s="270"/>
      <c r="H895" s="270"/>
      <c r="I895" s="270"/>
      <c r="J895" s="270"/>
      <c r="K895" s="270"/>
      <c r="L895" s="270"/>
      <c r="M895" s="270"/>
      <c r="N895" s="190">
        <f>$AA$874</f>
        <v>1098.8</v>
      </c>
      <c r="O895" s="190"/>
      <c r="P895" s="190"/>
      <c r="Q895" s="190"/>
      <c r="R895" s="190">
        <f>N895</f>
        <v>1098.8</v>
      </c>
      <c r="S895" s="190"/>
      <c r="T895" s="190"/>
      <c r="U895" s="190"/>
      <c r="V895" s="190">
        <f>N895</f>
        <v>1098.8</v>
      </c>
      <c r="W895" s="190"/>
      <c r="X895" s="190"/>
      <c r="Y895" s="190"/>
      <c r="AR895" s="36"/>
    </row>
    <row r="896" spans="1:25" ht="19.5" customHeight="1">
      <c r="A896" s="4"/>
      <c r="B896" s="4"/>
      <c r="C896" s="4"/>
      <c r="D896" s="4"/>
      <c r="E896" s="270" t="s">
        <v>118</v>
      </c>
      <c r="F896" s="270"/>
      <c r="G896" s="270"/>
      <c r="H896" s="270"/>
      <c r="I896" s="270"/>
      <c r="J896" s="270"/>
      <c r="K896" s="270"/>
      <c r="L896" s="270"/>
      <c r="M896" s="270"/>
      <c r="N896" s="190" t="str">
        <f>IF(N894&lt;=N895,"O.K","N.G")</f>
        <v>O.K</v>
      </c>
      <c r="O896" s="190"/>
      <c r="P896" s="190"/>
      <c r="Q896" s="190"/>
      <c r="R896" s="190" t="str">
        <f>IF(R894&lt;=R895,"O.K","N.G")</f>
        <v>O.K</v>
      </c>
      <c r="S896" s="190"/>
      <c r="T896" s="190"/>
      <c r="U896" s="190"/>
      <c r="V896" s="190" t="str">
        <f>IF(V894&lt;=V895,"O.K","N.G")</f>
        <v>O.K</v>
      </c>
      <c r="W896" s="190"/>
      <c r="X896" s="190"/>
      <c r="Y896" s="190"/>
    </row>
    <row r="897" spans="1:42" s="27" customFormat="1" ht="19.5" customHeight="1">
      <c r="A897" s="4"/>
      <c r="B897" s="4"/>
      <c r="C897" s="4"/>
      <c r="D897" s="4"/>
      <c r="E897" s="62"/>
      <c r="F897" s="62"/>
      <c r="G897" s="62"/>
      <c r="H897" s="62"/>
      <c r="I897" s="62"/>
      <c r="J897" s="62"/>
      <c r="K897" s="62"/>
      <c r="L897" s="62"/>
      <c r="M897" s="62"/>
      <c r="N897" s="37"/>
      <c r="O897" s="37"/>
      <c r="P897" s="37"/>
      <c r="Q897" s="37"/>
      <c r="R897" s="37"/>
      <c r="S897" s="37"/>
      <c r="T897" s="37"/>
      <c r="U897" s="37"/>
      <c r="V897" s="37"/>
      <c r="W897" s="37"/>
      <c r="X897" s="37"/>
      <c r="Y897" s="37"/>
      <c r="AH897" s="29"/>
      <c r="AI897" s="29"/>
      <c r="AJ897" s="29"/>
      <c r="AK897" s="29"/>
      <c r="AL897" s="29"/>
      <c r="AM897" s="29"/>
      <c r="AN897" s="29"/>
      <c r="AO897" s="29"/>
      <c r="AP897" s="29"/>
    </row>
    <row r="898" spans="1:89" s="27" customFormat="1" ht="19.5" customHeight="1">
      <c r="A898" s="4"/>
      <c r="B898" s="4"/>
      <c r="C898" s="4"/>
      <c r="D898" s="4"/>
      <c r="E898" s="204" t="s">
        <v>917</v>
      </c>
      <c r="F898" s="204"/>
      <c r="G898" s="204"/>
      <c r="H898" s="204"/>
      <c r="I898" s="204"/>
      <c r="J898" s="204"/>
      <c r="K898" s="204"/>
      <c r="L898" s="204"/>
      <c r="M898" s="204"/>
      <c r="N898" s="204" t="s">
        <v>663</v>
      </c>
      <c r="O898" s="204"/>
      <c r="P898" s="204"/>
      <c r="Q898" s="204"/>
      <c r="R898" s="204" t="s">
        <v>664</v>
      </c>
      <c r="S898" s="204"/>
      <c r="T898" s="204"/>
      <c r="U898" s="204"/>
      <c r="V898" s="204" t="s">
        <v>665</v>
      </c>
      <c r="W898" s="204"/>
      <c r="X898" s="204"/>
      <c r="Y898" s="204"/>
      <c r="AH898" s="29"/>
      <c r="AI898" s="29"/>
      <c r="AJ898" s="29"/>
      <c r="AK898" s="29"/>
      <c r="AL898" s="29"/>
      <c r="AM898" s="29"/>
      <c r="AN898" s="29"/>
      <c r="AO898" s="29"/>
      <c r="AP898" s="29"/>
      <c r="BY898" s="20"/>
      <c r="BZ898" s="20"/>
      <c r="CA898" s="20"/>
      <c r="CB898" s="20"/>
      <c r="CC898" s="20"/>
      <c r="CD898" s="20"/>
      <c r="CE898" s="20"/>
      <c r="CF898" s="20"/>
      <c r="CG898" s="20"/>
      <c r="CH898" s="20"/>
      <c r="CI898" s="20"/>
      <c r="CJ898" s="20"/>
      <c r="CK898" s="20"/>
    </row>
    <row r="899" spans="1:89" s="27" customFormat="1" ht="19.5" customHeight="1">
      <c r="A899" s="4"/>
      <c r="B899" s="4"/>
      <c r="C899" s="4"/>
      <c r="D899" s="4"/>
      <c r="E899" s="267" t="s">
        <v>681</v>
      </c>
      <c r="F899" s="297" t="s">
        <v>682</v>
      </c>
      <c r="G899" s="270" t="s">
        <v>920</v>
      </c>
      <c r="H899" s="270"/>
      <c r="I899" s="270"/>
      <c r="J899" s="270"/>
      <c r="K899" s="270"/>
      <c r="L899" s="270"/>
      <c r="M899" s="270"/>
      <c r="N899" s="190">
        <f>T222*1000/$AH$266</f>
        <v>0.07073771686834815</v>
      </c>
      <c r="O899" s="190"/>
      <c r="P899" s="190"/>
      <c r="Q899" s="190"/>
      <c r="R899" s="190">
        <f>X222*1000/$AH$251</f>
        <v>0.07442222222222222</v>
      </c>
      <c r="S899" s="190"/>
      <c r="T899" s="190"/>
      <c r="U899" s="190"/>
      <c r="V899" s="190">
        <f>AB222*1000/$AH$266</f>
        <v>0.07073771686834815</v>
      </c>
      <c r="W899" s="190"/>
      <c r="X899" s="190"/>
      <c r="Y899" s="190"/>
      <c r="AH899" s="29"/>
      <c r="AI899" s="29"/>
      <c r="AJ899" s="29"/>
      <c r="AK899" s="29"/>
      <c r="AL899" s="29"/>
      <c r="AM899" s="29"/>
      <c r="AN899" s="29"/>
      <c r="AO899" s="29"/>
      <c r="AP899" s="29"/>
      <c r="BY899" s="20"/>
      <c r="BZ899" s="20"/>
      <c r="CA899" s="20"/>
      <c r="CB899" s="20"/>
      <c r="CC899" s="20"/>
      <c r="CD899" s="20"/>
      <c r="CE899" s="20"/>
      <c r="CF899" s="20"/>
      <c r="CG899" s="20"/>
      <c r="CH899" s="20"/>
      <c r="CI899" s="20"/>
      <c r="CJ899" s="20"/>
      <c r="CK899" s="20"/>
    </row>
    <row r="900" spans="1:89" s="27" customFormat="1" ht="19.5" customHeight="1">
      <c r="A900" s="4"/>
      <c r="B900" s="4"/>
      <c r="C900" s="4"/>
      <c r="D900" s="4"/>
      <c r="E900" s="268"/>
      <c r="F900" s="298"/>
      <c r="G900" s="270" t="s">
        <v>35</v>
      </c>
      <c r="H900" s="270"/>
      <c r="I900" s="270"/>
      <c r="J900" s="270"/>
      <c r="K900" s="270"/>
      <c r="L900" s="270"/>
      <c r="M900" s="270"/>
      <c r="N900" s="190">
        <f>T223*1000/$AH$266</f>
        <v>0.26486295378335034</v>
      </c>
      <c r="O900" s="190"/>
      <c r="P900" s="190"/>
      <c r="Q900" s="190"/>
      <c r="R900" s="190">
        <f>X223*1000/$AH$251</f>
        <v>-0.29904444444444445</v>
      </c>
      <c r="S900" s="190"/>
      <c r="T900" s="190"/>
      <c r="U900" s="190"/>
      <c r="V900" s="190">
        <f>AB223*1000/$AH$266</f>
        <v>0.26486295378335034</v>
      </c>
      <c r="W900" s="190"/>
      <c r="X900" s="190"/>
      <c r="Y900" s="190"/>
      <c r="AH900" s="29"/>
      <c r="AI900" s="29"/>
      <c r="AJ900" s="29"/>
      <c r="AK900" s="29"/>
      <c r="AL900" s="29"/>
      <c r="AM900" s="29"/>
      <c r="AN900" s="29"/>
      <c r="AO900" s="29"/>
      <c r="AP900" s="29"/>
      <c r="BY900" s="20"/>
      <c r="BZ900" s="20"/>
      <c r="CA900" s="20"/>
      <c r="CB900" s="20"/>
      <c r="CC900" s="20"/>
      <c r="CD900" s="20"/>
      <c r="CE900" s="20"/>
      <c r="CF900" s="20"/>
      <c r="CG900" s="20"/>
      <c r="CH900" s="20"/>
      <c r="CI900" s="20"/>
      <c r="CJ900" s="20"/>
      <c r="CK900" s="20"/>
    </row>
    <row r="901" spans="1:89" s="27" customFormat="1" ht="19.5" customHeight="1">
      <c r="A901" s="4"/>
      <c r="B901" s="4"/>
      <c r="C901" s="4"/>
      <c r="D901" s="4"/>
      <c r="E901" s="268"/>
      <c r="F901" s="298"/>
      <c r="G901" s="270" t="s">
        <v>978</v>
      </c>
      <c r="H901" s="270"/>
      <c r="I901" s="270"/>
      <c r="J901" s="270"/>
      <c r="K901" s="270"/>
      <c r="L901" s="270"/>
      <c r="M901" s="270"/>
      <c r="N901" s="190">
        <f>M569</f>
        <v>2.68384359691664</v>
      </c>
      <c r="O901" s="190"/>
      <c r="P901" s="190"/>
      <c r="Q901" s="190"/>
      <c r="R901" s="190">
        <f>Q569</f>
        <v>3.0956023054709583</v>
      </c>
      <c r="S901" s="190"/>
      <c r="T901" s="190"/>
      <c r="U901" s="190"/>
      <c r="V901" s="190">
        <f>U569</f>
        <v>2.68384359691664</v>
      </c>
      <c r="W901" s="190"/>
      <c r="X901" s="190"/>
      <c r="Y901" s="190"/>
      <c r="AH901" s="29"/>
      <c r="AI901" s="29"/>
      <c r="AJ901" s="29"/>
      <c r="AK901" s="29"/>
      <c r="AL901" s="29"/>
      <c r="AM901" s="29"/>
      <c r="AN901" s="29"/>
      <c r="AO901" s="29"/>
      <c r="AP901" s="29"/>
      <c r="BY901" s="20"/>
      <c r="BZ901" s="20"/>
      <c r="CA901" s="20"/>
      <c r="CB901" s="20"/>
      <c r="CC901" s="20"/>
      <c r="CD901" s="20"/>
      <c r="CE901" s="20"/>
      <c r="CF901" s="20"/>
      <c r="CG901" s="20"/>
      <c r="CH901" s="20"/>
      <c r="CI901" s="20"/>
      <c r="CJ901" s="20"/>
      <c r="CK901" s="20"/>
    </row>
    <row r="902" spans="1:89" s="27" customFormat="1" ht="19.5" customHeight="1">
      <c r="A902" s="4"/>
      <c r="B902" s="4"/>
      <c r="C902" s="4"/>
      <c r="D902" s="4"/>
      <c r="E902" s="268"/>
      <c r="F902" s="298"/>
      <c r="G902" s="270" t="s">
        <v>967</v>
      </c>
      <c r="H902" s="270"/>
      <c r="I902" s="270"/>
      <c r="J902" s="270"/>
      <c r="K902" s="270"/>
      <c r="L902" s="270"/>
      <c r="M902" s="270"/>
      <c r="N902" s="190">
        <f>T224*1000/$AH$266</f>
        <v>1.3965396311415657</v>
      </c>
      <c r="O902" s="190"/>
      <c r="P902" s="190"/>
      <c r="Q902" s="190"/>
      <c r="R902" s="205">
        <f>X224*1000/$AH$251</f>
        <v>1.7323222222222223</v>
      </c>
      <c r="S902" s="206"/>
      <c r="T902" s="206"/>
      <c r="U902" s="207"/>
      <c r="V902" s="190">
        <f>AB224*1000/$AH$266</f>
        <v>1.3965396311415657</v>
      </c>
      <c r="W902" s="190"/>
      <c r="X902" s="190"/>
      <c r="Y902" s="190"/>
      <c r="AH902" s="29"/>
      <c r="AI902" s="29"/>
      <c r="AJ902" s="29"/>
      <c r="AK902" s="29"/>
      <c r="AL902" s="29"/>
      <c r="AM902" s="29"/>
      <c r="AN902" s="29"/>
      <c r="AO902" s="29"/>
      <c r="AP902" s="29"/>
      <c r="BY902" s="20"/>
      <c r="BZ902" s="20"/>
      <c r="CA902" s="20"/>
      <c r="CB902" s="20"/>
      <c r="CC902" s="20"/>
      <c r="CD902" s="20"/>
      <c r="CE902" s="20"/>
      <c r="CF902" s="20"/>
      <c r="CG902" s="20"/>
      <c r="CH902" s="20"/>
      <c r="CI902" s="20"/>
      <c r="CJ902" s="20"/>
      <c r="CK902" s="20"/>
    </row>
    <row r="903" spans="1:89" s="27" customFormat="1" ht="19.5" customHeight="1">
      <c r="A903" s="4"/>
      <c r="B903" s="4"/>
      <c r="C903" s="4"/>
      <c r="D903" s="4"/>
      <c r="E903" s="268"/>
      <c r="F903" s="298"/>
      <c r="G903" s="270" t="s">
        <v>36</v>
      </c>
      <c r="H903" s="270"/>
      <c r="I903" s="270"/>
      <c r="J903" s="270"/>
      <c r="K903" s="270"/>
      <c r="L903" s="270"/>
      <c r="M903" s="270"/>
      <c r="N903" s="190">
        <f>T225*1000/$AH$266</f>
        <v>0.06421307770812072</v>
      </c>
      <c r="O903" s="190"/>
      <c r="P903" s="190"/>
      <c r="Q903" s="190"/>
      <c r="R903" s="205">
        <f>X225*1000/$AH$251</f>
        <v>0</v>
      </c>
      <c r="S903" s="206"/>
      <c r="T903" s="206"/>
      <c r="U903" s="207"/>
      <c r="V903" s="190">
        <f>AB225*1000/$AH$266</f>
        <v>0.06421307770812072</v>
      </c>
      <c r="W903" s="190"/>
      <c r="X903" s="190"/>
      <c r="Y903" s="190"/>
      <c r="AH903" s="29"/>
      <c r="AI903" s="29"/>
      <c r="AJ903" s="29"/>
      <c r="AK903" s="29"/>
      <c r="AL903" s="29"/>
      <c r="AM903" s="29"/>
      <c r="AN903" s="29"/>
      <c r="AO903" s="29"/>
      <c r="AP903" s="29"/>
      <c r="BY903" s="20"/>
      <c r="BZ903" s="20"/>
      <c r="CA903" s="20"/>
      <c r="CB903" s="20"/>
      <c r="CC903" s="20"/>
      <c r="CD903" s="20"/>
      <c r="CE903" s="20"/>
      <c r="CF903" s="20"/>
      <c r="CG903" s="20"/>
      <c r="CH903" s="20"/>
      <c r="CI903" s="20"/>
      <c r="CJ903" s="20"/>
      <c r="CK903" s="20"/>
    </row>
    <row r="904" spans="1:89" s="27" customFormat="1" ht="19.5" customHeight="1">
      <c r="A904" s="4"/>
      <c r="B904" s="4"/>
      <c r="C904" s="4"/>
      <c r="D904" s="4"/>
      <c r="E904" s="268"/>
      <c r="F904" s="298"/>
      <c r="G904" s="270" t="s">
        <v>973</v>
      </c>
      <c r="H904" s="270"/>
      <c r="I904" s="270"/>
      <c r="J904" s="270"/>
      <c r="K904" s="270"/>
      <c r="L904" s="270"/>
      <c r="M904" s="270"/>
      <c r="N904" s="190">
        <f>T226*1000/$AH$266</f>
        <v>0</v>
      </c>
      <c r="O904" s="190"/>
      <c r="P904" s="190"/>
      <c r="Q904" s="190"/>
      <c r="R904" s="205">
        <f>X226*1000/$AH$251</f>
        <v>0</v>
      </c>
      <c r="S904" s="206"/>
      <c r="T904" s="206"/>
      <c r="U904" s="207"/>
      <c r="V904" s="190">
        <f>AB226*1000/$AH$266</f>
        <v>0</v>
      </c>
      <c r="W904" s="190"/>
      <c r="X904" s="190"/>
      <c r="Y904" s="190"/>
      <c r="AH904" s="29"/>
      <c r="AI904" s="29"/>
      <c r="AJ904" s="29"/>
      <c r="AK904" s="29"/>
      <c r="AL904" s="29"/>
      <c r="AM904" s="29"/>
      <c r="AN904" s="29"/>
      <c r="AO904" s="29"/>
      <c r="AP904" s="29"/>
      <c r="BY904" s="20"/>
      <c r="BZ904" s="20"/>
      <c r="CA904" s="20"/>
      <c r="CB904" s="20"/>
      <c r="CC904" s="20"/>
      <c r="CD904" s="20"/>
      <c r="CE904" s="20"/>
      <c r="CF904" s="20"/>
      <c r="CG904" s="20"/>
      <c r="CH904" s="20"/>
      <c r="CI904" s="20"/>
      <c r="CJ904" s="20"/>
      <c r="CK904" s="20"/>
    </row>
    <row r="905" spans="1:89" s="27" customFormat="1" ht="19.5" customHeight="1">
      <c r="A905" s="4"/>
      <c r="B905" s="4"/>
      <c r="C905" s="4"/>
      <c r="D905" s="4"/>
      <c r="E905" s="268"/>
      <c r="F905" s="298"/>
      <c r="G905" s="294" t="s">
        <v>979</v>
      </c>
      <c r="H905" s="295"/>
      <c r="I905" s="295"/>
      <c r="J905" s="295"/>
      <c r="K905" s="295"/>
      <c r="L905" s="295"/>
      <c r="M905" s="296"/>
      <c r="N905" s="190">
        <f>T227*1000/$AH$266</f>
        <v>0.02456925207756233</v>
      </c>
      <c r="O905" s="190"/>
      <c r="P905" s="190"/>
      <c r="Q905" s="190"/>
      <c r="R905" s="205">
        <f>X227*1000/$AH$251</f>
        <v>0</v>
      </c>
      <c r="S905" s="206"/>
      <c r="T905" s="206"/>
      <c r="U905" s="207"/>
      <c r="V905" s="190">
        <f>AB227*1000/$AH$266</f>
        <v>0.02456925207756233</v>
      </c>
      <c r="W905" s="190"/>
      <c r="X905" s="190"/>
      <c r="Y905" s="190"/>
      <c r="AH905" s="29"/>
      <c r="AI905" s="29"/>
      <c r="AJ905" s="29"/>
      <c r="AK905" s="29"/>
      <c r="AL905" s="29"/>
      <c r="AM905" s="29"/>
      <c r="AN905" s="29"/>
      <c r="AO905" s="29"/>
      <c r="AP905" s="29"/>
      <c r="BY905" s="20"/>
      <c r="BZ905" s="20"/>
      <c r="CA905" s="20"/>
      <c r="CB905" s="20"/>
      <c r="CC905" s="20"/>
      <c r="CD905" s="20"/>
      <c r="CE905" s="20"/>
      <c r="CF905" s="20"/>
      <c r="CG905" s="20"/>
      <c r="CH905" s="20"/>
      <c r="CI905" s="20"/>
      <c r="CJ905" s="20"/>
      <c r="CK905" s="20"/>
    </row>
    <row r="906" spans="1:89" s="27" customFormat="1" ht="19.5" customHeight="1">
      <c r="A906" s="4"/>
      <c r="B906" s="4"/>
      <c r="C906" s="4"/>
      <c r="D906" s="4"/>
      <c r="E906" s="268"/>
      <c r="F906" s="298"/>
      <c r="G906" s="270" t="s">
        <v>679</v>
      </c>
      <c r="H906" s="270"/>
      <c r="I906" s="270"/>
      <c r="J906" s="270"/>
      <c r="K906" s="270"/>
      <c r="L906" s="270"/>
      <c r="M906" s="270"/>
      <c r="N906" s="190">
        <f>N899+N900+N901</f>
        <v>3.0194442675683386</v>
      </c>
      <c r="O906" s="190"/>
      <c r="P906" s="190"/>
      <c r="Q906" s="190"/>
      <c r="R906" s="190">
        <f>R899+R900+R901</f>
        <v>2.870980083248736</v>
      </c>
      <c r="S906" s="190"/>
      <c r="T906" s="190"/>
      <c r="U906" s="190"/>
      <c r="V906" s="190">
        <f>V899+V900+V901</f>
        <v>3.0194442675683386</v>
      </c>
      <c r="W906" s="190"/>
      <c r="X906" s="190"/>
      <c r="Y906" s="190"/>
      <c r="AH906" s="29"/>
      <c r="AI906" s="29"/>
      <c r="AJ906" s="29"/>
      <c r="AK906" s="29"/>
      <c r="AL906" s="29"/>
      <c r="AM906" s="29"/>
      <c r="AN906" s="29"/>
      <c r="AO906" s="29"/>
      <c r="AP906" s="29"/>
      <c r="BY906" s="20"/>
      <c r="BZ906" s="20"/>
      <c r="CA906" s="20"/>
      <c r="CB906" s="20"/>
      <c r="CC906" s="20"/>
      <c r="CD906" s="20"/>
      <c r="CE906" s="20"/>
      <c r="CF906" s="20"/>
      <c r="CG906" s="20"/>
      <c r="CH906" s="20"/>
      <c r="CI906" s="20"/>
      <c r="CJ906" s="20"/>
      <c r="CK906" s="20"/>
    </row>
    <row r="907" spans="1:89" s="27" customFormat="1" ht="19.5" customHeight="1">
      <c r="A907" s="4"/>
      <c r="B907" s="4"/>
      <c r="C907" s="4"/>
      <c r="D907" s="4"/>
      <c r="E907" s="268"/>
      <c r="F907" s="298"/>
      <c r="G907" s="270" t="s">
        <v>1226</v>
      </c>
      <c r="H907" s="270"/>
      <c r="I907" s="270"/>
      <c r="J907" s="270"/>
      <c r="K907" s="270"/>
      <c r="L907" s="270"/>
      <c r="M907" s="270"/>
      <c r="N907" s="190">
        <f>N906+N902+N903</f>
        <v>4.480196976418025</v>
      </c>
      <c r="O907" s="190"/>
      <c r="P907" s="190"/>
      <c r="Q907" s="190"/>
      <c r="R907" s="190">
        <f>R906+R902+R903</f>
        <v>4.603302305470958</v>
      </c>
      <c r="S907" s="190"/>
      <c r="T907" s="190"/>
      <c r="U907" s="190"/>
      <c r="V907" s="190">
        <f>V906+V902+V903</f>
        <v>4.480196976418025</v>
      </c>
      <c r="W907" s="190"/>
      <c r="X907" s="190"/>
      <c r="Y907" s="190"/>
      <c r="AH907" s="29"/>
      <c r="AI907" s="29"/>
      <c r="AJ907" s="29"/>
      <c r="AK907" s="29"/>
      <c r="AL907" s="29"/>
      <c r="AM907" s="29"/>
      <c r="AN907" s="29"/>
      <c r="AO907" s="29"/>
      <c r="AP907" s="29"/>
      <c r="BY907" s="20"/>
      <c r="BZ907" s="20"/>
      <c r="CA907" s="20"/>
      <c r="CB907" s="20"/>
      <c r="CC907" s="20"/>
      <c r="CD907" s="20"/>
      <c r="CE907" s="20"/>
      <c r="CF907" s="20"/>
      <c r="CG907" s="20"/>
      <c r="CH907" s="20"/>
      <c r="CI907" s="20"/>
      <c r="CJ907" s="20"/>
      <c r="CK907" s="20"/>
    </row>
    <row r="908" spans="1:89" s="27" customFormat="1" ht="19.5" customHeight="1">
      <c r="A908" s="4"/>
      <c r="B908" s="4"/>
      <c r="C908" s="4"/>
      <c r="D908" s="4"/>
      <c r="E908" s="268"/>
      <c r="F908" s="298"/>
      <c r="G908" s="294" t="s">
        <v>1410</v>
      </c>
      <c r="H908" s="295"/>
      <c r="I908" s="295"/>
      <c r="J908" s="295"/>
      <c r="K908" s="295"/>
      <c r="L908" s="295"/>
      <c r="M908" s="296"/>
      <c r="N908" s="205">
        <f>N906+N902+N903+1/2*N905</f>
        <v>4.492481602456806</v>
      </c>
      <c r="O908" s="206"/>
      <c r="P908" s="206"/>
      <c r="Q908" s="207"/>
      <c r="R908" s="205">
        <f>R906+R902+R903+1/2*R905</f>
        <v>4.603302305470958</v>
      </c>
      <c r="S908" s="206"/>
      <c r="T908" s="206"/>
      <c r="U908" s="207"/>
      <c r="V908" s="205">
        <f>V906+V902+V903+1/2*V905</f>
        <v>4.492481602456806</v>
      </c>
      <c r="W908" s="206"/>
      <c r="X908" s="206"/>
      <c r="Y908" s="207"/>
      <c r="AH908" s="29"/>
      <c r="AI908" s="29"/>
      <c r="AJ908" s="29"/>
      <c r="AK908" s="29"/>
      <c r="AL908" s="29"/>
      <c r="AM908" s="29"/>
      <c r="AN908" s="29"/>
      <c r="AO908" s="29"/>
      <c r="AP908" s="29"/>
      <c r="BY908" s="20"/>
      <c r="BZ908" s="20"/>
      <c r="CA908" s="20"/>
      <c r="CB908" s="20"/>
      <c r="CC908" s="20"/>
      <c r="CD908" s="20"/>
      <c r="CE908" s="20"/>
      <c r="CF908" s="20"/>
      <c r="CG908" s="20"/>
      <c r="CH908" s="20"/>
      <c r="CI908" s="20"/>
      <c r="CJ908" s="20"/>
      <c r="CK908" s="20"/>
    </row>
    <row r="909" spans="1:89" s="27" customFormat="1" ht="19.5" customHeight="1">
      <c r="A909" s="4"/>
      <c r="B909" s="4"/>
      <c r="C909" s="4"/>
      <c r="D909" s="4"/>
      <c r="E909" s="268"/>
      <c r="F909" s="298"/>
      <c r="G909" s="294" t="s">
        <v>3</v>
      </c>
      <c r="H909" s="295"/>
      <c r="I909" s="295"/>
      <c r="J909" s="295"/>
      <c r="K909" s="295"/>
      <c r="L909" s="295"/>
      <c r="M909" s="296"/>
      <c r="N909" s="205">
        <f>N906+N905</f>
        <v>3.044013519645901</v>
      </c>
      <c r="O909" s="206"/>
      <c r="P909" s="206"/>
      <c r="Q909" s="207"/>
      <c r="R909" s="205">
        <f>R906+R905</f>
        <v>2.870980083248736</v>
      </c>
      <c r="S909" s="206"/>
      <c r="T909" s="206"/>
      <c r="U909" s="207"/>
      <c r="V909" s="205">
        <f>V906+V905</f>
        <v>3.044013519645901</v>
      </c>
      <c r="W909" s="206"/>
      <c r="X909" s="206"/>
      <c r="Y909" s="207"/>
      <c r="AH909" s="29"/>
      <c r="AI909" s="29"/>
      <c r="AJ909" s="29"/>
      <c r="AK909" s="29"/>
      <c r="AL909" s="29"/>
      <c r="AM909" s="29"/>
      <c r="AN909" s="29"/>
      <c r="AO909" s="29"/>
      <c r="AP909" s="29"/>
      <c r="BY909" s="20"/>
      <c r="BZ909" s="20"/>
      <c r="CA909" s="20"/>
      <c r="CB909" s="20"/>
      <c r="CC909" s="20"/>
      <c r="CD909" s="20"/>
      <c r="CE909" s="20"/>
      <c r="CF909" s="20"/>
      <c r="CG909" s="20"/>
      <c r="CH909" s="20"/>
      <c r="CI909" s="20"/>
      <c r="CJ909" s="20"/>
      <c r="CK909" s="20"/>
    </row>
    <row r="910" spans="1:89" s="27" customFormat="1" ht="19.5" customHeight="1">
      <c r="A910" s="4"/>
      <c r="B910" s="4"/>
      <c r="C910" s="4"/>
      <c r="D910" s="4"/>
      <c r="E910" s="268"/>
      <c r="F910" s="298"/>
      <c r="G910" s="270" t="s">
        <v>94</v>
      </c>
      <c r="H910" s="270"/>
      <c r="I910" s="270"/>
      <c r="J910" s="270"/>
      <c r="K910" s="270"/>
      <c r="L910" s="270"/>
      <c r="M910" s="270"/>
      <c r="N910" s="190">
        <f>N907+N904</f>
        <v>4.480196976418025</v>
      </c>
      <c r="O910" s="190"/>
      <c r="P910" s="190"/>
      <c r="Q910" s="190"/>
      <c r="R910" s="190">
        <f>R907+R904</f>
        <v>4.603302305470958</v>
      </c>
      <c r="S910" s="190"/>
      <c r="T910" s="190"/>
      <c r="U910" s="190"/>
      <c r="V910" s="190">
        <f>V907+V904</f>
        <v>4.480196976418025</v>
      </c>
      <c r="W910" s="190"/>
      <c r="X910" s="190"/>
      <c r="Y910" s="190"/>
      <c r="AH910" s="29"/>
      <c r="AI910" s="29"/>
      <c r="AJ910" s="29"/>
      <c r="AK910" s="29"/>
      <c r="AL910" s="29"/>
      <c r="AM910" s="29"/>
      <c r="AN910" s="29"/>
      <c r="AO910" s="29"/>
      <c r="AP910" s="29"/>
      <c r="BY910" s="20"/>
      <c r="BZ910" s="20"/>
      <c r="CA910" s="20"/>
      <c r="CB910" s="20"/>
      <c r="CC910" s="20"/>
      <c r="CD910" s="20"/>
      <c r="CE910" s="20"/>
      <c r="CF910" s="20"/>
      <c r="CG910" s="20"/>
      <c r="CH910" s="20"/>
      <c r="CI910" s="20"/>
      <c r="CJ910" s="20"/>
      <c r="CK910" s="20"/>
    </row>
    <row r="911" spans="1:89" s="27" customFormat="1" ht="19.5" customHeight="1">
      <c r="A911" s="4"/>
      <c r="B911" s="4"/>
      <c r="C911" s="4"/>
      <c r="D911" s="4"/>
      <c r="E911" s="269"/>
      <c r="F911" s="299"/>
      <c r="G911" s="270" t="s">
        <v>37</v>
      </c>
      <c r="H911" s="270"/>
      <c r="I911" s="270"/>
      <c r="J911" s="270"/>
      <c r="K911" s="270"/>
      <c r="L911" s="270"/>
      <c r="M911" s="270"/>
      <c r="N911" s="190">
        <f>MAX(N899:Q910)</f>
        <v>4.492481602456806</v>
      </c>
      <c r="O911" s="190"/>
      <c r="P911" s="190"/>
      <c r="Q911" s="190"/>
      <c r="R911" s="190">
        <f>MAX(R899:U910)</f>
        <v>4.603302305470958</v>
      </c>
      <c r="S911" s="190"/>
      <c r="T911" s="190"/>
      <c r="U911" s="190"/>
      <c r="V911" s="190">
        <f>MAX(V899:Y910)</f>
        <v>4.492481602456806</v>
      </c>
      <c r="W911" s="190"/>
      <c r="X911" s="190"/>
      <c r="Y911" s="190"/>
      <c r="AH911" s="29"/>
      <c r="AI911" s="29"/>
      <c r="AJ911" s="29"/>
      <c r="AK911" s="29"/>
      <c r="AL911" s="29"/>
      <c r="AM911" s="29"/>
      <c r="AN911" s="29"/>
      <c r="AO911" s="29"/>
      <c r="AP911" s="29"/>
      <c r="BY911" s="20"/>
      <c r="BZ911" s="20"/>
      <c r="CA911" s="20"/>
      <c r="CB911" s="20"/>
      <c r="CC911" s="20"/>
      <c r="CD911" s="20"/>
      <c r="CE911" s="20"/>
      <c r="CF911" s="20"/>
      <c r="CG911" s="20"/>
      <c r="CH911" s="20"/>
      <c r="CI911" s="20"/>
      <c r="CJ911" s="20"/>
      <c r="CK911" s="20"/>
    </row>
    <row r="912" spans="1:89" s="27" customFormat="1" ht="19.5" customHeight="1">
      <c r="A912" s="4"/>
      <c r="B912" s="4"/>
      <c r="C912" s="4"/>
      <c r="D912" s="4"/>
      <c r="E912" s="270" t="s">
        <v>931</v>
      </c>
      <c r="F912" s="270"/>
      <c r="G912" s="270"/>
      <c r="H912" s="270"/>
      <c r="I912" s="270"/>
      <c r="J912" s="270"/>
      <c r="K912" s="270"/>
      <c r="L912" s="270"/>
      <c r="M912" s="270"/>
      <c r="N912" s="290">
        <f>$AH$841</f>
        <v>6.451612903225806</v>
      </c>
      <c r="O912" s="290"/>
      <c r="P912" s="290"/>
      <c r="Q912" s="290"/>
      <c r="R912" s="290">
        <f>$AH$841</f>
        <v>6.451612903225806</v>
      </c>
      <c r="S912" s="290"/>
      <c r="T912" s="290"/>
      <c r="U912" s="290"/>
      <c r="V912" s="290">
        <f>$AH$841</f>
        <v>6.451612903225806</v>
      </c>
      <c r="W912" s="290"/>
      <c r="X912" s="290"/>
      <c r="Y912" s="290"/>
      <c r="AH912" s="29"/>
      <c r="AI912" s="29"/>
      <c r="AJ912" s="29"/>
      <c r="AK912" s="29"/>
      <c r="AL912" s="29"/>
      <c r="AM912" s="29"/>
      <c r="AN912" s="29"/>
      <c r="AO912" s="29"/>
      <c r="AP912" s="29"/>
      <c r="BY912" s="20"/>
      <c r="BZ912" s="20"/>
      <c r="CA912" s="20"/>
      <c r="CB912" s="20"/>
      <c r="CC912" s="20"/>
      <c r="CD912" s="20"/>
      <c r="CE912" s="20"/>
      <c r="CF912" s="20"/>
      <c r="CG912" s="20"/>
      <c r="CH912" s="20"/>
      <c r="CI912" s="20"/>
      <c r="CJ912" s="20"/>
      <c r="CK912" s="20"/>
    </row>
    <row r="913" spans="1:89" s="27" customFormat="1" ht="19.5" customHeight="1">
      <c r="A913" s="4"/>
      <c r="B913" s="4"/>
      <c r="C913" s="4"/>
      <c r="D913" s="4"/>
      <c r="E913" s="270" t="s">
        <v>38</v>
      </c>
      <c r="F913" s="270"/>
      <c r="G913" s="270"/>
      <c r="H913" s="270"/>
      <c r="I913" s="270"/>
      <c r="J913" s="270"/>
      <c r="K913" s="270"/>
      <c r="L913" s="270"/>
      <c r="M913" s="270"/>
      <c r="N913" s="190">
        <f>L622</f>
        <v>966.3472814157785</v>
      </c>
      <c r="O913" s="190"/>
      <c r="P913" s="190"/>
      <c r="Q913" s="190"/>
      <c r="R913" s="190">
        <f>P622</f>
        <v>958.2323632732292</v>
      </c>
      <c r="S913" s="190"/>
      <c r="T913" s="190"/>
      <c r="U913" s="190"/>
      <c r="V913" s="190">
        <f>T622</f>
        <v>966.3472814157785</v>
      </c>
      <c r="W913" s="190"/>
      <c r="X913" s="190"/>
      <c r="Y913" s="190"/>
      <c r="AH913" s="29"/>
      <c r="AI913" s="29"/>
      <c r="AJ913" s="29"/>
      <c r="AK913" s="29"/>
      <c r="AL913" s="29"/>
      <c r="AM913" s="29"/>
      <c r="AN913" s="29"/>
      <c r="AO913" s="29"/>
      <c r="AP913" s="29"/>
      <c r="BY913" s="20"/>
      <c r="BZ913" s="20"/>
      <c r="CA913" s="20"/>
      <c r="CB913" s="20"/>
      <c r="CC913" s="20"/>
      <c r="CD913" s="20"/>
      <c r="CE913" s="20"/>
      <c r="CF913" s="20"/>
      <c r="CG913" s="20"/>
      <c r="CH913" s="20"/>
      <c r="CI913" s="20"/>
      <c r="CJ913" s="20"/>
      <c r="CK913" s="20"/>
    </row>
    <row r="914" spans="1:42" s="27" customFormat="1" ht="19.5" customHeight="1">
      <c r="A914" s="4" t="s">
        <v>274</v>
      </c>
      <c r="B914" s="4"/>
      <c r="C914" s="4"/>
      <c r="D914" s="4"/>
      <c r="E914" s="270" t="s">
        <v>39</v>
      </c>
      <c r="F914" s="270"/>
      <c r="G914" s="270"/>
      <c r="H914" s="270"/>
      <c r="I914" s="270"/>
      <c r="J914" s="270"/>
      <c r="K914" s="270"/>
      <c r="L914" s="270"/>
      <c r="M914" s="270"/>
      <c r="N914" s="190">
        <f>N911*N912</f>
        <v>28.983752273914874</v>
      </c>
      <c r="O914" s="190"/>
      <c r="P914" s="190"/>
      <c r="Q914" s="190"/>
      <c r="R914" s="190">
        <f>R911*R912</f>
        <v>29.698724551425535</v>
      </c>
      <c r="S914" s="190"/>
      <c r="T914" s="190"/>
      <c r="U914" s="190"/>
      <c r="V914" s="190">
        <f>V911*V912</f>
        <v>28.983752273914874</v>
      </c>
      <c r="W914" s="190"/>
      <c r="X914" s="190"/>
      <c r="Y914" s="190"/>
      <c r="AH914" s="29"/>
      <c r="AI914" s="29"/>
      <c r="AJ914" s="29"/>
      <c r="AK914" s="29"/>
      <c r="AL914" s="29"/>
      <c r="AM914" s="29"/>
      <c r="AN914" s="29"/>
      <c r="AO914" s="29"/>
      <c r="AP914" s="29"/>
    </row>
    <row r="915" spans="1:42" s="27" customFormat="1" ht="19.5" customHeight="1">
      <c r="A915" s="4"/>
      <c r="B915" s="4"/>
      <c r="C915" s="4"/>
      <c r="D915" s="4"/>
      <c r="E915" s="270" t="s">
        <v>680</v>
      </c>
      <c r="F915" s="270"/>
      <c r="G915" s="270"/>
      <c r="H915" s="270"/>
      <c r="I915" s="270"/>
      <c r="J915" s="270"/>
      <c r="K915" s="270"/>
      <c r="L915" s="270"/>
      <c r="M915" s="270"/>
      <c r="N915" s="190">
        <f>N913+N914</f>
        <v>995.3310336896934</v>
      </c>
      <c r="O915" s="190"/>
      <c r="P915" s="190"/>
      <c r="Q915" s="190"/>
      <c r="R915" s="190">
        <f>R913+R914</f>
        <v>987.9310878246548</v>
      </c>
      <c r="S915" s="190"/>
      <c r="T915" s="190"/>
      <c r="U915" s="190"/>
      <c r="V915" s="190">
        <f>V913+V914</f>
        <v>995.3310336896934</v>
      </c>
      <c r="W915" s="190"/>
      <c r="X915" s="190"/>
      <c r="Y915" s="190"/>
      <c r="AH915" s="29"/>
      <c r="AI915" s="29"/>
      <c r="AJ915" s="29"/>
      <c r="AK915" s="29"/>
      <c r="AL915" s="29"/>
      <c r="AM915" s="29"/>
      <c r="AN915" s="29"/>
      <c r="AO915" s="29"/>
      <c r="AP915" s="29"/>
    </row>
    <row r="916" spans="1:44" s="27" customFormat="1" ht="19.5" customHeight="1">
      <c r="A916" s="4"/>
      <c r="B916" s="4"/>
      <c r="C916" s="4"/>
      <c r="D916" s="4"/>
      <c r="E916" s="270" t="s">
        <v>40</v>
      </c>
      <c r="F916" s="270"/>
      <c r="G916" s="270"/>
      <c r="H916" s="270"/>
      <c r="I916" s="270"/>
      <c r="J916" s="270"/>
      <c r="K916" s="270"/>
      <c r="L916" s="270"/>
      <c r="M916" s="270"/>
      <c r="N916" s="190">
        <f>$AA$874</f>
        <v>1098.8</v>
      </c>
      <c r="O916" s="190"/>
      <c r="P916" s="190"/>
      <c r="Q916" s="190"/>
      <c r="R916" s="190">
        <f>N916</f>
        <v>1098.8</v>
      </c>
      <c r="S916" s="190"/>
      <c r="T916" s="190"/>
      <c r="U916" s="190"/>
      <c r="V916" s="190">
        <f>N916</f>
        <v>1098.8</v>
      </c>
      <c r="W916" s="190"/>
      <c r="X916" s="190"/>
      <c r="Y916" s="190"/>
      <c r="AH916" s="29"/>
      <c r="AI916" s="29"/>
      <c r="AJ916" s="29"/>
      <c r="AK916" s="29"/>
      <c r="AL916" s="29"/>
      <c r="AM916" s="29"/>
      <c r="AN916" s="29"/>
      <c r="AO916" s="29"/>
      <c r="AP916" s="29"/>
      <c r="AR916" s="36"/>
    </row>
    <row r="917" spans="1:25" ht="19.5" customHeight="1">
      <c r="A917" s="4"/>
      <c r="B917" s="4"/>
      <c r="C917" s="4"/>
      <c r="D917" s="4"/>
      <c r="E917" s="270" t="s">
        <v>118</v>
      </c>
      <c r="F917" s="270"/>
      <c r="G917" s="270"/>
      <c r="H917" s="270"/>
      <c r="I917" s="270"/>
      <c r="J917" s="270"/>
      <c r="K917" s="270"/>
      <c r="L917" s="270"/>
      <c r="M917" s="270"/>
      <c r="N917" s="190" t="str">
        <f>IF(N915&lt;=N916,"O.K","N.G")</f>
        <v>O.K</v>
      </c>
      <c r="O917" s="190"/>
      <c r="P917" s="190"/>
      <c r="Q917" s="190"/>
      <c r="R917" s="190" t="str">
        <f>IF(R915&lt;=R916,"O.K","N.G")</f>
        <v>O.K</v>
      </c>
      <c r="S917" s="190"/>
      <c r="T917" s="190"/>
      <c r="U917" s="190"/>
      <c r="V917" s="190" t="str">
        <f>IF(V915&lt;=V916,"O.K","N.G")</f>
        <v>O.K</v>
      </c>
      <c r="W917" s="190"/>
      <c r="X917" s="190"/>
      <c r="Y917" s="190"/>
    </row>
    <row r="918" spans="1:25" ht="19.5" customHeight="1">
      <c r="A918" s="4"/>
      <c r="B918" s="4"/>
      <c r="C918" s="4"/>
      <c r="D918" s="4"/>
      <c r="E918" s="62"/>
      <c r="F918" s="62"/>
      <c r="G918" s="62"/>
      <c r="H918" s="62"/>
      <c r="I918" s="62"/>
      <c r="J918" s="62"/>
      <c r="K918" s="62"/>
      <c r="L918" s="62"/>
      <c r="M918" s="62"/>
      <c r="N918" s="37"/>
      <c r="O918" s="37"/>
      <c r="P918" s="37"/>
      <c r="Q918" s="37"/>
      <c r="R918" s="37"/>
      <c r="S918" s="37"/>
      <c r="T918" s="37"/>
      <c r="U918" s="37"/>
      <c r="V918" s="37"/>
      <c r="W918" s="37"/>
      <c r="X918" s="37"/>
      <c r="Y918" s="37"/>
    </row>
    <row r="919" spans="2:35" ht="19.5" customHeight="1">
      <c r="B919" s="4" t="s">
        <v>41</v>
      </c>
      <c r="C919" s="4"/>
      <c r="D919" s="4"/>
      <c r="E919" s="4"/>
      <c r="F919" s="4"/>
      <c r="G919" s="4"/>
      <c r="H919" s="4"/>
      <c r="I919" s="4"/>
      <c r="J919" s="4"/>
      <c r="K919" s="4"/>
      <c r="L919" s="4"/>
      <c r="AI919" s="92" t="s">
        <v>934</v>
      </c>
    </row>
    <row r="920" spans="2:43" ht="19.5" customHeight="1">
      <c r="B920" s="4"/>
      <c r="C920" s="4" t="str">
        <f>"・直角方向鉄筋の間隔はひび割れの分散のために "&amp;K239&amp;"mmにする。"</f>
        <v>・直角方向鉄筋の間隔はひび割れの分散のために 250mmにする。</v>
      </c>
      <c r="D920" s="4"/>
      <c r="E920" s="4"/>
      <c r="F920" s="4"/>
      <c r="G920" s="4"/>
      <c r="H920" s="4"/>
      <c r="I920" s="4"/>
      <c r="J920" s="4"/>
      <c r="K920" s="4"/>
      <c r="L920" s="4"/>
      <c r="M920" s="4"/>
      <c r="AH920" s="27"/>
      <c r="AQ920" s="29"/>
    </row>
    <row r="921" spans="2:43" ht="19.5" customHeight="1">
      <c r="B921" s="4"/>
      <c r="C921" s="4" t="s">
        <v>1124</v>
      </c>
      <c r="D921" s="4"/>
      <c r="E921" s="4"/>
      <c r="F921" s="4"/>
      <c r="G921" s="4"/>
      <c r="H921" s="4"/>
      <c r="I921" s="4"/>
      <c r="J921" s="4"/>
      <c r="K921" s="4"/>
      <c r="L921" s="4"/>
      <c r="M921" s="4"/>
      <c r="AH921" s="27"/>
      <c r="AQ921" s="29"/>
    </row>
    <row r="922" spans="2:43" ht="19.5" customHeight="1">
      <c r="B922" s="4"/>
      <c r="C922" s="4" t="s">
        <v>1178</v>
      </c>
      <c r="D922" s="4"/>
      <c r="E922" s="4"/>
      <c r="F922" s="4"/>
      <c r="G922" s="4"/>
      <c r="H922" s="4"/>
      <c r="I922" s="4"/>
      <c r="J922" s="4"/>
      <c r="K922" s="4"/>
      <c r="L922" s="4"/>
      <c r="M922" s="4"/>
      <c r="AH922" s="27"/>
      <c r="AQ922" s="29"/>
    </row>
    <row r="923" spans="2:43" ht="19.5" customHeight="1">
      <c r="B923" s="4"/>
      <c r="C923" s="4"/>
      <c r="D923" s="4" t="s">
        <v>683</v>
      </c>
      <c r="E923" s="4"/>
      <c r="F923" s="4" t="s">
        <v>684</v>
      </c>
      <c r="G923" s="4"/>
      <c r="H923" s="4"/>
      <c r="I923" s="4"/>
      <c r="J923" s="33" t="s">
        <v>1045</v>
      </c>
      <c r="K923" s="4" t="s">
        <v>685</v>
      </c>
      <c r="L923" s="4"/>
      <c r="M923" s="4"/>
      <c r="AH923" s="27"/>
      <c r="AQ923" s="29"/>
    </row>
    <row r="924" spans="2:43" ht="19.5" customHeight="1">
      <c r="B924" s="4"/>
      <c r="C924" s="4"/>
      <c r="D924" s="4"/>
      <c r="E924" s="4" t="s">
        <v>1045</v>
      </c>
      <c r="F924" s="30" t="s">
        <v>686</v>
      </c>
      <c r="G924" s="4"/>
      <c r="H924" s="27" t="s">
        <v>1046</v>
      </c>
      <c r="I924" s="241">
        <v>1000</v>
      </c>
      <c r="J924" s="241"/>
      <c r="K924" s="241"/>
      <c r="L924" s="27" t="s">
        <v>1046</v>
      </c>
      <c r="M924" s="38">
        <f>AD931</f>
        <v>665.6442694480637</v>
      </c>
      <c r="N924" s="38"/>
      <c r="O924" s="38"/>
      <c r="P924" s="27" t="s">
        <v>1046</v>
      </c>
      <c r="Q924" s="38">
        <f>W721</f>
        <v>-9.744409281009139</v>
      </c>
      <c r="R924" s="38"/>
      <c r="S924" s="38"/>
      <c r="T924" s="39" t="s">
        <v>687</v>
      </c>
      <c r="U924" s="38">
        <f>AB927</f>
        <v>140</v>
      </c>
      <c r="V924" s="38"/>
      <c r="W924" s="38"/>
      <c r="X924" s="27" t="s">
        <v>1045</v>
      </c>
      <c r="Y924" s="38">
        <f>1/2*I924*M924*Q924/U924</f>
        <v>-23165.3935609295</v>
      </c>
      <c r="Z924" s="38"/>
      <c r="AA924" s="38"/>
      <c r="AB924" s="27" t="s">
        <v>688</v>
      </c>
      <c r="AH924" s="27"/>
      <c r="AQ924" s="29"/>
    </row>
    <row r="925" spans="1:26" ht="19.5" customHeight="1">
      <c r="A925" s="4"/>
      <c r="B925" s="4"/>
      <c r="D925" s="4" t="s">
        <v>929</v>
      </c>
      <c r="F925" s="4"/>
      <c r="G925" s="4"/>
      <c r="H925" s="4" t="s">
        <v>689</v>
      </c>
      <c r="I925" s="4"/>
      <c r="K925" s="4" t="s">
        <v>1179</v>
      </c>
      <c r="L925" s="4"/>
      <c r="Z925" s="27" t="s">
        <v>690</v>
      </c>
    </row>
    <row r="926" spans="1:26" ht="19.5" customHeight="1">
      <c r="A926" s="4"/>
      <c r="B926" s="4"/>
      <c r="C926" s="4"/>
      <c r="D926" s="4"/>
      <c r="F926" s="4"/>
      <c r="G926" s="4"/>
      <c r="H926" s="4" t="s">
        <v>691</v>
      </c>
      <c r="I926" s="4"/>
      <c r="K926" s="4" t="s">
        <v>1180</v>
      </c>
      <c r="L926" s="4"/>
      <c r="Z926" s="27" t="s">
        <v>692</v>
      </c>
    </row>
    <row r="927" spans="1:31" ht="19.5" customHeight="1">
      <c r="A927" s="4"/>
      <c r="B927" s="4"/>
      <c r="C927" s="4"/>
      <c r="D927" s="4"/>
      <c r="F927" s="4"/>
      <c r="G927" s="4"/>
      <c r="H927" s="4" t="s">
        <v>693</v>
      </c>
      <c r="I927" s="4"/>
      <c r="K927" s="4" t="s">
        <v>1181</v>
      </c>
      <c r="L927" s="4"/>
      <c r="Z927" s="27" t="s">
        <v>694</v>
      </c>
      <c r="AB927" s="40">
        <f>Q950</f>
        <v>140</v>
      </c>
      <c r="AC927" s="38"/>
      <c r="AD927" s="38"/>
      <c r="AE927" s="29" t="s">
        <v>695</v>
      </c>
    </row>
    <row r="928" spans="1:26" ht="19.5" customHeight="1">
      <c r="A928" s="4"/>
      <c r="B928" s="4"/>
      <c r="D928" s="4"/>
      <c r="F928" s="4"/>
      <c r="G928" s="4"/>
      <c r="H928" s="4" t="s">
        <v>696</v>
      </c>
      <c r="I928" s="4"/>
      <c r="K928" s="4" t="s">
        <v>1182</v>
      </c>
      <c r="L928" s="4"/>
      <c r="Z928" s="27" t="s">
        <v>634</v>
      </c>
    </row>
    <row r="929" spans="1:26" ht="19.5" customHeight="1">
      <c r="A929" s="4"/>
      <c r="B929" s="4"/>
      <c r="C929" s="4"/>
      <c r="D929" s="4"/>
      <c r="F929" s="4"/>
      <c r="G929" s="4"/>
      <c r="H929" s="4" t="s">
        <v>635</v>
      </c>
      <c r="I929" s="4"/>
      <c r="K929" s="4" t="s">
        <v>1183</v>
      </c>
      <c r="L929" s="4"/>
      <c r="Z929" s="27" t="s">
        <v>634</v>
      </c>
    </row>
    <row r="930" spans="1:13" ht="19.5" customHeight="1">
      <c r="A930" s="4"/>
      <c r="B930" s="4"/>
      <c r="C930" s="4"/>
      <c r="D930" s="4"/>
      <c r="E930" s="4"/>
      <c r="F930" s="4"/>
      <c r="G930" s="4"/>
      <c r="H930" s="4"/>
      <c r="I930" s="4"/>
      <c r="J930" s="4"/>
      <c r="K930" s="4"/>
      <c r="L930" s="4" t="s">
        <v>635</v>
      </c>
      <c r="M930" s="85" t="s">
        <v>636</v>
      </c>
    </row>
    <row r="931" spans="1:33" ht="19.5" customHeight="1">
      <c r="A931" s="4"/>
      <c r="B931" s="4"/>
      <c r="C931" s="4" t="s">
        <v>697</v>
      </c>
      <c r="D931" s="4"/>
      <c r="E931" s="4"/>
      <c r="F931" s="4"/>
      <c r="G931" s="4"/>
      <c r="H931" s="4"/>
      <c r="I931" s="4"/>
      <c r="J931" s="4"/>
      <c r="K931" s="4"/>
      <c r="L931" s="4"/>
      <c r="M931" s="27" t="s">
        <v>637</v>
      </c>
      <c r="N931" s="40">
        <f>-AC240</f>
        <v>-300</v>
      </c>
      <c r="O931" s="38"/>
      <c r="P931" s="38"/>
      <c r="Q931" s="27" t="s">
        <v>638</v>
      </c>
      <c r="R931" s="38">
        <f>W721</f>
        <v>-9.744409281009139</v>
      </c>
      <c r="S931" s="38"/>
      <c r="T931" s="39" t="s">
        <v>639</v>
      </c>
      <c r="U931" s="27" t="s">
        <v>640</v>
      </c>
      <c r="V931" s="38">
        <f>W720</f>
        <v>-5.352689982160985</v>
      </c>
      <c r="W931" s="38"/>
      <c r="X931" s="38"/>
      <c r="Y931" s="27" t="s">
        <v>641</v>
      </c>
      <c r="Z931" s="38">
        <f>R931</f>
        <v>-9.744409281009139</v>
      </c>
      <c r="AA931" s="38"/>
      <c r="AB931" s="38" t="s">
        <v>642</v>
      </c>
      <c r="AC931" s="27" t="s">
        <v>637</v>
      </c>
      <c r="AD931" s="38">
        <f>N931*R931/(V931-Z931)</f>
        <v>665.6442694480637</v>
      </c>
      <c r="AE931" s="38"/>
      <c r="AF931" s="38"/>
      <c r="AG931" s="27" t="s">
        <v>643</v>
      </c>
    </row>
    <row r="932" spans="1:26" ht="19.5" customHeight="1">
      <c r="A932" s="4"/>
      <c r="B932" s="4"/>
      <c r="C932" s="4"/>
      <c r="D932" s="4"/>
      <c r="F932" s="4"/>
      <c r="G932" s="4"/>
      <c r="H932" s="4" t="s">
        <v>644</v>
      </c>
      <c r="I932" s="4"/>
      <c r="J932" s="4"/>
      <c r="K932" s="4" t="s">
        <v>645</v>
      </c>
      <c r="L932" s="4"/>
      <c r="Z932" s="29" t="s">
        <v>646</v>
      </c>
    </row>
    <row r="933" spans="1:26" ht="19.5" customHeight="1">
      <c r="A933" s="4"/>
      <c r="B933" s="4"/>
      <c r="C933" s="4"/>
      <c r="D933" s="4"/>
      <c r="F933" s="4"/>
      <c r="G933" s="4"/>
      <c r="H933" s="4" t="s">
        <v>647</v>
      </c>
      <c r="I933" s="4"/>
      <c r="J933" s="4"/>
      <c r="K933" s="4" t="s">
        <v>1184</v>
      </c>
      <c r="L933" s="4"/>
      <c r="Z933" s="29" t="s">
        <v>648</v>
      </c>
    </row>
    <row r="934" spans="1:26" ht="19.5" customHeight="1">
      <c r="A934" s="4"/>
      <c r="B934" s="4"/>
      <c r="C934" s="4"/>
      <c r="D934" s="4"/>
      <c r="F934" s="4"/>
      <c r="G934" s="4"/>
      <c r="H934" s="4" t="s">
        <v>649</v>
      </c>
      <c r="I934" s="4"/>
      <c r="J934" s="4"/>
      <c r="K934" s="4" t="s">
        <v>85</v>
      </c>
      <c r="L934" s="4"/>
      <c r="Z934" s="27" t="s">
        <v>650</v>
      </c>
    </row>
    <row r="935" spans="1:12" ht="19.5" customHeight="1">
      <c r="A935" s="4"/>
      <c r="C935" s="4" t="s">
        <v>86</v>
      </c>
      <c r="D935" s="4"/>
      <c r="E935" s="4"/>
      <c r="F935" s="4"/>
      <c r="G935" s="4"/>
      <c r="H935" s="4"/>
      <c r="I935" s="4"/>
      <c r="J935" s="4"/>
      <c r="K935" s="4"/>
      <c r="L935" s="4"/>
    </row>
    <row r="936" spans="1:28" ht="19.5" customHeight="1">
      <c r="A936" s="4"/>
      <c r="B936" s="4"/>
      <c r="C936" s="4"/>
      <c r="D936" s="104" t="s">
        <v>698</v>
      </c>
      <c r="E936" s="104"/>
      <c r="F936" s="104"/>
      <c r="G936" s="33" t="s">
        <v>1045</v>
      </c>
      <c r="H936" s="4" t="s">
        <v>699</v>
      </c>
      <c r="I936" s="4"/>
      <c r="L936" s="4" t="s">
        <v>1045</v>
      </c>
      <c r="M936" s="19">
        <v>0.005</v>
      </c>
      <c r="N936" s="160"/>
      <c r="O936" s="160"/>
      <c r="P936" s="27" t="s">
        <v>1046</v>
      </c>
      <c r="Q936" s="236">
        <v>1000</v>
      </c>
      <c r="R936" s="236"/>
      <c r="S936" s="236"/>
      <c r="T936" s="27" t="s">
        <v>1046</v>
      </c>
      <c r="U936" s="38">
        <f>AD931</f>
        <v>665.6442694480637</v>
      </c>
      <c r="V936" s="38"/>
      <c r="W936" s="38"/>
      <c r="X936" s="27" t="s">
        <v>1045</v>
      </c>
      <c r="Y936" s="38">
        <f>M936*Q936*U936</f>
        <v>3328.2213472403187</v>
      </c>
      <c r="Z936" s="38"/>
      <c r="AA936" s="38"/>
      <c r="AB936" s="27" t="s">
        <v>688</v>
      </c>
    </row>
    <row r="937" spans="1:26" ht="19.5" customHeight="1">
      <c r="A937" s="4"/>
      <c r="B937" s="4"/>
      <c r="D937" s="4" t="s">
        <v>929</v>
      </c>
      <c r="F937" s="4"/>
      <c r="H937" s="100" t="s">
        <v>698</v>
      </c>
      <c r="I937" s="4"/>
      <c r="J937" s="4"/>
      <c r="K937" s="4" t="s">
        <v>87</v>
      </c>
      <c r="L937" s="4"/>
      <c r="Z937" s="27" t="s">
        <v>700</v>
      </c>
    </row>
    <row r="938" spans="1:26" ht="19.5" customHeight="1">
      <c r="A938" s="4"/>
      <c r="B938" s="4"/>
      <c r="C938" s="4"/>
      <c r="D938" s="4"/>
      <c r="F938" s="4"/>
      <c r="H938" s="4" t="s">
        <v>701</v>
      </c>
      <c r="I938" s="4"/>
      <c r="J938" s="4"/>
      <c r="K938" s="4" t="s">
        <v>88</v>
      </c>
      <c r="L938" s="4"/>
      <c r="Z938" s="27" t="s">
        <v>702</v>
      </c>
    </row>
    <row r="939" spans="1:26" ht="19.5" customHeight="1">
      <c r="A939" s="4"/>
      <c r="B939" s="4"/>
      <c r="C939" s="4"/>
      <c r="D939" s="4"/>
      <c r="F939" s="4"/>
      <c r="H939" s="4" t="s">
        <v>703</v>
      </c>
      <c r="I939" s="4"/>
      <c r="J939" s="4"/>
      <c r="K939" s="4" t="s">
        <v>89</v>
      </c>
      <c r="L939" s="4"/>
      <c r="Z939" s="27" t="s">
        <v>634</v>
      </c>
    </row>
    <row r="940" spans="1:12" ht="19.5" customHeight="1">
      <c r="A940" s="4"/>
      <c r="B940" s="4"/>
      <c r="C940" s="4"/>
      <c r="D940" s="4"/>
      <c r="F940" s="4"/>
      <c r="H940" s="4"/>
      <c r="I940" s="4"/>
      <c r="J940" s="4"/>
      <c r="K940" s="4"/>
      <c r="L940" s="4"/>
    </row>
    <row r="941" spans="2:43" ht="19.5" customHeight="1">
      <c r="B941" s="4"/>
      <c r="C941" s="4"/>
      <c r="D941" s="4" t="s">
        <v>704</v>
      </c>
      <c r="F941" s="4"/>
      <c r="G941" s="4"/>
      <c r="H941" s="4"/>
      <c r="I941" s="4"/>
      <c r="J941" s="4"/>
      <c r="K941" s="4"/>
      <c r="L941" s="4"/>
      <c r="M941" s="4"/>
      <c r="AH941" s="27"/>
      <c r="AQ941" s="29"/>
    </row>
    <row r="942" spans="2:43" ht="19.5" customHeight="1">
      <c r="B942" s="4" t="s">
        <v>697</v>
      </c>
      <c r="C942" s="4"/>
      <c r="D942" s="4" t="s">
        <v>91</v>
      </c>
      <c r="F942" s="4"/>
      <c r="G942" s="4"/>
      <c r="H942" s="4"/>
      <c r="I942" s="4" t="s">
        <v>705</v>
      </c>
      <c r="J942" s="4"/>
      <c r="K942" s="38">
        <f>AI244</f>
        <v>2292</v>
      </c>
      <c r="L942" s="38"/>
      <c r="M942" s="38"/>
      <c r="N942" s="27" t="s">
        <v>688</v>
      </c>
      <c r="Q942" s="27" t="str">
        <f>IF(K942&lt;=V942,"＜","＞")</f>
        <v>＜</v>
      </c>
      <c r="S942" s="235" t="s">
        <v>706</v>
      </c>
      <c r="T942" s="235"/>
      <c r="U942" s="235"/>
      <c r="V942" s="237">
        <f>MAX(Y936,Y924)</f>
        <v>3328.2213472403187</v>
      </c>
      <c r="W942" s="237"/>
      <c r="X942" s="237"/>
      <c r="Y942" s="27" t="s">
        <v>688</v>
      </c>
      <c r="AC942" s="27" t="str">
        <f>IF(K942&gt;=V942,"O.K","N.G")</f>
        <v>N.G</v>
      </c>
      <c r="AH942" s="27"/>
      <c r="AQ942" s="29"/>
    </row>
    <row r="943" spans="2:43" ht="19.5" customHeight="1">
      <c r="B943" s="4"/>
      <c r="C943" s="4"/>
      <c r="D943" s="4"/>
      <c r="E943" s="4"/>
      <c r="F943" s="4"/>
      <c r="G943" s="4"/>
      <c r="H943" s="4"/>
      <c r="I943" s="4"/>
      <c r="J943" s="4"/>
      <c r="K943" s="4"/>
      <c r="L943" s="4"/>
      <c r="M943" s="4"/>
      <c r="AH943" s="27"/>
      <c r="AQ943" s="29"/>
    </row>
    <row r="944" spans="2:43" ht="19.5" customHeight="1">
      <c r="B944" s="4"/>
      <c r="E944" s="4" t="s">
        <v>92</v>
      </c>
      <c r="F944" s="4"/>
      <c r="G944" s="4"/>
      <c r="H944" s="4"/>
      <c r="I944" s="4"/>
      <c r="J944" s="4"/>
      <c r="K944" s="4"/>
      <c r="L944" s="4"/>
      <c r="M944" s="4"/>
      <c r="N944" s="4"/>
      <c r="AH944" s="27"/>
      <c r="AI944" s="27"/>
      <c r="AJ944" s="27"/>
      <c r="AK944" s="27"/>
      <c r="AL944" s="27"/>
      <c r="AM944" s="27"/>
      <c r="AQ944" s="29"/>
    </row>
    <row r="945" spans="2:43" ht="19.5" customHeight="1">
      <c r="B945" s="4"/>
      <c r="E945" s="183" t="s">
        <v>1021</v>
      </c>
      <c r="F945" s="183"/>
      <c r="G945" s="183"/>
      <c r="H945" s="183"/>
      <c r="I945" s="183"/>
      <c r="J945" s="183"/>
      <c r="K945" s="183"/>
      <c r="L945" s="183"/>
      <c r="M945" s="183"/>
      <c r="N945" s="183"/>
      <c r="O945" s="183"/>
      <c r="P945" s="183"/>
      <c r="Q945" s="204" t="s">
        <v>707</v>
      </c>
      <c r="R945" s="204"/>
      <c r="S945" s="204"/>
      <c r="T945" s="204"/>
      <c r="U945" s="204" t="s">
        <v>708</v>
      </c>
      <c r="V945" s="204"/>
      <c r="W945" s="204"/>
      <c r="X945" s="204"/>
      <c r="Y945" s="204" t="s">
        <v>709</v>
      </c>
      <c r="Z945" s="204"/>
      <c r="AA945" s="204"/>
      <c r="AB945" s="204"/>
      <c r="AH945" s="27"/>
      <c r="AI945" s="27"/>
      <c r="AJ945" s="27"/>
      <c r="AK945" s="27"/>
      <c r="AL945" s="27"/>
      <c r="AM945" s="27"/>
      <c r="AQ945" s="29"/>
    </row>
    <row r="946" spans="2:43" ht="19.5" customHeight="1">
      <c r="B946" s="4"/>
      <c r="E946" s="183" t="s">
        <v>93</v>
      </c>
      <c r="F946" s="183"/>
      <c r="G946" s="183"/>
      <c r="H946" s="183"/>
      <c r="I946" s="183"/>
      <c r="J946" s="183"/>
      <c r="K946" s="183"/>
      <c r="L946" s="183"/>
      <c r="M946" s="204" t="s">
        <v>710</v>
      </c>
      <c r="N946" s="204"/>
      <c r="O946" s="204"/>
      <c r="P946" s="204"/>
      <c r="Q946" s="190">
        <f>I255</f>
        <v>2292</v>
      </c>
      <c r="R946" s="190"/>
      <c r="S946" s="190"/>
      <c r="T946" s="190"/>
      <c r="U946" s="190">
        <f>AI244</f>
        <v>2292</v>
      </c>
      <c r="V946" s="190"/>
      <c r="W946" s="190"/>
      <c r="X946" s="190"/>
      <c r="Y946" s="190">
        <f>I255</f>
        <v>2292</v>
      </c>
      <c r="Z946" s="190"/>
      <c r="AA946" s="190"/>
      <c r="AB946" s="190"/>
      <c r="AH946" s="27"/>
      <c r="AI946" s="27"/>
      <c r="AJ946" s="27"/>
      <c r="AK946" s="27"/>
      <c r="AL946" s="27"/>
      <c r="AM946" s="27"/>
      <c r="AQ946" s="29"/>
    </row>
    <row r="947" spans="2:43" ht="19.5" customHeight="1">
      <c r="B947" s="4"/>
      <c r="E947" s="221" t="s">
        <v>918</v>
      </c>
      <c r="F947" s="222"/>
      <c r="G947" s="222"/>
      <c r="H947" s="222"/>
      <c r="I947" s="222"/>
      <c r="J947" s="183" t="s">
        <v>1008</v>
      </c>
      <c r="K947" s="183"/>
      <c r="L947" s="183"/>
      <c r="M947" s="253" t="s">
        <v>447</v>
      </c>
      <c r="N947" s="204"/>
      <c r="O947" s="204"/>
      <c r="P947" s="204"/>
      <c r="Q947" s="190">
        <f>S720</f>
        <v>-7.089366979866094</v>
      </c>
      <c r="R947" s="190"/>
      <c r="S947" s="190"/>
      <c r="T947" s="190"/>
      <c r="U947" s="190">
        <f>W720</f>
        <v>-5.352689982160985</v>
      </c>
      <c r="V947" s="190"/>
      <c r="W947" s="190"/>
      <c r="X947" s="190"/>
      <c r="Y947" s="190">
        <f>AA720</f>
        <v>-7.089366979866094</v>
      </c>
      <c r="Z947" s="190"/>
      <c r="AA947" s="190"/>
      <c r="AB947" s="190"/>
      <c r="AH947" s="27"/>
      <c r="AI947" s="27"/>
      <c r="AJ947" s="27"/>
      <c r="AK947" s="27"/>
      <c r="AL947" s="27"/>
      <c r="AM947" s="27"/>
      <c r="AQ947" s="29"/>
    </row>
    <row r="948" spans="2:43" ht="19.5" customHeight="1">
      <c r="B948" s="4"/>
      <c r="E948" s="57"/>
      <c r="F948" s="58"/>
      <c r="G948" s="58"/>
      <c r="H948" s="29"/>
      <c r="I948" s="59"/>
      <c r="J948" s="183" t="s">
        <v>1010</v>
      </c>
      <c r="K948" s="183"/>
      <c r="L948" s="183"/>
      <c r="M948" s="253" t="s">
        <v>447</v>
      </c>
      <c r="N948" s="204"/>
      <c r="O948" s="204"/>
      <c r="P948" s="204"/>
      <c r="Q948" s="190">
        <f>S721</f>
        <v>1.7199791625837801</v>
      </c>
      <c r="R948" s="190"/>
      <c r="S948" s="190"/>
      <c r="T948" s="190"/>
      <c r="U948" s="190">
        <f>W721</f>
        <v>-9.744409281009139</v>
      </c>
      <c r="V948" s="190"/>
      <c r="W948" s="190"/>
      <c r="X948" s="190"/>
      <c r="Y948" s="190">
        <f>AA721</f>
        <v>1.7199791625837801</v>
      </c>
      <c r="Z948" s="190"/>
      <c r="AA948" s="190"/>
      <c r="AB948" s="190"/>
      <c r="AH948" s="27"/>
      <c r="AI948" s="27"/>
      <c r="AJ948" s="27"/>
      <c r="AK948" s="27"/>
      <c r="AL948" s="27"/>
      <c r="AM948" s="27"/>
      <c r="AQ948" s="29"/>
    </row>
    <row r="949" spans="2:43" ht="19.5" customHeight="1">
      <c r="B949" s="4"/>
      <c r="E949" s="57"/>
      <c r="F949" s="58"/>
      <c r="G949" s="58"/>
      <c r="H949" s="58"/>
      <c r="I949" s="59"/>
      <c r="J949" s="253" t="s">
        <v>711</v>
      </c>
      <c r="K949" s="204"/>
      <c r="L949" s="204"/>
      <c r="M949" s="204" t="s">
        <v>441</v>
      </c>
      <c r="N949" s="204"/>
      <c r="O949" s="204"/>
      <c r="P949" s="204"/>
      <c r="Q949" s="190">
        <f>-$AC$255*Q947/(Q948-Q947)</f>
        <v>305.8069700959585</v>
      </c>
      <c r="R949" s="190"/>
      <c r="S949" s="190"/>
      <c r="T949" s="190"/>
      <c r="U949" s="190">
        <f>-$AC$240*U948/(U947-U948)</f>
        <v>665.6442694480637</v>
      </c>
      <c r="V949" s="190"/>
      <c r="W949" s="190"/>
      <c r="X949" s="190"/>
      <c r="Y949" s="190">
        <f>-$AC$255*Y947/(Y948-Y947)</f>
        <v>305.8069700959585</v>
      </c>
      <c r="Z949" s="190"/>
      <c r="AA949" s="190"/>
      <c r="AB949" s="190"/>
      <c r="AH949" s="27"/>
      <c r="AI949" s="27"/>
      <c r="AJ949" s="27"/>
      <c r="AK949" s="27"/>
      <c r="AL949" s="27"/>
      <c r="AM949" s="27"/>
      <c r="AQ949" s="29"/>
    </row>
    <row r="950" spans="2:43" ht="19.5" customHeight="1">
      <c r="B950" s="4"/>
      <c r="E950" s="57"/>
      <c r="F950" s="58"/>
      <c r="G950" s="58"/>
      <c r="H950" s="58"/>
      <c r="I950" s="59"/>
      <c r="J950" s="283" t="s">
        <v>712</v>
      </c>
      <c r="K950" s="284"/>
      <c r="L950" s="253"/>
      <c r="M950" s="253" t="s">
        <v>447</v>
      </c>
      <c r="N950" s="204"/>
      <c r="O950" s="204"/>
      <c r="P950" s="204"/>
      <c r="Q950" s="377">
        <v>140</v>
      </c>
      <c r="R950" s="378"/>
      <c r="S950" s="378"/>
      <c r="T950" s="379"/>
      <c r="U950" s="190">
        <f>Q950</f>
        <v>140</v>
      </c>
      <c r="V950" s="190"/>
      <c r="W950" s="190"/>
      <c r="X950" s="190"/>
      <c r="Y950" s="190">
        <f>Q950</f>
        <v>140</v>
      </c>
      <c r="Z950" s="190"/>
      <c r="AA950" s="190"/>
      <c r="AB950" s="190"/>
      <c r="AH950" s="27"/>
      <c r="AI950" s="27"/>
      <c r="AJ950" s="27"/>
      <c r="AK950" s="27"/>
      <c r="AL950" s="27"/>
      <c r="AM950" s="27"/>
      <c r="AQ950" s="29"/>
    </row>
    <row r="951" spans="2:43" ht="19.5" customHeight="1">
      <c r="B951" s="4"/>
      <c r="E951" s="57"/>
      <c r="F951" s="58"/>
      <c r="G951" s="58"/>
      <c r="H951" s="58"/>
      <c r="I951" s="59"/>
      <c r="J951" s="253" t="s">
        <v>713</v>
      </c>
      <c r="K951" s="204"/>
      <c r="L951" s="204"/>
      <c r="M951" s="204" t="s">
        <v>710</v>
      </c>
      <c r="N951" s="204"/>
      <c r="O951" s="204"/>
      <c r="P951" s="204"/>
      <c r="Q951" s="190">
        <f>1/2*1000*Q949*Q947/Q950</f>
        <v>-7742.777985754236</v>
      </c>
      <c r="R951" s="190"/>
      <c r="S951" s="190"/>
      <c r="T951" s="190"/>
      <c r="U951" s="190">
        <f>1/2*1000*U949*U948/U950</f>
        <v>-23165.3935609295</v>
      </c>
      <c r="V951" s="190"/>
      <c r="W951" s="190"/>
      <c r="X951" s="190"/>
      <c r="Y951" s="190">
        <f>1/2*1000*Y949*Y947/Y950</f>
        <v>-7742.777985754236</v>
      </c>
      <c r="Z951" s="190"/>
      <c r="AA951" s="190"/>
      <c r="AB951" s="190"/>
      <c r="AH951" s="27"/>
      <c r="AI951" s="27"/>
      <c r="AJ951" s="27"/>
      <c r="AK951" s="27"/>
      <c r="AL951" s="27"/>
      <c r="AM951" s="27"/>
      <c r="AQ951" s="29"/>
    </row>
    <row r="952" spans="2:43" ht="19.5" customHeight="1">
      <c r="B952" s="4"/>
      <c r="E952" s="57"/>
      <c r="F952" s="58"/>
      <c r="G952" s="58"/>
      <c r="H952" s="58"/>
      <c r="I952" s="59"/>
      <c r="J952" s="253" t="s">
        <v>714</v>
      </c>
      <c r="K952" s="204"/>
      <c r="L952" s="204"/>
      <c r="M952" s="204" t="s">
        <v>710</v>
      </c>
      <c r="N952" s="204"/>
      <c r="O952" s="204"/>
      <c r="P952" s="204"/>
      <c r="Q952" s="190">
        <f>0.005*1000*Q949</f>
        <v>1529.0348504797926</v>
      </c>
      <c r="R952" s="190"/>
      <c r="S952" s="190"/>
      <c r="T952" s="190"/>
      <c r="U952" s="190">
        <f>0.005*1000*U949</f>
        <v>3328.2213472403187</v>
      </c>
      <c r="V952" s="190"/>
      <c r="W952" s="190"/>
      <c r="X952" s="190"/>
      <c r="Y952" s="190">
        <f>0.005*1000*Y949</f>
        <v>1529.0348504797926</v>
      </c>
      <c r="Z952" s="190"/>
      <c r="AA952" s="190"/>
      <c r="AB952" s="190"/>
      <c r="AH952" s="27"/>
      <c r="AI952" s="27"/>
      <c r="AJ952" s="27"/>
      <c r="AK952" s="27"/>
      <c r="AL952" s="27"/>
      <c r="AM952" s="27"/>
      <c r="AQ952" s="29"/>
    </row>
    <row r="953" spans="2:43" ht="19.5" customHeight="1">
      <c r="B953" s="4"/>
      <c r="E953" s="60"/>
      <c r="F953" s="52"/>
      <c r="G953" s="52"/>
      <c r="H953" s="52"/>
      <c r="I953" s="61"/>
      <c r="J953" s="232" t="s">
        <v>144</v>
      </c>
      <c r="K953" s="232"/>
      <c r="L953" s="232"/>
      <c r="M953" s="232"/>
      <c r="N953" s="232"/>
      <c r="O953" s="232"/>
      <c r="P953" s="233"/>
      <c r="Q953" s="190" t="str">
        <f>IF(Q946&gt;=MAX(Q951,Q952),"O.K","N.G")</f>
        <v>O.K</v>
      </c>
      <c r="R953" s="190"/>
      <c r="S953" s="190"/>
      <c r="T953" s="190"/>
      <c r="U953" s="190" t="str">
        <f>IF(U946&gt;=MAX(U951,U952),"O.K","N.G")</f>
        <v>N.G</v>
      </c>
      <c r="V953" s="190"/>
      <c r="W953" s="190"/>
      <c r="X953" s="190"/>
      <c r="Y953" s="190" t="str">
        <f>IF(Y946&gt;=MAX(Y951,Y952),"O.K","N.G")</f>
        <v>O.K</v>
      </c>
      <c r="Z953" s="190"/>
      <c r="AA953" s="190"/>
      <c r="AB953" s="190"/>
      <c r="AH953" s="27"/>
      <c r="AI953" s="27"/>
      <c r="AJ953" s="27"/>
      <c r="AK953" s="27"/>
      <c r="AL953" s="27"/>
      <c r="AM953" s="27"/>
      <c r="AQ953" s="29"/>
    </row>
    <row r="954" spans="2:43" ht="19.5" customHeight="1">
      <c r="B954" s="4"/>
      <c r="E954" s="221" t="s">
        <v>970</v>
      </c>
      <c r="F954" s="222"/>
      <c r="G954" s="222"/>
      <c r="H954" s="222"/>
      <c r="I954" s="223"/>
      <c r="J954" s="183" t="s">
        <v>1008</v>
      </c>
      <c r="K954" s="183"/>
      <c r="L954" s="183"/>
      <c r="M954" s="253" t="s">
        <v>667</v>
      </c>
      <c r="N954" s="204"/>
      <c r="O954" s="204"/>
      <c r="P954" s="204"/>
      <c r="Q954" s="190">
        <f>IF(S724&gt;=S728,S724,S728)</f>
        <v>-7.063432769339778</v>
      </c>
      <c r="R954" s="190"/>
      <c r="S954" s="190"/>
      <c r="T954" s="190"/>
      <c r="U954" s="190">
        <f>IF(U955=W725,W724,W728)</f>
        <v>-5.352689982160985</v>
      </c>
      <c r="V954" s="190"/>
      <c r="W954" s="190"/>
      <c r="X954" s="190"/>
      <c r="Y954" s="190">
        <f>IF(AA724&gt;=AA728,AA724,AA728)</f>
        <v>-7.063432769339778</v>
      </c>
      <c r="Z954" s="190"/>
      <c r="AA954" s="190"/>
      <c r="AB954" s="190"/>
      <c r="AH954" s="27"/>
      <c r="AI954" s="27"/>
      <c r="AJ954" s="27"/>
      <c r="AK954" s="27"/>
      <c r="AL954" s="27"/>
      <c r="AM954" s="27"/>
      <c r="AQ954" s="29"/>
    </row>
    <row r="955" spans="2:43" ht="19.5" customHeight="1">
      <c r="B955" s="4"/>
      <c r="E955" s="57"/>
      <c r="F955" s="58"/>
      <c r="G955" s="58"/>
      <c r="H955" s="29"/>
      <c r="I955" s="59"/>
      <c r="J955" s="183" t="s">
        <v>1010</v>
      </c>
      <c r="K955" s="183"/>
      <c r="L955" s="183"/>
      <c r="M955" s="253" t="s">
        <v>667</v>
      </c>
      <c r="N955" s="204"/>
      <c r="O955" s="204"/>
      <c r="P955" s="204"/>
      <c r="Q955" s="190">
        <f>IF(Q954=S724,S725,S729)</f>
        <v>-1.761214415885218</v>
      </c>
      <c r="R955" s="190"/>
      <c r="S955" s="190"/>
      <c r="T955" s="190"/>
      <c r="U955" s="190">
        <f>IF(W725&gt;=W729,W725,W729)</f>
        <v>-5.765346310169246</v>
      </c>
      <c r="V955" s="190"/>
      <c r="W955" s="190"/>
      <c r="X955" s="190"/>
      <c r="Y955" s="190">
        <f>IF(Y954=AA724,AA725,AA729)</f>
        <v>-1.761214415885218</v>
      </c>
      <c r="Z955" s="190"/>
      <c r="AA955" s="190"/>
      <c r="AB955" s="190"/>
      <c r="AH955" s="27"/>
      <c r="AI955" s="27"/>
      <c r="AJ955" s="27"/>
      <c r="AK955" s="27"/>
      <c r="AL955" s="27"/>
      <c r="AM955" s="27"/>
      <c r="AQ955" s="29"/>
    </row>
    <row r="956" spans="2:43" ht="19.5" customHeight="1">
      <c r="B956" s="4"/>
      <c r="E956" s="57"/>
      <c r="F956" s="58"/>
      <c r="G956" s="58"/>
      <c r="H956" s="58"/>
      <c r="I956" s="59"/>
      <c r="J956" s="253" t="s">
        <v>715</v>
      </c>
      <c r="K956" s="204"/>
      <c r="L956" s="204"/>
      <c r="M956" s="204" t="s">
        <v>661</v>
      </c>
      <c r="N956" s="204"/>
      <c r="O956" s="204"/>
      <c r="P956" s="204"/>
      <c r="Q956" s="190">
        <f>-$AC$255*Q954/(Q955-Q954)</f>
        <v>506.2229190543122</v>
      </c>
      <c r="R956" s="190"/>
      <c r="S956" s="190"/>
      <c r="T956" s="190"/>
      <c r="U956" s="190">
        <f>-$AC$240*U955/(U954-U955)</f>
        <v>4191.390694040563</v>
      </c>
      <c r="V956" s="190"/>
      <c r="W956" s="190"/>
      <c r="X956" s="190"/>
      <c r="Y956" s="190">
        <f>-$AC$255*Y954/(Y955-Y954)</f>
        <v>506.2229190543122</v>
      </c>
      <c r="Z956" s="190"/>
      <c r="AA956" s="190"/>
      <c r="AB956" s="190"/>
      <c r="AH956" s="27"/>
      <c r="AI956" s="27"/>
      <c r="AJ956" s="27"/>
      <c r="AK956" s="27"/>
      <c r="AL956" s="27"/>
      <c r="AM956" s="27"/>
      <c r="AQ956" s="29"/>
    </row>
    <row r="957" spans="2:43" ht="19.5" customHeight="1">
      <c r="B957" s="4"/>
      <c r="E957" s="57"/>
      <c r="F957" s="58"/>
      <c r="G957" s="58"/>
      <c r="H957" s="58"/>
      <c r="I957" s="59"/>
      <c r="J957" s="283" t="s">
        <v>693</v>
      </c>
      <c r="K957" s="284"/>
      <c r="L957" s="253"/>
      <c r="M957" s="253" t="s">
        <v>667</v>
      </c>
      <c r="N957" s="204"/>
      <c r="O957" s="204"/>
      <c r="P957" s="204"/>
      <c r="Q957" s="190">
        <f>Q950*1.25</f>
        <v>175</v>
      </c>
      <c r="R957" s="190"/>
      <c r="S957" s="190"/>
      <c r="T957" s="190"/>
      <c r="U957" s="190">
        <f>Q957</f>
        <v>175</v>
      </c>
      <c r="V957" s="190"/>
      <c r="W957" s="190"/>
      <c r="X957" s="190"/>
      <c r="Y957" s="190">
        <f>Q957</f>
        <v>175</v>
      </c>
      <c r="Z957" s="190"/>
      <c r="AA957" s="190"/>
      <c r="AB957" s="190"/>
      <c r="AH957" s="27"/>
      <c r="AI957" s="27"/>
      <c r="AJ957" s="27"/>
      <c r="AK957" s="27"/>
      <c r="AL957" s="27"/>
      <c r="AM957" s="27"/>
      <c r="AQ957" s="29"/>
    </row>
    <row r="958" spans="2:43" ht="19.5" customHeight="1">
      <c r="B958" s="4"/>
      <c r="E958" s="57"/>
      <c r="F958" s="58"/>
      <c r="G958" s="58"/>
      <c r="H958" s="58"/>
      <c r="I958" s="59"/>
      <c r="J958" s="253" t="s">
        <v>689</v>
      </c>
      <c r="K958" s="204"/>
      <c r="L958" s="204"/>
      <c r="M958" s="204" t="s">
        <v>716</v>
      </c>
      <c r="N958" s="204"/>
      <c r="O958" s="204"/>
      <c r="P958" s="204"/>
      <c r="Q958" s="190">
        <f>1/2*1000*Q956*Q954/Q957</f>
        <v>-10216.204442968761</v>
      </c>
      <c r="R958" s="190"/>
      <c r="S958" s="190"/>
      <c r="T958" s="190"/>
      <c r="U958" s="190">
        <f>1/2*1000*U956*U955/U957</f>
        <v>-69042.33963532707</v>
      </c>
      <c r="V958" s="190"/>
      <c r="W958" s="190"/>
      <c r="X958" s="190"/>
      <c r="Y958" s="190">
        <f>1/2*1000*Y956*Y954/Y957</f>
        <v>-10216.204442968761</v>
      </c>
      <c r="Z958" s="190"/>
      <c r="AA958" s="190"/>
      <c r="AB958" s="190"/>
      <c r="AH958" s="27"/>
      <c r="AI958" s="27"/>
      <c r="AJ958" s="27"/>
      <c r="AK958" s="27"/>
      <c r="AL958" s="27"/>
      <c r="AM958" s="27"/>
      <c r="AQ958" s="29"/>
    </row>
    <row r="959" spans="2:43" ht="19.5" customHeight="1">
      <c r="B959" s="4"/>
      <c r="E959" s="57"/>
      <c r="F959" s="58"/>
      <c r="G959" s="58"/>
      <c r="H959" s="58"/>
      <c r="I959" s="59"/>
      <c r="J959" s="253" t="s">
        <v>717</v>
      </c>
      <c r="K959" s="204"/>
      <c r="L959" s="204"/>
      <c r="M959" s="204" t="s">
        <v>716</v>
      </c>
      <c r="N959" s="204"/>
      <c r="O959" s="204"/>
      <c r="P959" s="204"/>
      <c r="Q959" s="190">
        <f>0.005*1000*Q956</f>
        <v>2531.114595271561</v>
      </c>
      <c r="R959" s="190"/>
      <c r="S959" s="190"/>
      <c r="T959" s="190"/>
      <c r="U959" s="190">
        <f>0.005*1000*U956</f>
        <v>20956.953470202818</v>
      </c>
      <c r="V959" s="190"/>
      <c r="W959" s="190"/>
      <c r="X959" s="190"/>
      <c r="Y959" s="190">
        <f>0.005*1000*Y956</f>
        <v>2531.114595271561</v>
      </c>
      <c r="Z959" s="190"/>
      <c r="AA959" s="190"/>
      <c r="AB959" s="190"/>
      <c r="AH959" s="27"/>
      <c r="AI959" s="27"/>
      <c r="AJ959" s="27"/>
      <c r="AK959" s="27"/>
      <c r="AL959" s="27"/>
      <c r="AM959" s="27"/>
      <c r="AQ959" s="29"/>
    </row>
    <row r="960" spans="2:43" ht="19.5" customHeight="1">
      <c r="B960" s="4"/>
      <c r="E960" s="60"/>
      <c r="F960" s="52"/>
      <c r="G960" s="52"/>
      <c r="H960" s="52"/>
      <c r="I960" s="61"/>
      <c r="J960" s="232" t="s">
        <v>144</v>
      </c>
      <c r="K960" s="232"/>
      <c r="L960" s="232"/>
      <c r="M960" s="232"/>
      <c r="N960" s="232"/>
      <c r="O960" s="232"/>
      <c r="P960" s="233"/>
      <c r="Q960" s="190" t="str">
        <f>IF(Q$946&gt;=MAX(Q958,Q959),"O.K","N.G")</f>
        <v>N.G</v>
      </c>
      <c r="R960" s="190"/>
      <c r="S960" s="190"/>
      <c r="T960" s="190"/>
      <c r="U960" s="190" t="str">
        <f>IF(U$946&gt;=MAX(U958,U959),"O.K","N.G")</f>
        <v>N.G</v>
      </c>
      <c r="V960" s="190"/>
      <c r="W960" s="190"/>
      <c r="X960" s="190"/>
      <c r="Y960" s="190" t="str">
        <f>IF(Y$946&gt;=MAX(Y958,Y959),"O.K","N.G")</f>
        <v>N.G</v>
      </c>
      <c r="Z960" s="190"/>
      <c r="AA960" s="190"/>
      <c r="AB960" s="190"/>
      <c r="AH960" s="27"/>
      <c r="AI960" s="27"/>
      <c r="AJ960" s="27"/>
      <c r="AK960" s="27"/>
      <c r="AL960" s="27"/>
      <c r="AM960" s="27"/>
      <c r="AQ960" s="29"/>
    </row>
    <row r="961" spans="2:43" ht="19.5" customHeight="1">
      <c r="B961" s="4"/>
      <c r="E961" s="221" t="s">
        <v>94</v>
      </c>
      <c r="F961" s="222"/>
      <c r="G961" s="222"/>
      <c r="H961" s="222"/>
      <c r="I961" s="223"/>
      <c r="J961" s="183" t="s">
        <v>1008</v>
      </c>
      <c r="K961" s="183"/>
      <c r="L961" s="183"/>
      <c r="M961" s="253" t="s">
        <v>325</v>
      </c>
      <c r="N961" s="204"/>
      <c r="O961" s="204"/>
      <c r="P961" s="204"/>
      <c r="Q961" s="190">
        <f>S732</f>
        <v>-7.2249279216943485</v>
      </c>
      <c r="R961" s="190"/>
      <c r="S961" s="190"/>
      <c r="T961" s="190"/>
      <c r="U961" s="190">
        <f>W732</f>
        <v>-5.352689982160985</v>
      </c>
      <c r="V961" s="190"/>
      <c r="W961" s="190"/>
      <c r="X961" s="190"/>
      <c r="Y961" s="190">
        <f>AA732</f>
        <v>-7.2249279216943485</v>
      </c>
      <c r="Z961" s="190"/>
      <c r="AA961" s="190"/>
      <c r="AB961" s="190"/>
      <c r="AH961" s="27"/>
      <c r="AI961" s="27"/>
      <c r="AJ961" s="27"/>
      <c r="AK961" s="27"/>
      <c r="AL961" s="27"/>
      <c r="AM961" s="27"/>
      <c r="AQ961" s="29"/>
    </row>
    <row r="962" spans="2:43" ht="19.5" customHeight="1">
      <c r="B962" s="4"/>
      <c r="E962" s="57"/>
      <c r="F962" s="58"/>
      <c r="G962" s="58"/>
      <c r="H962" s="29"/>
      <c r="I962" s="59"/>
      <c r="J962" s="183" t="s">
        <v>1010</v>
      </c>
      <c r="K962" s="183"/>
      <c r="L962" s="183"/>
      <c r="M962" s="253" t="s">
        <v>325</v>
      </c>
      <c r="N962" s="204"/>
      <c r="O962" s="204"/>
      <c r="P962" s="204"/>
      <c r="Q962" s="190">
        <f>S733</f>
        <v>-1.5997192635306479</v>
      </c>
      <c r="R962" s="190"/>
      <c r="S962" s="190"/>
      <c r="T962" s="190"/>
      <c r="U962" s="190">
        <f>W733</f>
        <v>-5.765346310169246</v>
      </c>
      <c r="V962" s="190"/>
      <c r="W962" s="190"/>
      <c r="X962" s="190"/>
      <c r="Y962" s="190">
        <f>AA733</f>
        <v>-1.5997192635306479</v>
      </c>
      <c r="Z962" s="190"/>
      <c r="AA962" s="190"/>
      <c r="AB962" s="190"/>
      <c r="AH962" s="27"/>
      <c r="AI962" s="27"/>
      <c r="AJ962" s="27"/>
      <c r="AK962" s="27"/>
      <c r="AL962" s="27"/>
      <c r="AM962" s="27"/>
      <c r="AQ962" s="29"/>
    </row>
    <row r="963" spans="2:43" ht="19.5" customHeight="1">
      <c r="B963" s="4"/>
      <c r="E963" s="57"/>
      <c r="F963" s="58"/>
      <c r="G963" s="58"/>
      <c r="H963" s="58"/>
      <c r="I963" s="59"/>
      <c r="J963" s="253" t="s">
        <v>718</v>
      </c>
      <c r="K963" s="204"/>
      <c r="L963" s="204"/>
      <c r="M963" s="204" t="s">
        <v>402</v>
      </c>
      <c r="N963" s="204"/>
      <c r="O963" s="204"/>
      <c r="P963" s="204"/>
      <c r="Q963" s="190">
        <f>-$AC$255*Q961/(Q962-Q961)</f>
        <v>488.06591489889513</v>
      </c>
      <c r="R963" s="190"/>
      <c r="S963" s="190"/>
      <c r="T963" s="190"/>
      <c r="U963" s="190">
        <f>-$AC$240*U962/(U961-U962)</f>
        <v>4191.390694040563</v>
      </c>
      <c r="V963" s="190"/>
      <c r="W963" s="190"/>
      <c r="X963" s="190"/>
      <c r="Y963" s="190">
        <f>-$AC$255*Y961/(Y962-Y961)</f>
        <v>488.06591489889513</v>
      </c>
      <c r="Z963" s="190"/>
      <c r="AA963" s="190"/>
      <c r="AB963" s="190"/>
      <c r="AH963" s="27"/>
      <c r="AI963" s="27"/>
      <c r="AJ963" s="27"/>
      <c r="AK963" s="27"/>
      <c r="AL963" s="27"/>
      <c r="AM963" s="27"/>
      <c r="AQ963" s="29"/>
    </row>
    <row r="964" spans="2:43" ht="19.5" customHeight="1">
      <c r="B964" s="4"/>
      <c r="E964" s="57"/>
      <c r="F964" s="58"/>
      <c r="G964" s="58"/>
      <c r="H964" s="58"/>
      <c r="I964" s="59"/>
      <c r="J964" s="283" t="s">
        <v>719</v>
      </c>
      <c r="K964" s="284"/>
      <c r="L964" s="253"/>
      <c r="M964" s="253" t="s">
        <v>325</v>
      </c>
      <c r="N964" s="204"/>
      <c r="O964" s="204"/>
      <c r="P964" s="204"/>
      <c r="Q964" s="377">
        <v>200</v>
      </c>
      <c r="R964" s="378"/>
      <c r="S964" s="378"/>
      <c r="T964" s="379"/>
      <c r="U964" s="190">
        <f>Q964</f>
        <v>200</v>
      </c>
      <c r="V964" s="190"/>
      <c r="W964" s="190"/>
      <c r="X964" s="190"/>
      <c r="Y964" s="190">
        <f>Q964</f>
        <v>200</v>
      </c>
      <c r="Z964" s="190"/>
      <c r="AA964" s="190"/>
      <c r="AB964" s="190"/>
      <c r="AH964" s="27"/>
      <c r="AI964" s="27"/>
      <c r="AJ964" s="27"/>
      <c r="AK964" s="27"/>
      <c r="AL964" s="27"/>
      <c r="AM964" s="27"/>
      <c r="AQ964" s="29"/>
    </row>
    <row r="965" spans="2:43" ht="19.5" customHeight="1">
      <c r="B965" s="4"/>
      <c r="E965" s="57"/>
      <c r="F965" s="58"/>
      <c r="G965" s="58"/>
      <c r="H965" s="58"/>
      <c r="I965" s="59"/>
      <c r="J965" s="253" t="s">
        <v>720</v>
      </c>
      <c r="K965" s="204"/>
      <c r="L965" s="204"/>
      <c r="M965" s="204" t="s">
        <v>721</v>
      </c>
      <c r="N965" s="204"/>
      <c r="O965" s="204"/>
      <c r="P965" s="204"/>
      <c r="Q965" s="190">
        <f>1/2*1000*Q963*Q961/Q964</f>
        <v>-8815.602640450814</v>
      </c>
      <c r="R965" s="190"/>
      <c r="S965" s="190"/>
      <c r="T965" s="190"/>
      <c r="U965" s="190">
        <f>1/2*1000*U963*U962/U964</f>
        <v>-60412.047180911184</v>
      </c>
      <c r="V965" s="190"/>
      <c r="W965" s="190"/>
      <c r="X965" s="190"/>
      <c r="Y965" s="190">
        <f>1/2*1000*Y963*Y961/Y964</f>
        <v>-8815.602640450814</v>
      </c>
      <c r="Z965" s="190"/>
      <c r="AA965" s="190"/>
      <c r="AB965" s="190"/>
      <c r="AH965" s="27"/>
      <c r="AI965" s="27"/>
      <c r="AJ965" s="27"/>
      <c r="AK965" s="27"/>
      <c r="AL965" s="27"/>
      <c r="AM965" s="27"/>
      <c r="AQ965" s="29"/>
    </row>
    <row r="966" spans="2:43" ht="19.5" customHeight="1">
      <c r="B966" s="4"/>
      <c r="E966" s="57"/>
      <c r="F966" s="58"/>
      <c r="G966" s="58"/>
      <c r="H966" s="58"/>
      <c r="I966" s="59"/>
      <c r="J966" s="253" t="s">
        <v>722</v>
      </c>
      <c r="K966" s="204"/>
      <c r="L966" s="204"/>
      <c r="M966" s="204" t="s">
        <v>721</v>
      </c>
      <c r="N966" s="204"/>
      <c r="O966" s="204"/>
      <c r="P966" s="204"/>
      <c r="Q966" s="190">
        <f>0.005*1000*Q963</f>
        <v>2440.3295744944758</v>
      </c>
      <c r="R966" s="190"/>
      <c r="S966" s="190"/>
      <c r="T966" s="190"/>
      <c r="U966" s="190">
        <f>0.005*1000*U963</f>
        <v>20956.953470202818</v>
      </c>
      <c r="V966" s="190"/>
      <c r="W966" s="190"/>
      <c r="X966" s="190"/>
      <c r="Y966" s="190">
        <f>0.005*1000*Y963</f>
        <v>2440.3295744944758</v>
      </c>
      <c r="Z966" s="190"/>
      <c r="AA966" s="190"/>
      <c r="AB966" s="190"/>
      <c r="AH966" s="27"/>
      <c r="AI966" s="27"/>
      <c r="AJ966" s="27"/>
      <c r="AK966" s="27"/>
      <c r="AL966" s="27"/>
      <c r="AM966" s="27"/>
      <c r="AQ966" s="29"/>
    </row>
    <row r="967" spans="2:43" ht="19.5" customHeight="1">
      <c r="B967" s="4"/>
      <c r="E967" s="60"/>
      <c r="F967" s="52"/>
      <c r="G967" s="52"/>
      <c r="H967" s="52"/>
      <c r="I967" s="61"/>
      <c r="J967" s="232" t="s">
        <v>144</v>
      </c>
      <c r="K967" s="232"/>
      <c r="L967" s="232"/>
      <c r="M967" s="232"/>
      <c r="N967" s="232"/>
      <c r="O967" s="232"/>
      <c r="P967" s="233"/>
      <c r="Q967" s="190" t="str">
        <f>IF(Q$946&gt;=MAX(Q965,Q966),"O.K","N.G")</f>
        <v>N.G</v>
      </c>
      <c r="R967" s="190"/>
      <c r="S967" s="190"/>
      <c r="T967" s="190"/>
      <c r="U967" s="190" t="str">
        <f>IF(U$946&gt;=MAX(U965,U966),"O.K","N.G")</f>
        <v>N.G</v>
      </c>
      <c r="V967" s="190"/>
      <c r="W967" s="190"/>
      <c r="X967" s="190"/>
      <c r="Y967" s="190" t="str">
        <f>IF(Y$946&gt;=MAX(Y965,Y966),"O.K","N.G")</f>
        <v>N.G</v>
      </c>
      <c r="Z967" s="190"/>
      <c r="AA967" s="190"/>
      <c r="AB967" s="190"/>
      <c r="AH967" s="27"/>
      <c r="AI967" s="27"/>
      <c r="AJ967" s="27"/>
      <c r="AK967" s="27"/>
      <c r="AL967" s="27"/>
      <c r="AM967" s="27"/>
      <c r="AQ967" s="29"/>
    </row>
    <row r="968" spans="2:43" ht="19.5" customHeight="1">
      <c r="B968" s="4"/>
      <c r="D968" s="4"/>
      <c r="E968" s="4"/>
      <c r="F968" s="4"/>
      <c r="G968" s="4"/>
      <c r="H968" s="4"/>
      <c r="I968" s="4"/>
      <c r="J968" s="4"/>
      <c r="K968" s="4"/>
      <c r="L968" s="4"/>
      <c r="M968" s="4"/>
      <c r="AH968" s="27"/>
      <c r="AQ968" s="29"/>
    </row>
    <row r="969" spans="2:43" ht="19.5" customHeight="1">
      <c r="B969" s="4"/>
      <c r="E969" s="183" t="s">
        <v>917</v>
      </c>
      <c r="F969" s="183"/>
      <c r="G969" s="183"/>
      <c r="H969" s="183"/>
      <c r="I969" s="183"/>
      <c r="J969" s="183"/>
      <c r="K969" s="183"/>
      <c r="L969" s="183"/>
      <c r="M969" s="183"/>
      <c r="N969" s="183"/>
      <c r="O969" s="183"/>
      <c r="P969" s="183"/>
      <c r="Q969" s="204" t="s">
        <v>663</v>
      </c>
      <c r="R969" s="204"/>
      <c r="S969" s="204"/>
      <c r="T969" s="204"/>
      <c r="U969" s="204" t="s">
        <v>664</v>
      </c>
      <c r="V969" s="204"/>
      <c r="W969" s="204"/>
      <c r="X969" s="204"/>
      <c r="Y969" s="204" t="s">
        <v>665</v>
      </c>
      <c r="Z969" s="204"/>
      <c r="AA969" s="204"/>
      <c r="AB969" s="204"/>
      <c r="AH969" s="27"/>
      <c r="AI969" s="27"/>
      <c r="AJ969" s="27"/>
      <c r="AK969" s="27"/>
      <c r="AL969" s="27"/>
      <c r="AM969" s="27"/>
      <c r="AQ969" s="29"/>
    </row>
    <row r="970" spans="2:43" ht="19.5" customHeight="1">
      <c r="B970" s="4"/>
      <c r="E970" s="183" t="s">
        <v>95</v>
      </c>
      <c r="F970" s="183"/>
      <c r="G970" s="183"/>
      <c r="H970" s="183"/>
      <c r="I970" s="183"/>
      <c r="J970" s="183"/>
      <c r="K970" s="183"/>
      <c r="L970" s="183"/>
      <c r="M970" s="204" t="s">
        <v>723</v>
      </c>
      <c r="N970" s="204"/>
      <c r="O970" s="204"/>
      <c r="P970" s="204"/>
      <c r="Q970" s="190">
        <f>$I$255</f>
        <v>2292</v>
      </c>
      <c r="R970" s="190"/>
      <c r="S970" s="190"/>
      <c r="T970" s="190"/>
      <c r="U970" s="190">
        <f>$AI$244</f>
        <v>2292</v>
      </c>
      <c r="V970" s="190"/>
      <c r="W970" s="190"/>
      <c r="X970" s="190"/>
      <c r="Y970" s="190">
        <f>$I$255</f>
        <v>2292</v>
      </c>
      <c r="Z970" s="190"/>
      <c r="AA970" s="190"/>
      <c r="AB970" s="190"/>
      <c r="AH970" s="27"/>
      <c r="AI970" s="27"/>
      <c r="AJ970" s="27"/>
      <c r="AK970" s="27"/>
      <c r="AL970" s="27"/>
      <c r="AM970" s="27"/>
      <c r="AQ970" s="29"/>
    </row>
    <row r="971" spans="2:43" ht="19.5" customHeight="1">
      <c r="B971" s="4"/>
      <c r="E971" s="221" t="s">
        <v>918</v>
      </c>
      <c r="F971" s="222"/>
      <c r="G971" s="222"/>
      <c r="H971" s="222"/>
      <c r="I971" s="223"/>
      <c r="J971" s="233" t="s">
        <v>1008</v>
      </c>
      <c r="K971" s="183"/>
      <c r="L971" s="183"/>
      <c r="M971" s="253" t="s">
        <v>724</v>
      </c>
      <c r="N971" s="204"/>
      <c r="O971" s="204"/>
      <c r="P971" s="204"/>
      <c r="Q971" s="190">
        <f>S772</f>
        <v>-7.089366979866094</v>
      </c>
      <c r="R971" s="190"/>
      <c r="S971" s="190"/>
      <c r="T971" s="190"/>
      <c r="U971" s="190">
        <f>W772</f>
        <v>-4.113889982160986</v>
      </c>
      <c r="V971" s="190"/>
      <c r="W971" s="190"/>
      <c r="X971" s="190"/>
      <c r="Y971" s="190">
        <f>AA772</f>
        <v>-7.089366979866094</v>
      </c>
      <c r="Z971" s="190"/>
      <c r="AA971" s="190"/>
      <c r="AB971" s="190"/>
      <c r="AH971" s="27"/>
      <c r="AI971" s="27"/>
      <c r="AJ971" s="27"/>
      <c r="AK971" s="27"/>
      <c r="AL971" s="27"/>
      <c r="AM971" s="27"/>
      <c r="AQ971" s="29"/>
    </row>
    <row r="972" spans="2:43" ht="19.5" customHeight="1">
      <c r="B972" s="4"/>
      <c r="E972" s="57"/>
      <c r="F972" s="58"/>
      <c r="G972" s="58"/>
      <c r="H972" s="29"/>
      <c r="I972" s="59"/>
      <c r="J972" s="233" t="s">
        <v>1010</v>
      </c>
      <c r="K972" s="183"/>
      <c r="L972" s="183"/>
      <c r="M972" s="253" t="s">
        <v>724</v>
      </c>
      <c r="N972" s="204"/>
      <c r="O972" s="204"/>
      <c r="P972" s="204"/>
      <c r="Q972" s="190">
        <f>S773</f>
        <v>-1.7352802053589023</v>
      </c>
      <c r="R972" s="190"/>
      <c r="S972" s="190"/>
      <c r="T972" s="190"/>
      <c r="U972" s="190">
        <f>W773</f>
        <v>-6.902016562350051</v>
      </c>
      <c r="V972" s="190"/>
      <c r="W972" s="190"/>
      <c r="X972" s="190"/>
      <c r="Y972" s="190">
        <f>AA773</f>
        <v>-1.7352802053589023</v>
      </c>
      <c r="Z972" s="190"/>
      <c r="AA972" s="190"/>
      <c r="AB972" s="190"/>
      <c r="AH972" s="27"/>
      <c r="AI972" s="27"/>
      <c r="AJ972" s="27"/>
      <c r="AK972" s="27"/>
      <c r="AL972" s="27"/>
      <c r="AM972" s="27"/>
      <c r="AQ972" s="29"/>
    </row>
    <row r="973" spans="2:43" ht="19.5" customHeight="1">
      <c r="B973" s="4"/>
      <c r="E973" s="57"/>
      <c r="F973" s="58"/>
      <c r="G973" s="58"/>
      <c r="H973" s="58"/>
      <c r="I973" s="59"/>
      <c r="J973" s="253" t="s">
        <v>725</v>
      </c>
      <c r="K973" s="204"/>
      <c r="L973" s="204"/>
      <c r="M973" s="204" t="s">
        <v>726</v>
      </c>
      <c r="N973" s="204"/>
      <c r="O973" s="204"/>
      <c r="P973" s="204"/>
      <c r="Q973" s="190">
        <f>-$AC$255*Q971/(Q972-Q971)</f>
        <v>503.1594678622065</v>
      </c>
      <c r="R973" s="190"/>
      <c r="S973" s="190"/>
      <c r="T973" s="190"/>
      <c r="U973" s="190">
        <f>-$AC$240*U972/(U971-U972)</f>
        <v>742.6509913207047</v>
      </c>
      <c r="V973" s="190"/>
      <c r="W973" s="190"/>
      <c r="X973" s="190"/>
      <c r="Y973" s="190">
        <f>-$AC$255*Y971/(Y972-Y971)</f>
        <v>503.1594678622065</v>
      </c>
      <c r="Z973" s="190"/>
      <c r="AA973" s="190"/>
      <c r="AB973" s="190"/>
      <c r="AH973" s="27"/>
      <c r="AI973" s="27"/>
      <c r="AJ973" s="27"/>
      <c r="AK973" s="27"/>
      <c r="AL973" s="27"/>
      <c r="AM973" s="27"/>
      <c r="AQ973" s="29"/>
    </row>
    <row r="974" spans="2:43" ht="19.5" customHeight="1">
      <c r="B974" s="4"/>
      <c r="E974" s="57"/>
      <c r="F974" s="58"/>
      <c r="G974" s="58"/>
      <c r="H974" s="58"/>
      <c r="I974" s="59"/>
      <c r="J974" s="283" t="s">
        <v>727</v>
      </c>
      <c r="K974" s="284"/>
      <c r="L974" s="253"/>
      <c r="M974" s="253" t="s">
        <v>724</v>
      </c>
      <c r="N974" s="204"/>
      <c r="O974" s="204"/>
      <c r="P974" s="204"/>
      <c r="Q974" s="190">
        <f>Q950</f>
        <v>140</v>
      </c>
      <c r="R974" s="190"/>
      <c r="S974" s="190"/>
      <c r="T974" s="190"/>
      <c r="U974" s="190">
        <f>Q974</f>
        <v>140</v>
      </c>
      <c r="V974" s="190"/>
      <c r="W974" s="190"/>
      <c r="X974" s="190"/>
      <c r="Y974" s="190">
        <f>Q974</f>
        <v>140</v>
      </c>
      <c r="Z974" s="190"/>
      <c r="AA974" s="190"/>
      <c r="AB974" s="190"/>
      <c r="AH974" s="27"/>
      <c r="AI974" s="27"/>
      <c r="AJ974" s="27"/>
      <c r="AK974" s="27"/>
      <c r="AL974" s="27"/>
      <c r="AM974" s="27"/>
      <c r="AQ974" s="29"/>
    </row>
    <row r="975" spans="2:43" ht="19.5" customHeight="1">
      <c r="B975" s="4"/>
      <c r="E975" s="57"/>
      <c r="F975" s="58"/>
      <c r="G975" s="58"/>
      <c r="H975" s="58"/>
      <c r="I975" s="59"/>
      <c r="J975" s="253" t="s">
        <v>728</v>
      </c>
      <c r="K975" s="204"/>
      <c r="L975" s="204"/>
      <c r="M975" s="204" t="s">
        <v>723</v>
      </c>
      <c r="N975" s="204"/>
      <c r="O975" s="204"/>
      <c r="P975" s="204"/>
      <c r="Q975" s="190">
        <f>1/2*1000*Q973*Q971/Q974</f>
        <v>-12739.578989533293</v>
      </c>
      <c r="R975" s="190"/>
      <c r="S975" s="190"/>
      <c r="T975" s="190"/>
      <c r="U975" s="190">
        <f>1/2*1000*U973*U972/U974</f>
        <v>-18306.390864789955</v>
      </c>
      <c r="V975" s="190"/>
      <c r="W975" s="190"/>
      <c r="X975" s="190"/>
      <c r="Y975" s="190">
        <f>1/2*1000*Y973*Y971/Y974</f>
        <v>-12739.578989533293</v>
      </c>
      <c r="Z975" s="190"/>
      <c r="AA975" s="190"/>
      <c r="AB975" s="190"/>
      <c r="AH975" s="27"/>
      <c r="AI975" s="27"/>
      <c r="AJ975" s="27"/>
      <c r="AK975" s="27"/>
      <c r="AL975" s="27"/>
      <c r="AM975" s="27"/>
      <c r="AQ975" s="29"/>
    </row>
    <row r="976" spans="2:43" ht="19.5" customHeight="1">
      <c r="B976" s="4"/>
      <c r="E976" s="57"/>
      <c r="F976" s="58"/>
      <c r="G976" s="58"/>
      <c r="H976" s="58"/>
      <c r="I976" s="59"/>
      <c r="J976" s="253" t="s">
        <v>729</v>
      </c>
      <c r="K976" s="204"/>
      <c r="L976" s="204"/>
      <c r="M976" s="204" t="s">
        <v>723</v>
      </c>
      <c r="N976" s="204"/>
      <c r="O976" s="204"/>
      <c r="P976" s="204"/>
      <c r="Q976" s="190">
        <f>0.005*1000*Q973</f>
        <v>2515.7973393110324</v>
      </c>
      <c r="R976" s="190"/>
      <c r="S976" s="190"/>
      <c r="T976" s="190"/>
      <c r="U976" s="190">
        <f>0.005*1000*U973</f>
        <v>3713.2549566035236</v>
      </c>
      <c r="V976" s="190"/>
      <c r="W976" s="190"/>
      <c r="X976" s="190"/>
      <c r="Y976" s="190">
        <f>0.005*1000*Y973</f>
        <v>2515.7973393110324</v>
      </c>
      <c r="Z976" s="190"/>
      <c r="AA976" s="190"/>
      <c r="AB976" s="190"/>
      <c r="AH976" s="27"/>
      <c r="AI976" s="27"/>
      <c r="AJ976" s="27"/>
      <c r="AK976" s="27"/>
      <c r="AL976" s="27"/>
      <c r="AM976" s="27"/>
      <c r="AQ976" s="29"/>
    </row>
    <row r="977" spans="2:43" ht="19.5" customHeight="1">
      <c r="B977" s="4"/>
      <c r="E977" s="60"/>
      <c r="F977" s="52"/>
      <c r="G977" s="52"/>
      <c r="H977" s="52"/>
      <c r="I977" s="61"/>
      <c r="J977" s="232" t="s">
        <v>144</v>
      </c>
      <c r="K977" s="232"/>
      <c r="L977" s="232"/>
      <c r="M977" s="232"/>
      <c r="N977" s="232"/>
      <c r="O977" s="232"/>
      <c r="P977" s="233"/>
      <c r="Q977" s="190" t="str">
        <f>IF(Q$946&gt;=MAX(Q975,Q976),"O.K","N.G")</f>
        <v>N.G</v>
      </c>
      <c r="R977" s="190"/>
      <c r="S977" s="190"/>
      <c r="T977" s="190"/>
      <c r="U977" s="190" t="str">
        <f>IF(U$946&gt;=MAX(U975,U976),"O.K","N.G")</f>
        <v>N.G</v>
      </c>
      <c r="V977" s="190"/>
      <c r="W977" s="190"/>
      <c r="X977" s="190"/>
      <c r="Y977" s="190" t="str">
        <f>IF(Y$946&gt;=MAX(Y975,Y976),"O.K","N.G")</f>
        <v>N.G</v>
      </c>
      <c r="Z977" s="190"/>
      <c r="AA977" s="190"/>
      <c r="AB977" s="190"/>
      <c r="AH977" s="27"/>
      <c r="AI977" s="27"/>
      <c r="AJ977" s="27"/>
      <c r="AK977" s="27"/>
      <c r="AL977" s="27"/>
      <c r="AM977" s="27"/>
      <c r="AQ977" s="29"/>
    </row>
    <row r="978" spans="2:43" ht="19.5" customHeight="1">
      <c r="B978" s="4"/>
      <c r="E978" s="221" t="s">
        <v>970</v>
      </c>
      <c r="F978" s="222"/>
      <c r="G978" s="222"/>
      <c r="H978" s="222"/>
      <c r="I978" s="223"/>
      <c r="J978" s="233" t="s">
        <v>1008</v>
      </c>
      <c r="K978" s="183"/>
      <c r="L978" s="183"/>
      <c r="M978" s="253" t="s">
        <v>667</v>
      </c>
      <c r="N978" s="204"/>
      <c r="O978" s="204"/>
      <c r="P978" s="204"/>
      <c r="Q978" s="190">
        <f>IF(S776&gt;=S780,S776,S780)</f>
        <v>-7.063432769339778</v>
      </c>
      <c r="R978" s="190"/>
      <c r="S978" s="190"/>
      <c r="T978" s="190"/>
      <c r="U978" s="190">
        <f>IF(U979=W777,W776,W780)</f>
        <v>-4.113889982160986</v>
      </c>
      <c r="V978" s="190"/>
      <c r="W978" s="190"/>
      <c r="X978" s="190"/>
      <c r="Y978" s="190">
        <f>IF(AA776&gt;=AA780,AA776,AA780)</f>
        <v>-7.063432769339778</v>
      </c>
      <c r="Z978" s="190"/>
      <c r="AA978" s="190"/>
      <c r="AB978" s="190"/>
      <c r="AH978" s="27"/>
      <c r="AI978" s="27"/>
      <c r="AJ978" s="27"/>
      <c r="AK978" s="27"/>
      <c r="AL978" s="27"/>
      <c r="AM978" s="27"/>
      <c r="AQ978" s="29"/>
    </row>
    <row r="979" spans="2:43" ht="19.5" customHeight="1">
      <c r="B979" s="4"/>
      <c r="E979" s="57"/>
      <c r="F979" s="58"/>
      <c r="G979" s="58"/>
      <c r="H979" s="29"/>
      <c r="I979" s="59"/>
      <c r="J979" s="233" t="s">
        <v>1010</v>
      </c>
      <c r="K979" s="183"/>
      <c r="L979" s="183"/>
      <c r="M979" s="253" t="s">
        <v>667</v>
      </c>
      <c r="N979" s="204"/>
      <c r="O979" s="204"/>
      <c r="P979" s="204"/>
      <c r="Q979" s="190">
        <f>IF(Q978=S776,S777,S781)</f>
        <v>-1.761214415885218</v>
      </c>
      <c r="R979" s="190"/>
      <c r="S979" s="190"/>
      <c r="T979" s="190"/>
      <c r="U979" s="190">
        <f>IF(W777&gt;=W781,W777,W781)</f>
        <v>-6.902016562350051</v>
      </c>
      <c r="V979" s="190"/>
      <c r="W979" s="190"/>
      <c r="X979" s="190"/>
      <c r="Y979" s="190">
        <f>IF(Y978=AA776,AA777,AA781)</f>
        <v>-1.761214415885218</v>
      </c>
      <c r="Z979" s="190"/>
      <c r="AA979" s="190"/>
      <c r="AB979" s="190"/>
      <c r="AH979" s="27"/>
      <c r="AI979" s="27"/>
      <c r="AJ979" s="27"/>
      <c r="AK979" s="27"/>
      <c r="AL979" s="27"/>
      <c r="AM979" s="27"/>
      <c r="AQ979" s="29"/>
    </row>
    <row r="980" spans="2:43" ht="19.5" customHeight="1">
      <c r="B980" s="4"/>
      <c r="E980" s="57"/>
      <c r="F980" s="58"/>
      <c r="G980" s="58"/>
      <c r="H980" s="58"/>
      <c r="I980" s="59"/>
      <c r="J980" s="253" t="s">
        <v>715</v>
      </c>
      <c r="K980" s="204"/>
      <c r="L980" s="204"/>
      <c r="M980" s="204" t="s">
        <v>661</v>
      </c>
      <c r="N980" s="204"/>
      <c r="O980" s="204"/>
      <c r="P980" s="204"/>
      <c r="Q980" s="190">
        <f>-$AC$255*Q978/(Q979-Q978)</f>
        <v>506.2229190543122</v>
      </c>
      <c r="R980" s="190"/>
      <c r="S980" s="190"/>
      <c r="T980" s="190"/>
      <c r="U980" s="190">
        <f>-$AC$240*U979/(U978-U979)</f>
        <v>742.6509913207047</v>
      </c>
      <c r="V980" s="190"/>
      <c r="W980" s="190"/>
      <c r="X980" s="190"/>
      <c r="Y980" s="190">
        <f>-$AC$255*Y978/(Y979-Y978)</f>
        <v>506.2229190543122</v>
      </c>
      <c r="Z980" s="190"/>
      <c r="AA980" s="190"/>
      <c r="AB980" s="190"/>
      <c r="AH980" s="27"/>
      <c r="AI980" s="27"/>
      <c r="AJ980" s="27"/>
      <c r="AK980" s="27"/>
      <c r="AL980" s="27"/>
      <c r="AM980" s="27"/>
      <c r="AQ980" s="29"/>
    </row>
    <row r="981" spans="2:43" ht="19.5" customHeight="1">
      <c r="B981" s="4"/>
      <c r="E981" s="57"/>
      <c r="F981" s="58"/>
      <c r="G981" s="58"/>
      <c r="H981" s="58"/>
      <c r="I981" s="59"/>
      <c r="J981" s="283" t="s">
        <v>693</v>
      </c>
      <c r="K981" s="284"/>
      <c r="L981" s="253"/>
      <c r="M981" s="253" t="s">
        <v>667</v>
      </c>
      <c r="N981" s="204"/>
      <c r="O981" s="204"/>
      <c r="P981" s="204"/>
      <c r="Q981" s="190">
        <f>Q957</f>
        <v>175</v>
      </c>
      <c r="R981" s="190"/>
      <c r="S981" s="190"/>
      <c r="T981" s="190"/>
      <c r="U981" s="190">
        <f>Q981</f>
        <v>175</v>
      </c>
      <c r="V981" s="190"/>
      <c r="W981" s="190"/>
      <c r="X981" s="190"/>
      <c r="Y981" s="190">
        <f>Q981</f>
        <v>175</v>
      </c>
      <c r="Z981" s="190"/>
      <c r="AA981" s="190"/>
      <c r="AB981" s="190"/>
      <c r="AH981" s="27"/>
      <c r="AI981" s="27"/>
      <c r="AJ981" s="27"/>
      <c r="AK981" s="27"/>
      <c r="AL981" s="27"/>
      <c r="AM981" s="27"/>
      <c r="AQ981" s="29"/>
    </row>
    <row r="982" spans="2:43" ht="19.5" customHeight="1">
      <c r="B982" s="4"/>
      <c r="E982" s="57"/>
      <c r="F982" s="58"/>
      <c r="G982" s="58"/>
      <c r="H982" s="58"/>
      <c r="I982" s="59"/>
      <c r="J982" s="253" t="s">
        <v>689</v>
      </c>
      <c r="K982" s="204"/>
      <c r="L982" s="204"/>
      <c r="M982" s="204" t="s">
        <v>716</v>
      </c>
      <c r="N982" s="204"/>
      <c r="O982" s="204"/>
      <c r="P982" s="204"/>
      <c r="Q982" s="190">
        <f>1/2*1000*Q980*Q978/Q981</f>
        <v>-10216.204442968761</v>
      </c>
      <c r="R982" s="190"/>
      <c r="S982" s="190"/>
      <c r="T982" s="190"/>
      <c r="U982" s="190">
        <f>1/2*1000*U980*U979/U981</f>
        <v>-14645.112691831964</v>
      </c>
      <c r="V982" s="190"/>
      <c r="W982" s="190"/>
      <c r="X982" s="190"/>
      <c r="Y982" s="190">
        <f>1/2*1000*Y980*Y978/Y981</f>
        <v>-10216.204442968761</v>
      </c>
      <c r="Z982" s="190"/>
      <c r="AA982" s="190"/>
      <c r="AB982" s="190"/>
      <c r="AH982" s="27"/>
      <c r="AI982" s="27"/>
      <c r="AJ982" s="27"/>
      <c r="AK982" s="27"/>
      <c r="AL982" s="27"/>
      <c r="AM982" s="27"/>
      <c r="AQ982" s="29"/>
    </row>
    <row r="983" spans="2:43" ht="19.5" customHeight="1">
      <c r="B983" s="4"/>
      <c r="E983" s="57"/>
      <c r="F983" s="58"/>
      <c r="G983" s="58"/>
      <c r="H983" s="58"/>
      <c r="I983" s="59"/>
      <c r="J983" s="253" t="s">
        <v>717</v>
      </c>
      <c r="K983" s="204"/>
      <c r="L983" s="204"/>
      <c r="M983" s="204" t="s">
        <v>716</v>
      </c>
      <c r="N983" s="204"/>
      <c r="O983" s="204"/>
      <c r="P983" s="204"/>
      <c r="Q983" s="190">
        <f>0.005*1000*Q980</f>
        <v>2531.114595271561</v>
      </c>
      <c r="R983" s="190"/>
      <c r="S983" s="190"/>
      <c r="T983" s="190"/>
      <c r="U983" s="190">
        <f>0.005*1000*U980</f>
        <v>3713.2549566035236</v>
      </c>
      <c r="V983" s="190"/>
      <c r="W983" s="190"/>
      <c r="X983" s="190"/>
      <c r="Y983" s="190">
        <f>0.005*1000*Y980</f>
        <v>2531.114595271561</v>
      </c>
      <c r="Z983" s="190"/>
      <c r="AA983" s="190"/>
      <c r="AB983" s="190"/>
      <c r="AH983" s="27"/>
      <c r="AI983" s="27"/>
      <c r="AJ983" s="27"/>
      <c r="AK983" s="27"/>
      <c r="AL983" s="27"/>
      <c r="AM983" s="27"/>
      <c r="AQ983" s="29"/>
    </row>
    <row r="984" spans="2:43" ht="19.5" customHeight="1">
      <c r="B984" s="4"/>
      <c r="E984" s="60"/>
      <c r="F984" s="52"/>
      <c r="G984" s="52"/>
      <c r="H984" s="52"/>
      <c r="I984" s="61"/>
      <c r="J984" s="232" t="s">
        <v>144</v>
      </c>
      <c r="K984" s="232"/>
      <c r="L984" s="232"/>
      <c r="M984" s="232"/>
      <c r="N984" s="232"/>
      <c r="O984" s="232"/>
      <c r="P984" s="233"/>
      <c r="Q984" s="190" t="str">
        <f>IF(Q$946&gt;=MAX(Q982,Q983),"O.K","N.G")</f>
        <v>N.G</v>
      </c>
      <c r="R984" s="190"/>
      <c r="S984" s="190"/>
      <c r="T984" s="190"/>
      <c r="U984" s="190" t="str">
        <f>IF(U$946&gt;=MAX(U982,U983),"O.K","N.G")</f>
        <v>N.G</v>
      </c>
      <c r="V984" s="190"/>
      <c r="W984" s="190"/>
      <c r="X984" s="190"/>
      <c r="Y984" s="190" t="str">
        <f>IF(Y$946&gt;=MAX(Y982,Y983),"O.K","N.G")</f>
        <v>N.G</v>
      </c>
      <c r="Z984" s="190"/>
      <c r="AA984" s="190"/>
      <c r="AB984" s="190"/>
      <c r="AH984" s="27"/>
      <c r="AI984" s="27"/>
      <c r="AJ984" s="27"/>
      <c r="AK984" s="27"/>
      <c r="AL984" s="27"/>
      <c r="AM984" s="27"/>
      <c r="AQ984" s="29"/>
    </row>
    <row r="985" spans="2:43" ht="19.5" customHeight="1">
      <c r="B985" s="4"/>
      <c r="E985" s="221" t="s">
        <v>94</v>
      </c>
      <c r="F985" s="222"/>
      <c r="G985" s="222"/>
      <c r="H985" s="222"/>
      <c r="I985" s="223"/>
      <c r="J985" s="233" t="s">
        <v>1008</v>
      </c>
      <c r="K985" s="183"/>
      <c r="L985" s="183"/>
      <c r="M985" s="253" t="s">
        <v>325</v>
      </c>
      <c r="N985" s="204"/>
      <c r="O985" s="204"/>
      <c r="P985" s="204"/>
      <c r="Q985" s="190">
        <f>S784</f>
        <v>-7.2249279216943485</v>
      </c>
      <c r="R985" s="190"/>
      <c r="S985" s="190"/>
      <c r="T985" s="190"/>
      <c r="U985" s="190">
        <f>W784</f>
        <v>-4.113889982160986</v>
      </c>
      <c r="V985" s="190"/>
      <c r="W985" s="190"/>
      <c r="X985" s="190"/>
      <c r="Y985" s="190">
        <f>AA784</f>
        <v>-7.2249279216943485</v>
      </c>
      <c r="Z985" s="190"/>
      <c r="AA985" s="190"/>
      <c r="AB985" s="190"/>
      <c r="AH985" s="27"/>
      <c r="AI985" s="27"/>
      <c r="AJ985" s="27"/>
      <c r="AK985" s="27"/>
      <c r="AL985" s="27"/>
      <c r="AM985" s="27"/>
      <c r="AQ985" s="29"/>
    </row>
    <row r="986" spans="2:43" ht="19.5" customHeight="1">
      <c r="B986" s="4"/>
      <c r="E986" s="57"/>
      <c r="F986" s="58"/>
      <c r="G986" s="58"/>
      <c r="H986" s="29"/>
      <c r="I986" s="59"/>
      <c r="J986" s="233" t="s">
        <v>1010</v>
      </c>
      <c r="K986" s="183"/>
      <c r="L986" s="183"/>
      <c r="M986" s="253" t="s">
        <v>325</v>
      </c>
      <c r="N986" s="204"/>
      <c r="O986" s="204"/>
      <c r="P986" s="204"/>
      <c r="Q986" s="190">
        <f>S785</f>
        <v>-1.5997192635306479</v>
      </c>
      <c r="R986" s="190"/>
      <c r="S986" s="190"/>
      <c r="T986" s="190"/>
      <c r="U986" s="190">
        <f>W785</f>
        <v>-6.902016562350051</v>
      </c>
      <c r="V986" s="190"/>
      <c r="W986" s="190"/>
      <c r="X986" s="190"/>
      <c r="Y986" s="190">
        <f>AA785</f>
        <v>-1.5997192635306479</v>
      </c>
      <c r="Z986" s="190"/>
      <c r="AA986" s="190"/>
      <c r="AB986" s="190"/>
      <c r="AH986" s="27"/>
      <c r="AI986" s="27"/>
      <c r="AJ986" s="27"/>
      <c r="AK986" s="27"/>
      <c r="AL986" s="27"/>
      <c r="AM986" s="27"/>
      <c r="AQ986" s="29"/>
    </row>
    <row r="987" spans="2:43" ht="19.5" customHeight="1">
      <c r="B987" s="4"/>
      <c r="E987" s="57"/>
      <c r="F987" s="58"/>
      <c r="G987" s="58"/>
      <c r="H987" s="58"/>
      <c r="I987" s="59"/>
      <c r="J987" s="253" t="s">
        <v>718</v>
      </c>
      <c r="K987" s="204"/>
      <c r="L987" s="204"/>
      <c r="M987" s="204" t="s">
        <v>402</v>
      </c>
      <c r="N987" s="204"/>
      <c r="O987" s="204"/>
      <c r="P987" s="204"/>
      <c r="Q987" s="190">
        <f>-$AC$255*Q985/(Q986-Q985)</f>
        <v>488.06591489889513</v>
      </c>
      <c r="R987" s="190"/>
      <c r="S987" s="190"/>
      <c r="T987" s="190"/>
      <c r="U987" s="190">
        <f>-$AC$240*U986/(U985-U986)</f>
        <v>742.6509913207047</v>
      </c>
      <c r="V987" s="190"/>
      <c r="W987" s="190"/>
      <c r="X987" s="190"/>
      <c r="Y987" s="190">
        <f>-$AC$255*Y985/(Y986-Y985)</f>
        <v>488.06591489889513</v>
      </c>
      <c r="Z987" s="190"/>
      <c r="AA987" s="190"/>
      <c r="AB987" s="190"/>
      <c r="AH987" s="27"/>
      <c r="AI987" s="27"/>
      <c r="AJ987" s="27"/>
      <c r="AK987" s="27"/>
      <c r="AL987" s="27"/>
      <c r="AM987" s="27"/>
      <c r="AQ987" s="29"/>
    </row>
    <row r="988" spans="2:43" ht="19.5" customHeight="1">
      <c r="B988" s="4"/>
      <c r="E988" s="57"/>
      <c r="F988" s="58"/>
      <c r="G988" s="58"/>
      <c r="H988" s="58"/>
      <c r="I988" s="59"/>
      <c r="J988" s="283" t="s">
        <v>719</v>
      </c>
      <c r="K988" s="284"/>
      <c r="L988" s="253"/>
      <c r="M988" s="253" t="s">
        <v>325</v>
      </c>
      <c r="N988" s="204"/>
      <c r="O988" s="204"/>
      <c r="P988" s="204"/>
      <c r="Q988" s="190">
        <f>Q964</f>
        <v>200</v>
      </c>
      <c r="R988" s="190"/>
      <c r="S988" s="190"/>
      <c r="T988" s="190"/>
      <c r="U988" s="190">
        <f>Q988</f>
        <v>200</v>
      </c>
      <c r="V988" s="190"/>
      <c r="W988" s="190"/>
      <c r="X988" s="190"/>
      <c r="Y988" s="190">
        <f>Q988</f>
        <v>200</v>
      </c>
      <c r="Z988" s="190"/>
      <c r="AA988" s="190"/>
      <c r="AB988" s="190"/>
      <c r="AH988" s="27"/>
      <c r="AI988" s="27"/>
      <c r="AJ988" s="27"/>
      <c r="AK988" s="27"/>
      <c r="AL988" s="27"/>
      <c r="AM988" s="27"/>
      <c r="AQ988" s="29"/>
    </row>
    <row r="989" spans="2:43" ht="19.5" customHeight="1">
      <c r="B989" s="4"/>
      <c r="E989" s="57"/>
      <c r="F989" s="58"/>
      <c r="G989" s="58"/>
      <c r="H989" s="58"/>
      <c r="I989" s="59"/>
      <c r="J989" s="253" t="s">
        <v>720</v>
      </c>
      <c r="K989" s="204"/>
      <c r="L989" s="204"/>
      <c r="M989" s="204" t="s">
        <v>721</v>
      </c>
      <c r="N989" s="204"/>
      <c r="O989" s="204"/>
      <c r="P989" s="204"/>
      <c r="Q989" s="190">
        <f>1/2*1000*Q987*Q985/Q988</f>
        <v>-8815.602640450814</v>
      </c>
      <c r="R989" s="190"/>
      <c r="S989" s="190"/>
      <c r="T989" s="190"/>
      <c r="U989" s="190">
        <f>1/2*1000*U987*U986/U988</f>
        <v>-12814.473605352969</v>
      </c>
      <c r="V989" s="190"/>
      <c r="W989" s="190"/>
      <c r="X989" s="190"/>
      <c r="Y989" s="190">
        <f>1/2*1000*Y987*Y985/Y988</f>
        <v>-8815.602640450814</v>
      </c>
      <c r="Z989" s="190"/>
      <c r="AA989" s="190"/>
      <c r="AB989" s="190"/>
      <c r="AH989" s="27"/>
      <c r="AI989" s="27"/>
      <c r="AJ989" s="27"/>
      <c r="AK989" s="27"/>
      <c r="AL989" s="27"/>
      <c r="AM989" s="27"/>
      <c r="AQ989" s="29"/>
    </row>
    <row r="990" spans="2:43" ht="19.5" customHeight="1">
      <c r="B990" s="4"/>
      <c r="E990" s="57"/>
      <c r="F990" s="58"/>
      <c r="G990" s="58"/>
      <c r="H990" s="58"/>
      <c r="I990" s="59"/>
      <c r="J990" s="253" t="s">
        <v>722</v>
      </c>
      <c r="K990" s="204"/>
      <c r="L990" s="204"/>
      <c r="M990" s="204" t="s">
        <v>721</v>
      </c>
      <c r="N990" s="204"/>
      <c r="O990" s="204"/>
      <c r="P990" s="204"/>
      <c r="Q990" s="190">
        <f>0.005*1000*Q987</f>
        <v>2440.3295744944758</v>
      </c>
      <c r="R990" s="190"/>
      <c r="S990" s="190"/>
      <c r="T990" s="190"/>
      <c r="U990" s="190">
        <f>0.005*1000*U987</f>
        <v>3713.2549566035236</v>
      </c>
      <c r="V990" s="190"/>
      <c r="W990" s="190"/>
      <c r="X990" s="190"/>
      <c r="Y990" s="190">
        <f>0.005*1000*Y987</f>
        <v>2440.3295744944758</v>
      </c>
      <c r="Z990" s="190"/>
      <c r="AA990" s="190"/>
      <c r="AB990" s="190"/>
      <c r="AH990" s="27"/>
      <c r="AI990" s="27"/>
      <c r="AJ990" s="27"/>
      <c r="AK990" s="27"/>
      <c r="AL990" s="27"/>
      <c r="AM990" s="27"/>
      <c r="AQ990" s="29"/>
    </row>
    <row r="991" spans="2:43" ht="19.5" customHeight="1">
      <c r="B991" s="4"/>
      <c r="E991" s="60"/>
      <c r="F991" s="52"/>
      <c r="G991" s="52"/>
      <c r="H991" s="52"/>
      <c r="I991" s="61"/>
      <c r="J991" s="232" t="s">
        <v>144</v>
      </c>
      <c r="K991" s="232"/>
      <c r="L991" s="232"/>
      <c r="M991" s="232"/>
      <c r="N991" s="232"/>
      <c r="O991" s="232"/>
      <c r="P991" s="233"/>
      <c r="Q991" s="190" t="str">
        <f>IF(Q$946&gt;=MAX(Q989,Q990),"O.K","N.G")</f>
        <v>N.G</v>
      </c>
      <c r="R991" s="190"/>
      <c r="S991" s="190"/>
      <c r="T991" s="190"/>
      <c r="U991" s="190" t="str">
        <f>IF(U$946&gt;=MAX(U989,U990),"O.K","N.G")</f>
        <v>N.G</v>
      </c>
      <c r="V991" s="190"/>
      <c r="W991" s="190"/>
      <c r="X991" s="190"/>
      <c r="Y991" s="190" t="str">
        <f>IF(Y$946&gt;=MAX(Y989,Y990),"O.K","N.G")</f>
        <v>N.G</v>
      </c>
      <c r="Z991" s="190"/>
      <c r="AA991" s="190"/>
      <c r="AB991" s="190"/>
      <c r="AH991" s="27"/>
      <c r="AI991" s="27"/>
      <c r="AJ991" s="27"/>
      <c r="AK991" s="27"/>
      <c r="AL991" s="27"/>
      <c r="AM991" s="27"/>
      <c r="AQ991" s="29"/>
    </row>
    <row r="992" spans="2:43" ht="19.5" customHeight="1">
      <c r="B992" s="4"/>
      <c r="D992" s="4"/>
      <c r="E992" s="4"/>
      <c r="F992" s="4"/>
      <c r="G992" s="4"/>
      <c r="H992" s="4"/>
      <c r="I992" s="4"/>
      <c r="J992" s="4"/>
      <c r="K992" s="4"/>
      <c r="L992" s="4"/>
      <c r="M992" s="4"/>
      <c r="AH992" s="27"/>
      <c r="AQ992" s="29"/>
    </row>
    <row r="993" spans="1:76" s="2" customFormat="1" ht="19.5" customHeight="1">
      <c r="A993" s="4"/>
      <c r="B993" s="4" t="s">
        <v>96</v>
      </c>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92" t="s">
        <v>935</v>
      </c>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row>
    <row r="994" spans="1:76" s="2" customFormat="1" ht="19.5" customHeight="1">
      <c r="A994" s="4"/>
      <c r="B994" s="4"/>
      <c r="C994" s="4"/>
      <c r="D994" s="4" t="s">
        <v>97</v>
      </c>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161"/>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row>
    <row r="995" spans="1:76" s="2" customFormat="1" ht="19.5" customHeight="1">
      <c r="A995" s="4"/>
      <c r="B995" s="4"/>
      <c r="C995" s="4" t="s">
        <v>98</v>
      </c>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161"/>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row>
    <row r="996" spans="1:76" s="2" customFormat="1" ht="19.5" customHeight="1">
      <c r="A996" s="4"/>
      <c r="B996" s="4"/>
      <c r="C996" s="4"/>
      <c r="D996" s="30" t="s">
        <v>113</v>
      </c>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row>
    <row r="997" spans="2:43" ht="19.5" customHeight="1">
      <c r="B997" s="4"/>
      <c r="C997" s="4"/>
      <c r="D997" s="4"/>
      <c r="E997" s="4"/>
      <c r="F997" s="4"/>
      <c r="G997" s="4"/>
      <c r="H997" s="4"/>
      <c r="I997" s="4"/>
      <c r="J997" s="4"/>
      <c r="L997" s="47"/>
      <c r="M997" s="47"/>
      <c r="P997" s="251">
        <f>R998-AB242</f>
        <v>200</v>
      </c>
      <c r="Q997" s="251">
        <f>R998-O242</f>
        <v>260</v>
      </c>
      <c r="AH997" s="27"/>
      <c r="AI997" s="27"/>
      <c r="AJ997" s="27"/>
      <c r="AK997" s="27"/>
      <c r="AL997" s="27"/>
      <c r="AM997" s="27"/>
      <c r="AN997" s="27"/>
      <c r="AO997" s="27"/>
      <c r="AQ997" s="29"/>
    </row>
    <row r="998" spans="2:43" ht="19.5" customHeight="1">
      <c r="B998" s="4"/>
      <c r="C998" s="4"/>
      <c r="D998" s="4"/>
      <c r="E998" s="4"/>
      <c r="F998" s="4"/>
      <c r="G998" s="4"/>
      <c r="H998" s="4"/>
      <c r="I998" s="4"/>
      <c r="J998" s="4"/>
      <c r="P998" s="251"/>
      <c r="Q998" s="251"/>
      <c r="R998" s="300">
        <f>AC240</f>
        <v>300</v>
      </c>
      <c r="AH998" s="27"/>
      <c r="AI998" s="27"/>
      <c r="AJ998" s="48" t="s">
        <v>730</v>
      </c>
      <c r="AK998" s="48" t="s">
        <v>731</v>
      </c>
      <c r="AL998" s="27"/>
      <c r="AN998" s="27"/>
      <c r="AO998" s="27"/>
      <c r="AQ998" s="29"/>
    </row>
    <row r="999" spans="2:43" ht="19.5" customHeight="1">
      <c r="B999" s="4"/>
      <c r="C999" s="4"/>
      <c r="D999" s="4"/>
      <c r="E999" s="4"/>
      <c r="F999" s="4"/>
      <c r="G999" s="4"/>
      <c r="H999" s="4"/>
      <c r="I999" s="4"/>
      <c r="J999" s="4"/>
      <c r="P999" s="48" t="s">
        <v>732</v>
      </c>
      <c r="Q999" s="48" t="s">
        <v>733</v>
      </c>
      <c r="R999" s="300"/>
      <c r="AH999" s="27"/>
      <c r="AI999" s="27"/>
      <c r="AJ999" s="27"/>
      <c r="AK999" s="27"/>
      <c r="AL999" s="27"/>
      <c r="AM999" s="27"/>
      <c r="AN999" s="27"/>
      <c r="AO999" s="27"/>
      <c r="AQ999" s="29"/>
    </row>
    <row r="1000" spans="2:43" ht="19.5" customHeight="1">
      <c r="B1000" s="4"/>
      <c r="C1000" s="4"/>
      <c r="D1000" s="4"/>
      <c r="E1000" s="4"/>
      <c r="F1000" s="4"/>
      <c r="G1000" s="4"/>
      <c r="H1000" s="4"/>
      <c r="I1000" s="4"/>
      <c r="Q1000" s="107"/>
      <c r="AH1000" s="27"/>
      <c r="AI1000" s="27"/>
      <c r="AJ1000" s="27"/>
      <c r="AK1000" s="27"/>
      <c r="AL1000" s="27"/>
      <c r="AM1000" s="27"/>
      <c r="AN1000" s="27"/>
      <c r="AO1000" s="27"/>
      <c r="AQ1000" s="29"/>
    </row>
    <row r="1001" spans="2:44" ht="19.5" customHeight="1">
      <c r="B1001" s="4"/>
      <c r="C1001" s="4"/>
      <c r="D1001" s="4"/>
      <c r="E1001" s="4"/>
      <c r="F1001" s="4"/>
      <c r="G1001" s="4"/>
      <c r="H1001" s="4"/>
      <c r="I1001" s="4"/>
      <c r="AH1001" s="27"/>
      <c r="AI1001" s="27"/>
      <c r="AJ1001" s="27"/>
      <c r="AK1001" s="27"/>
      <c r="AL1001" s="27"/>
      <c r="AM1001" s="27"/>
      <c r="AN1001" s="27"/>
      <c r="AO1001" s="27"/>
      <c r="AP1001" s="27"/>
      <c r="AQ1001" s="29"/>
      <c r="AR1001" s="29"/>
    </row>
    <row r="1002" spans="1:76" s="2" customFormat="1" ht="19.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row>
    <row r="1003" spans="1:76" s="2" customFormat="1" ht="19.5" customHeight="1">
      <c r="A1003" s="4"/>
      <c r="B1003" s="4"/>
      <c r="C1003" s="4"/>
      <c r="D1003" s="4" t="s">
        <v>99</v>
      </c>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row>
    <row r="1004" spans="1:76" s="2" customFormat="1" ht="19.5" customHeight="1">
      <c r="A1004" s="4"/>
      <c r="B1004" s="4"/>
      <c r="C1004" s="4"/>
      <c r="D1004" s="4" t="s">
        <v>100</v>
      </c>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row>
    <row r="1005" spans="1:76" s="2" customFormat="1" ht="19.5" customHeight="1">
      <c r="A1005" s="4"/>
      <c r="B1005" s="4"/>
      <c r="C1005" s="4"/>
      <c r="D1005" s="4"/>
      <c r="E1005" s="4" t="s">
        <v>734</v>
      </c>
      <c r="F1005" s="4"/>
      <c r="G1005" s="30" t="s">
        <v>735</v>
      </c>
      <c r="H1005" s="4"/>
      <c r="I1005" s="4"/>
      <c r="J1005" s="4"/>
      <c r="K1005" s="4"/>
      <c r="L1005" s="4" t="s">
        <v>1360</v>
      </c>
      <c r="M1005" s="38">
        <f>AI244</f>
        <v>2292</v>
      </c>
      <c r="N1005" s="38"/>
      <c r="O1005" s="38"/>
      <c r="P1005" s="4" t="s">
        <v>1026</v>
      </c>
      <c r="Q1005" s="330">
        <v>345</v>
      </c>
      <c r="R1005" s="330"/>
      <c r="S1005" s="30" t="s">
        <v>736</v>
      </c>
      <c r="T1005" s="4"/>
      <c r="U1005" s="4"/>
      <c r="V1005" s="4" t="s">
        <v>1360</v>
      </c>
      <c r="W1005" s="244">
        <f>M1005*Q1005/1000</f>
        <v>790.74</v>
      </c>
      <c r="X1005" s="244"/>
      <c r="Y1005" s="244"/>
      <c r="Z1005" s="4" t="s">
        <v>737</v>
      </c>
      <c r="AA1005" s="4"/>
      <c r="AB1005" s="4"/>
      <c r="AC1005" s="4"/>
      <c r="AD1005" s="4"/>
      <c r="AE1005" s="4"/>
      <c r="AF1005" s="4"/>
      <c r="AG1005" s="4"/>
      <c r="AH1005" s="4"/>
      <c r="AI1005" s="4"/>
      <c r="AJ1005" s="4"/>
      <c r="AK1005" s="4"/>
      <c r="AL1005" s="4"/>
      <c r="AM1005" s="4"/>
      <c r="AN1005" s="4"/>
      <c r="AO1005" s="4"/>
      <c r="AP1005" s="4"/>
      <c r="AQ1005" s="4"/>
      <c r="AR1005" s="43"/>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row>
    <row r="1006" spans="1:76" s="2" customFormat="1" ht="19.5" customHeight="1">
      <c r="A1006" s="4"/>
      <c r="B1006" s="4"/>
      <c r="C1006" s="4"/>
      <c r="D1006" s="4"/>
      <c r="E1006" s="4" t="s">
        <v>738</v>
      </c>
      <c r="F1006" s="4"/>
      <c r="G1006" s="30" t="s">
        <v>739</v>
      </c>
      <c r="H1006" s="4"/>
      <c r="I1006" s="4"/>
      <c r="J1006" s="4"/>
      <c r="K1006" s="4"/>
      <c r="L1006" s="4"/>
      <c r="M1006" s="4"/>
      <c r="N1006" s="4"/>
      <c r="O1006" s="4" t="s">
        <v>1360</v>
      </c>
      <c r="P1006" s="38">
        <f>AG241</f>
        <v>2503.2</v>
      </c>
      <c r="Q1006" s="38"/>
      <c r="R1006" s="38"/>
      <c r="S1006" s="4" t="s">
        <v>1026</v>
      </c>
      <c r="T1006" s="245">
        <v>0.93</v>
      </c>
      <c r="U1006" s="245"/>
      <c r="V1006" s="245"/>
      <c r="W1006" s="4" t="s">
        <v>1026</v>
      </c>
      <c r="X1006" s="330">
        <v>1831</v>
      </c>
      <c r="Y1006" s="330"/>
      <c r="Z1006" s="330"/>
      <c r="AA1006" s="30" t="s">
        <v>736</v>
      </c>
      <c r="AB1006" s="4"/>
      <c r="AC1006" s="4"/>
      <c r="AD1006" s="4" t="s">
        <v>1360</v>
      </c>
      <c r="AE1006" s="244">
        <f>P1006*T1006*X1006/1000</f>
        <v>4262.524056</v>
      </c>
      <c r="AF1006" s="244"/>
      <c r="AG1006" s="244"/>
      <c r="AH1006" s="4" t="s">
        <v>737</v>
      </c>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row>
    <row r="1007" spans="1:76" s="2" customFormat="1" ht="19.5" customHeight="1">
      <c r="A1007" s="4"/>
      <c r="B1007" s="4"/>
      <c r="C1007" s="4"/>
      <c r="D1007" s="4" t="s">
        <v>101</v>
      </c>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row>
    <row r="1008" spans="1:76" s="2" customFormat="1" ht="19.5" customHeight="1">
      <c r="A1008" s="4"/>
      <c r="B1008" s="4"/>
      <c r="C1008" s="4"/>
      <c r="D1008" s="4"/>
      <c r="E1008" s="4" t="s">
        <v>740</v>
      </c>
      <c r="F1008" s="4"/>
      <c r="G1008" s="4" t="s">
        <v>1356</v>
      </c>
      <c r="H1008" s="4" t="s">
        <v>741</v>
      </c>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row>
    <row r="1009" spans="1:76" s="2" customFormat="1" ht="19.5" customHeight="1">
      <c r="A1009" s="4"/>
      <c r="B1009" s="4"/>
      <c r="C1009" s="4"/>
      <c r="D1009" s="4"/>
      <c r="E1009" s="4"/>
      <c r="F1009" s="4"/>
      <c r="G1009" s="4" t="s">
        <v>1356</v>
      </c>
      <c r="H1009" s="245">
        <v>0.85</v>
      </c>
      <c r="I1009" s="245"/>
      <c r="J1009" s="245"/>
      <c r="K1009" s="4" t="s">
        <v>654</v>
      </c>
      <c r="L1009" s="252">
        <f>T677</f>
        <v>40</v>
      </c>
      <c r="M1009" s="252"/>
      <c r="N1009" s="4" t="s">
        <v>654</v>
      </c>
      <c r="O1009" s="318">
        <f>IF(L1009&lt;=50,0.8,IF(L1009&gt;=60,0.72,0.8-(L1009-50)*0.008))</f>
        <v>0.8</v>
      </c>
      <c r="P1009" s="318"/>
      <c r="Q1009" s="318"/>
      <c r="R1009" s="4" t="s">
        <v>742</v>
      </c>
      <c r="S1009" s="4" t="s">
        <v>1356</v>
      </c>
      <c r="T1009" s="50">
        <f>H1009*L1009*O1009</f>
        <v>27.200000000000003</v>
      </c>
      <c r="U1009" s="50"/>
      <c r="V1009" s="50"/>
      <c r="W1009" s="4" t="s">
        <v>742</v>
      </c>
      <c r="X1009" s="4"/>
      <c r="Y1009" s="4" t="s">
        <v>743</v>
      </c>
      <c r="Z1009" s="4"/>
      <c r="AA1009" s="4"/>
      <c r="AB1009" s="4"/>
      <c r="AC1009" s="4"/>
      <c r="AD1009" s="4"/>
      <c r="AE1009" s="4"/>
      <c r="AF1009" s="4"/>
      <c r="AG1009" s="4"/>
      <c r="AH1009" s="4"/>
      <c r="AI1009" s="4"/>
      <c r="AJ1009" s="4"/>
      <c r="AK1009" s="4"/>
      <c r="AL1009" s="4"/>
      <c r="AM1009" s="4"/>
      <c r="AN1009" s="4"/>
      <c r="AO1009" s="4"/>
      <c r="AP1009" s="4"/>
      <c r="AQ1009" s="4"/>
      <c r="AR1009" s="51"/>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row>
    <row r="1010" spans="1:76" s="2" customFormat="1" ht="19.5" customHeight="1">
      <c r="A1010" s="4"/>
      <c r="B1010" s="4"/>
      <c r="C1010" s="4"/>
      <c r="D1010" s="4" t="s">
        <v>744</v>
      </c>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51"/>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row>
    <row r="1011" spans="1:76" s="2" customFormat="1" ht="19.5" customHeight="1">
      <c r="A1011" s="4"/>
      <c r="B1011" s="4"/>
      <c r="C1011" s="4"/>
      <c r="D1011" s="4"/>
      <c r="E1011" s="235" t="s">
        <v>740</v>
      </c>
      <c r="F1011" s="235"/>
      <c r="G1011" s="235"/>
      <c r="H1011" s="235"/>
      <c r="I1011" s="4" t="s">
        <v>1356</v>
      </c>
      <c r="J1011" s="4" t="s">
        <v>745</v>
      </c>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51"/>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row>
    <row r="1012" spans="1:76" s="2" customFormat="1" ht="19.5" customHeight="1">
      <c r="A1012" s="4"/>
      <c r="B1012" s="4"/>
      <c r="C1012" s="4"/>
      <c r="D1012" s="4"/>
      <c r="E1012" s="50">
        <f>T1009</f>
        <v>27.200000000000003</v>
      </c>
      <c r="F1012" s="50"/>
      <c r="G1012" s="50"/>
      <c r="H1012" s="4" t="s">
        <v>742</v>
      </c>
      <c r="I1012" s="4" t="s">
        <v>1356</v>
      </c>
      <c r="J1012" s="244">
        <f>W1005</f>
        <v>790.74</v>
      </c>
      <c r="K1012" s="244"/>
      <c r="L1012" s="244"/>
      <c r="M1012" s="4" t="s">
        <v>746</v>
      </c>
      <c r="N1012" s="244">
        <f>AE1006</f>
        <v>4262.524056</v>
      </c>
      <c r="O1012" s="244"/>
      <c r="P1012" s="244"/>
      <c r="Q1012" s="4" t="s">
        <v>1356</v>
      </c>
      <c r="R1012" s="244">
        <f>J1012+N1012</f>
        <v>5053.264056</v>
      </c>
      <c r="S1012" s="244"/>
      <c r="T1012" s="244"/>
      <c r="U1012" s="4" t="s">
        <v>743</v>
      </c>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row>
    <row r="1013" spans="1:76" s="2" customFormat="1" ht="19.5" customHeight="1">
      <c r="A1013" s="4"/>
      <c r="B1013" s="4"/>
      <c r="C1013" s="4"/>
      <c r="D1013" s="4"/>
      <c r="E1013" s="4"/>
      <c r="F1013" s="4" t="s">
        <v>742</v>
      </c>
      <c r="G1013" s="4"/>
      <c r="H1013" s="4"/>
      <c r="I1013" s="4" t="s">
        <v>1356</v>
      </c>
      <c r="J1013" s="244">
        <f>R1012/E1012</f>
        <v>185.78176676470585</v>
      </c>
      <c r="K1013" s="244"/>
      <c r="L1013" s="244"/>
      <c r="M1013" s="4" t="s">
        <v>747</v>
      </c>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row>
    <row r="1014" spans="1:76" s="2" customFormat="1" ht="19.5" customHeight="1">
      <c r="A1014" s="4"/>
      <c r="B1014" s="4"/>
      <c r="C1014" s="4"/>
      <c r="D1014" s="4" t="s">
        <v>102</v>
      </c>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row>
    <row r="1015" spans="1:76" s="2" customFormat="1" ht="19.5" customHeight="1">
      <c r="A1015" s="4"/>
      <c r="B1015" s="4"/>
      <c r="C1015" s="4"/>
      <c r="D1015" s="4"/>
      <c r="E1015" s="225" t="s">
        <v>748</v>
      </c>
      <c r="F1015" s="225"/>
      <c r="G1015" s="235" t="s">
        <v>256</v>
      </c>
      <c r="H1015" s="225" t="s">
        <v>749</v>
      </c>
      <c r="I1015" s="225"/>
      <c r="J1015" s="225"/>
      <c r="K1015" s="225"/>
      <c r="L1015" s="235" t="s">
        <v>256</v>
      </c>
      <c r="M1015" s="53"/>
      <c r="N1015" s="225" t="s">
        <v>750</v>
      </c>
      <c r="O1015" s="225"/>
      <c r="P1015" s="53"/>
      <c r="Q1015" s="4"/>
      <c r="R1015" s="249" t="s">
        <v>103</v>
      </c>
      <c r="S1015" s="249"/>
      <c r="T1015" s="249"/>
      <c r="U1015" s="249"/>
      <c r="V1015" s="249"/>
      <c r="W1015" s="249"/>
      <c r="X1015" s="249"/>
      <c r="Y1015" s="249"/>
      <c r="Z1015" s="249"/>
      <c r="AA1015" s="249"/>
      <c r="AB1015" s="249"/>
      <c r="AC1015" s="249"/>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row>
    <row r="1016" spans="1:76" s="2" customFormat="1" ht="19.5" customHeight="1">
      <c r="A1016" s="4"/>
      <c r="B1016" s="4"/>
      <c r="C1016" s="4"/>
      <c r="D1016" s="4"/>
      <c r="E1016" s="235" t="s">
        <v>725</v>
      </c>
      <c r="F1016" s="235"/>
      <c r="G1016" s="235"/>
      <c r="H1016" s="235" t="s">
        <v>751</v>
      </c>
      <c r="I1016" s="235"/>
      <c r="J1016" s="235"/>
      <c r="K1016" s="235"/>
      <c r="L1016" s="235"/>
      <c r="M1016" s="235" t="s">
        <v>752</v>
      </c>
      <c r="N1016" s="235"/>
      <c r="O1016" s="235"/>
      <c r="P1016" s="235"/>
      <c r="Q1016" s="4"/>
      <c r="R1016" s="249"/>
      <c r="S1016" s="249"/>
      <c r="T1016" s="249"/>
      <c r="U1016" s="249"/>
      <c r="V1016" s="249"/>
      <c r="W1016" s="249"/>
      <c r="X1016" s="249"/>
      <c r="Y1016" s="249"/>
      <c r="Z1016" s="249"/>
      <c r="AA1016" s="249"/>
      <c r="AB1016" s="249"/>
      <c r="AC1016" s="249"/>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row>
    <row r="1017" spans="1:76" s="2" customFormat="1" ht="19.5" customHeight="1">
      <c r="A1017" s="4"/>
      <c r="B1017" s="4"/>
      <c r="C1017" s="4"/>
      <c r="D1017" s="4"/>
      <c r="E1017" s="4" t="s">
        <v>753</v>
      </c>
      <c r="F1017" s="4"/>
      <c r="G1017" s="4" t="s">
        <v>1360</v>
      </c>
      <c r="H1017" s="4" t="s">
        <v>754</v>
      </c>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51"/>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row>
    <row r="1018" spans="1:76" s="2" customFormat="1" ht="19.5" customHeight="1">
      <c r="A1018" s="4"/>
      <c r="B1018" s="4"/>
      <c r="C1018" s="4"/>
      <c r="D1018" s="4"/>
      <c r="E1018" s="4"/>
      <c r="F1018" s="4"/>
      <c r="G1018" s="4" t="s">
        <v>1360</v>
      </c>
      <c r="H1018" s="247">
        <f>IF(L1009&lt;=50,0.0035,IF(L1009&gt;=60,0.0025,0.0035-(L1009-50)*0.0001))</f>
        <v>0.0035</v>
      </c>
      <c r="I1018" s="247"/>
      <c r="J1018" s="247"/>
      <c r="K1018" s="30" t="s">
        <v>755</v>
      </c>
      <c r="L1018" s="244">
        <f>J1013</f>
        <v>185.78176676470585</v>
      </c>
      <c r="M1018" s="244"/>
      <c r="N1018" s="244"/>
      <c r="O1018" s="4" t="s">
        <v>1026</v>
      </c>
      <c r="P1018" s="4" t="s">
        <v>1359</v>
      </c>
      <c r="Q1018" s="244">
        <f>Q997</f>
        <v>260</v>
      </c>
      <c r="R1018" s="244"/>
      <c r="S1018" s="244"/>
      <c r="T1018" s="4" t="s">
        <v>1387</v>
      </c>
      <c r="U1018" s="244">
        <f>J1013</f>
        <v>185.78176676470585</v>
      </c>
      <c r="V1018" s="244"/>
      <c r="W1018" s="244"/>
      <c r="X1018" s="4" t="s">
        <v>489</v>
      </c>
      <c r="Y1018" s="4"/>
      <c r="Z1018" s="4"/>
      <c r="AA1018" s="4"/>
      <c r="AB1018" s="4"/>
      <c r="AC1018" s="4"/>
      <c r="AD1018" s="4"/>
      <c r="AE1018" s="4"/>
      <c r="AF1018" s="4"/>
      <c r="AG1018" s="4"/>
      <c r="AH1018" s="4"/>
      <c r="AI1018" s="4"/>
      <c r="AJ1018" s="4"/>
      <c r="AK1018" s="4"/>
      <c r="AL1018" s="4"/>
      <c r="AM1018" s="4"/>
      <c r="AN1018" s="4"/>
      <c r="AO1018" s="4"/>
      <c r="AP1018" s="4"/>
      <c r="AQ1018" s="4"/>
      <c r="AR1018" s="51"/>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row>
    <row r="1019" spans="1:76" s="2" customFormat="1" ht="19.5" customHeight="1">
      <c r="A1019" s="4"/>
      <c r="B1019" s="4"/>
      <c r="C1019" s="4"/>
      <c r="D1019" s="4"/>
      <c r="E1019" s="4"/>
      <c r="F1019" s="4"/>
      <c r="G1019" s="4" t="s">
        <v>1360</v>
      </c>
      <c r="H1019" s="248">
        <f>H1018/L1018*(Q1018-U1018)</f>
        <v>0.0013982201851515522</v>
      </c>
      <c r="I1019" s="248"/>
      <c r="J1019" s="248"/>
      <c r="K1019" s="4"/>
      <c r="L1019" s="4" t="str">
        <f>IF(H1019&gt;=AF1019,"&gt;","&lt;")</f>
        <v>&lt;</v>
      </c>
      <c r="M1019" s="4"/>
      <c r="N1019" s="4" t="s">
        <v>756</v>
      </c>
      <c r="O1019" s="4"/>
      <c r="P1019" s="4" t="s">
        <v>1360</v>
      </c>
      <c r="Q1019" s="4" t="s">
        <v>757</v>
      </c>
      <c r="R1019" s="4"/>
      <c r="S1019" s="4"/>
      <c r="T1019" s="4"/>
      <c r="U1019" s="4" t="s">
        <v>1360</v>
      </c>
      <c r="V1019" s="40">
        <f>Q1005</f>
        <v>345</v>
      </c>
      <c r="W1019" s="40"/>
      <c r="X1019" s="30" t="s">
        <v>755</v>
      </c>
      <c r="Y1019" s="250">
        <f>U509</f>
        <v>2</v>
      </c>
      <c r="Z1019" s="250"/>
      <c r="AA1019" s="250"/>
      <c r="AB1019" s="27" t="s">
        <v>1026</v>
      </c>
      <c r="AC1019" s="39" t="s">
        <v>412</v>
      </c>
      <c r="AD1019" s="29"/>
      <c r="AE1019" s="4" t="s">
        <v>1360</v>
      </c>
      <c r="AF1019" s="248">
        <f>V1019/Y1019/100000</f>
        <v>0.001725</v>
      </c>
      <c r="AG1019" s="248"/>
      <c r="AH1019" s="248"/>
      <c r="AI1019" s="4"/>
      <c r="AJ1019" s="4" t="str">
        <f>IF(H1019&gt;=AF1019,"→ 降伏","→ 降伏しない")</f>
        <v>→ 降伏しない</v>
      </c>
      <c r="AK1019" s="4"/>
      <c r="AL1019" s="4"/>
      <c r="AM1019" s="4"/>
      <c r="AN1019" s="4"/>
      <c r="AO1019" s="4"/>
      <c r="AP1019" s="4"/>
      <c r="AQ1019" s="4"/>
      <c r="AR1019" s="51"/>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row>
    <row r="1020" spans="1:76" s="2" customFormat="1" ht="19.5" customHeight="1">
      <c r="A1020" s="4"/>
      <c r="B1020" s="4"/>
      <c r="C1020" s="4"/>
      <c r="D1020" s="4"/>
      <c r="E1020" s="4" t="s">
        <v>758</v>
      </c>
      <c r="F1020" s="4"/>
      <c r="G1020" s="4" t="s">
        <v>1360</v>
      </c>
      <c r="H1020" s="4" t="s">
        <v>759</v>
      </c>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row>
    <row r="1021" spans="1:76" s="2" customFormat="1" ht="19.5" customHeight="1">
      <c r="A1021" s="4"/>
      <c r="B1021" s="4"/>
      <c r="C1021" s="4"/>
      <c r="D1021" s="4"/>
      <c r="E1021" s="4"/>
      <c r="F1021" s="4"/>
      <c r="G1021" s="4" t="s">
        <v>1360</v>
      </c>
      <c r="H1021" s="247">
        <f>H1018</f>
        <v>0.0035</v>
      </c>
      <c r="I1021" s="247"/>
      <c r="J1021" s="247"/>
      <c r="K1021" s="30" t="s">
        <v>755</v>
      </c>
      <c r="L1021" s="244">
        <f>J1013</f>
        <v>185.78176676470585</v>
      </c>
      <c r="M1021" s="244"/>
      <c r="N1021" s="244"/>
      <c r="O1021" s="4" t="s">
        <v>1026</v>
      </c>
      <c r="P1021" s="4" t="s">
        <v>1359</v>
      </c>
      <c r="Q1021" s="244">
        <f>P997</f>
        <v>200</v>
      </c>
      <c r="R1021" s="244"/>
      <c r="S1021" s="244"/>
      <c r="T1021" s="4" t="s">
        <v>1387</v>
      </c>
      <c r="U1021" s="244">
        <f>U1018</f>
        <v>185.78176676470585</v>
      </c>
      <c r="V1021" s="244"/>
      <c r="W1021" s="244"/>
      <c r="X1021" s="4" t="s">
        <v>489</v>
      </c>
      <c r="Y1021" s="4" t="s">
        <v>1027</v>
      </c>
      <c r="Z1021" s="244">
        <f>R892</f>
        <v>964.3523146046765</v>
      </c>
      <c r="AA1021" s="244"/>
      <c r="AB1021" s="244"/>
      <c r="AC1021" s="30" t="s">
        <v>755</v>
      </c>
      <c r="AD1021" s="250">
        <f>Y1019</f>
        <v>2</v>
      </c>
      <c r="AE1021" s="250"/>
      <c r="AF1021" s="250"/>
      <c r="AG1021" s="27" t="s">
        <v>1026</v>
      </c>
      <c r="AH1021" s="39" t="s">
        <v>412</v>
      </c>
      <c r="AI1021" s="29"/>
      <c r="AJ1021" s="4"/>
      <c r="AK1021" s="4"/>
      <c r="AL1021" s="4"/>
      <c r="AM1021" s="4"/>
      <c r="AN1021" s="4"/>
      <c r="AO1021" s="4"/>
      <c r="AP1021" s="4"/>
      <c r="AQ1021" s="4"/>
      <c r="AR1021" s="43"/>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row>
    <row r="1022" spans="1:76" s="2" customFormat="1" ht="19.5" customHeight="1">
      <c r="A1022" s="4"/>
      <c r="B1022" s="4"/>
      <c r="C1022" s="4"/>
      <c r="D1022" s="4"/>
      <c r="E1022" s="4"/>
      <c r="F1022" s="4"/>
      <c r="G1022" s="4" t="s">
        <v>1360</v>
      </c>
      <c r="H1022" s="248">
        <f>H1021/L1021*(Q1021-U1021)+Z1021/AD1021/100000</f>
        <v>0.005089623253909192</v>
      </c>
      <c r="I1022" s="248"/>
      <c r="J1022" s="248"/>
      <c r="K1022" s="4"/>
      <c r="L1022" s="4" t="str">
        <f>IF(H1022&gt;=N1022,"&gt;","&lt;")</f>
        <v>&lt;</v>
      </c>
      <c r="M1022" s="4"/>
      <c r="N1022" s="248">
        <v>0.015</v>
      </c>
      <c r="O1022" s="248"/>
      <c r="P1022" s="248"/>
      <c r="Q1022" s="4"/>
      <c r="R1022" s="4" t="str">
        <f>IF(H1022&gt;=N1022,"→ 降伏","→ 降伏しない")</f>
        <v>→ 降伏しない</v>
      </c>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row>
    <row r="1023" spans="1:76" s="2" customFormat="1" ht="19.5" customHeight="1">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row>
    <row r="1024" spans="1:76" s="2" customFormat="1" ht="19.5" customHeight="1">
      <c r="A1024" s="4" t="s">
        <v>1366</v>
      </c>
      <c r="B1024" s="4"/>
      <c r="C1024" s="4"/>
      <c r="D1024" s="4" t="s">
        <v>1388</v>
      </c>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row>
    <row r="1025" spans="1:76" s="2" customFormat="1" ht="19.5" customHeight="1">
      <c r="A1025" s="4"/>
      <c r="B1025" s="4"/>
      <c r="C1025" s="4"/>
      <c r="D1025" s="4" t="s">
        <v>104</v>
      </c>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row>
    <row r="1026" spans="1:76" s="2" customFormat="1" ht="19.5" customHeight="1">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row>
    <row r="1027" spans="1:76" s="2" customFormat="1" ht="19.5" customHeight="1">
      <c r="A1027" s="4"/>
      <c r="B1027" s="4"/>
      <c r="C1027" s="4"/>
      <c r="D1027" s="4"/>
      <c r="E1027" s="4"/>
      <c r="F1027" s="4"/>
      <c r="G1027" s="4"/>
      <c r="H1027" s="4"/>
      <c r="I1027" s="4"/>
      <c r="J1027" s="4"/>
      <c r="K1027" s="4"/>
      <c r="L1027" s="4"/>
      <c r="M1027" s="4"/>
      <c r="N1027" s="4"/>
      <c r="O1027" s="4" t="str">
        <f>"σ ="&amp;ROUND(H1029,1)&amp;"+("&amp;ROUND(H1028,1)&amp;"-"&amp;ROUND(H1029,1)&amp;")/(0.015-0.00756)×(εp-0.00756)"</f>
        <v>σ =1538+(1702.8-1538)/(0.015-0.00756)×(εp-0.00756)</v>
      </c>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row>
    <row r="1028" spans="1:76" s="2" customFormat="1" ht="19.5" customHeight="1">
      <c r="A1028" s="4"/>
      <c r="B1028" s="4"/>
      <c r="C1028" s="4"/>
      <c r="D1028" s="4" t="s">
        <v>760</v>
      </c>
      <c r="E1028" s="4"/>
      <c r="F1028" s="4"/>
      <c r="G1028" s="4"/>
      <c r="H1028" s="244">
        <f>X1006*0.93</f>
        <v>1702.8300000000002</v>
      </c>
      <c r="I1028" s="244"/>
      <c r="J1028" s="244"/>
      <c r="K1028" s="4" t="s">
        <v>670</v>
      </c>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row>
    <row r="1029" spans="1:76" s="2" customFormat="1" ht="19.5" customHeight="1">
      <c r="A1029" s="4"/>
      <c r="B1029" s="4"/>
      <c r="C1029" s="4"/>
      <c r="D1029" s="4" t="s">
        <v>761</v>
      </c>
      <c r="E1029" s="4"/>
      <c r="F1029" s="4"/>
      <c r="G1029" s="4"/>
      <c r="H1029" s="244">
        <f>X1006*0.84</f>
        <v>1538.04</v>
      </c>
      <c r="I1029" s="244"/>
      <c r="J1029" s="244"/>
      <c r="K1029" s="4" t="s">
        <v>670</v>
      </c>
      <c r="L1029" s="4"/>
      <c r="M1029" s="4"/>
      <c r="N1029" s="4"/>
      <c r="O1029" s="4"/>
      <c r="P1029" s="4"/>
      <c r="Q1029" s="4"/>
      <c r="R1029" s="4"/>
      <c r="S1029" s="4"/>
      <c r="T1029" s="4"/>
      <c r="U1029" s="4"/>
      <c r="V1029" s="4"/>
      <c r="W1029" s="4"/>
      <c r="X1029" s="4"/>
      <c r="Y1029" s="4"/>
      <c r="Z1029" s="4"/>
      <c r="AA1029" s="4"/>
      <c r="AB1029" s="4"/>
      <c r="AC1029" s="4" t="s">
        <v>762</v>
      </c>
      <c r="AD1029" s="4"/>
      <c r="AE1029" s="4"/>
      <c r="AF1029" s="4"/>
      <c r="AG1029" s="244">
        <f>H1028</f>
        <v>1702.8300000000002</v>
      </c>
      <c r="AH1029" s="244"/>
      <c r="AI1029" s="244"/>
      <c r="AJ1029" s="4" t="s">
        <v>1389</v>
      </c>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row>
    <row r="1030" spans="1:76" s="2" customFormat="1" ht="19.5" customHeight="1">
      <c r="A1030" s="4"/>
      <c r="B1030" s="4"/>
      <c r="C1030" s="4"/>
      <c r="D1030" s="4"/>
      <c r="E1030" s="4"/>
      <c r="F1030" s="4"/>
      <c r="G1030" s="4"/>
      <c r="H1030" s="4"/>
      <c r="I1030" s="4"/>
      <c r="J1030" s="4"/>
      <c r="K1030" s="4"/>
      <c r="L1030" s="4"/>
      <c r="M1030" s="4"/>
      <c r="N1030" s="4"/>
      <c r="O1030" s="4"/>
      <c r="P1030" s="4"/>
      <c r="Q1030" s="4"/>
      <c r="R1030" s="4"/>
      <c r="S1030" s="4"/>
      <c r="T1030" s="4"/>
      <c r="U1030" s="4" t="s">
        <v>763</v>
      </c>
      <c r="V1030" s="4"/>
      <c r="W1030" s="4"/>
      <c r="X1030" s="4"/>
      <c r="Y1030" s="244">
        <f>H1029</f>
        <v>1538.04</v>
      </c>
      <c r="Z1030" s="244"/>
      <c r="AA1030" s="244"/>
      <c r="AB1030" s="4" t="s">
        <v>1389</v>
      </c>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row>
    <row r="1031" spans="1:76" s="2" customFormat="1" ht="19.5" customHeight="1">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row>
    <row r="1032" spans="1:76" s="2" customFormat="1" ht="19.5" customHeight="1">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row>
    <row r="1033" spans="1:76" s="2" customFormat="1" ht="19.5" customHeight="1">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row>
    <row r="1034" spans="1:76" s="2" customFormat="1" ht="19.5" customHeight="1">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row>
    <row r="1035" spans="1:76" s="2" customFormat="1" ht="19.5" customHeight="1">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row>
    <row r="1036" spans="1:76" s="2" customFormat="1" ht="19.5" customHeight="1">
      <c r="A1036" s="4"/>
      <c r="B1036" s="4"/>
      <c r="C1036" s="4"/>
      <c r="D1036" s="4"/>
      <c r="E1036" s="4"/>
      <c r="F1036" s="4"/>
      <c r="G1036" s="4"/>
      <c r="H1036" s="4"/>
      <c r="I1036" s="4"/>
      <c r="J1036" s="4"/>
      <c r="K1036" s="4"/>
      <c r="L1036" s="4"/>
      <c r="M1036" s="4"/>
      <c r="N1036" s="4"/>
      <c r="O1036" s="4"/>
      <c r="P1036" s="4"/>
      <c r="Q1036" s="4"/>
      <c r="R1036" s="55" t="s">
        <v>1405</v>
      </c>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row>
    <row r="1037" spans="1:76" s="2" customFormat="1" ht="19.5" customHeight="1">
      <c r="A1037" s="4"/>
      <c r="B1037" s="4"/>
      <c r="C1037" s="4"/>
      <c r="D1037" s="4"/>
      <c r="E1037" s="4" t="s">
        <v>764</v>
      </c>
      <c r="F1037" s="4"/>
      <c r="G1037" s="4" t="s">
        <v>290</v>
      </c>
      <c r="H1037" s="244">
        <f>H1029</f>
        <v>1538.04</v>
      </c>
      <c r="I1037" s="244"/>
      <c r="J1037" s="244"/>
      <c r="K1037" s="4" t="s">
        <v>344</v>
      </c>
      <c r="L1037" s="4" t="s">
        <v>1357</v>
      </c>
      <c r="M1037" s="244">
        <f>H1028</f>
        <v>1702.8300000000002</v>
      </c>
      <c r="N1037" s="244"/>
      <c r="O1037" s="244"/>
      <c r="P1037" s="4" t="s">
        <v>765</v>
      </c>
      <c r="Q1037" s="244">
        <f>H1029</f>
        <v>1538.04</v>
      </c>
      <c r="R1037" s="244"/>
      <c r="S1037" s="244"/>
      <c r="T1037" s="4" t="s">
        <v>766</v>
      </c>
      <c r="U1037" s="4"/>
      <c r="V1037" s="4"/>
      <c r="W1037" s="4"/>
      <c r="X1037" s="4"/>
      <c r="Y1037" s="4"/>
      <c r="Z1037" s="4"/>
      <c r="AA1037" s="4"/>
      <c r="AB1037" s="4" t="s">
        <v>767</v>
      </c>
      <c r="AC1037" s="4"/>
      <c r="AD1037" s="4"/>
      <c r="AE1037" s="4"/>
      <c r="AF1037" s="30" t="s">
        <v>768</v>
      </c>
      <c r="AG1037" s="4"/>
      <c r="AH1037" s="4"/>
      <c r="AI1037" s="4"/>
      <c r="AJ1037" s="4"/>
      <c r="AK1037" s="30" t="s">
        <v>769</v>
      </c>
      <c r="AL1037" s="4"/>
      <c r="AM1037" s="4"/>
      <c r="AN1037" s="4"/>
      <c r="AO1037" s="4"/>
      <c r="AP1037" s="4"/>
      <c r="AQ1037" s="4"/>
      <c r="AR1037" s="4"/>
      <c r="AS1037" s="4"/>
      <c r="AT1037" s="4"/>
      <c r="AU1037" s="244"/>
      <c r="AV1037" s="244"/>
      <c r="AW1037" s="244"/>
      <c r="AX1037" s="244"/>
      <c r="AY1037" s="4"/>
      <c r="AZ1037" s="4"/>
      <c r="BA1037" s="4"/>
      <c r="BB1037" s="244"/>
      <c r="BC1037" s="244"/>
      <c r="BD1037" s="244"/>
      <c r="BE1037" s="244"/>
      <c r="BF1037" s="43"/>
      <c r="BG1037" s="4"/>
      <c r="BH1037" s="4"/>
      <c r="BI1037" s="4"/>
      <c r="BJ1037" s="4"/>
      <c r="BK1037" s="4"/>
      <c r="BL1037" s="4"/>
      <c r="BM1037" s="4"/>
      <c r="BN1037" s="4"/>
      <c r="BO1037" s="4"/>
      <c r="BP1037" s="4"/>
      <c r="BQ1037" s="4"/>
      <c r="BR1037" s="30"/>
      <c r="BS1037" s="4"/>
      <c r="BT1037" s="4"/>
      <c r="BU1037" s="4"/>
      <c r="BV1037" s="4"/>
      <c r="BW1037" s="4"/>
      <c r="BX1037" s="4"/>
    </row>
    <row r="1038" spans="1:76" s="2" customFormat="1" ht="19.5" customHeight="1">
      <c r="A1038" s="4"/>
      <c r="B1038" s="4"/>
      <c r="C1038" s="4"/>
      <c r="D1038" s="4"/>
      <c r="E1038" s="4" t="s">
        <v>770</v>
      </c>
      <c r="F1038" s="4"/>
      <c r="G1038" s="4" t="s">
        <v>290</v>
      </c>
      <c r="H1038" s="247">
        <f>H1021</f>
        <v>0.0035</v>
      </c>
      <c r="I1038" s="247"/>
      <c r="J1038" s="247"/>
      <c r="K1038" s="30" t="s">
        <v>348</v>
      </c>
      <c r="L1038" s="4" t="s">
        <v>771</v>
      </c>
      <c r="M1038" s="4" t="s">
        <v>349</v>
      </c>
      <c r="N1038" s="4" t="s">
        <v>1357</v>
      </c>
      <c r="O1038" s="244">
        <f>Q1021</f>
        <v>200</v>
      </c>
      <c r="P1038" s="244"/>
      <c r="Q1038" s="244"/>
      <c r="R1038" s="4" t="s">
        <v>765</v>
      </c>
      <c r="S1038" s="4" t="s">
        <v>771</v>
      </c>
      <c r="T1038" s="4" t="s">
        <v>1120</v>
      </c>
      <c r="U1038" s="4" t="s">
        <v>344</v>
      </c>
      <c r="V1038" s="246">
        <f>Z1021/AD1021/100000</f>
        <v>0.004821761573023382</v>
      </c>
      <c r="W1038" s="246"/>
      <c r="X1038" s="246"/>
      <c r="Y1038" s="246"/>
      <c r="Z1038" s="4"/>
      <c r="AA1038" s="30" t="s">
        <v>772</v>
      </c>
      <c r="AB1038" s="4"/>
      <c r="AC1038" s="4"/>
      <c r="AD1038" s="4"/>
      <c r="AE1038" s="4"/>
      <c r="AF1038" s="4"/>
      <c r="AG1038" s="4"/>
      <c r="AH1038" s="4"/>
      <c r="AI1038" s="4"/>
      <c r="AJ1038" s="4"/>
      <c r="AK1038" s="4"/>
      <c r="AL1038" s="4"/>
      <c r="AM1038" s="4"/>
      <c r="AN1038" s="4"/>
      <c r="AO1038" s="4"/>
      <c r="AP1038" s="4"/>
      <c r="AQ1038" s="4"/>
      <c r="AR1038" s="4"/>
      <c r="AS1038" s="4"/>
      <c r="AT1038" s="4"/>
      <c r="AU1038" s="4"/>
      <c r="AV1038" s="244"/>
      <c r="AW1038" s="244"/>
      <c r="AX1038" s="244"/>
      <c r="AY1038" s="244"/>
      <c r="AZ1038" s="4"/>
      <c r="BA1038" s="244"/>
      <c r="BB1038" s="244"/>
      <c r="BC1038" s="244"/>
      <c r="BD1038" s="244"/>
      <c r="BE1038" s="4"/>
      <c r="BF1038" s="4"/>
      <c r="BG1038" s="4"/>
      <c r="BH1038" s="4"/>
      <c r="BI1038" s="4"/>
      <c r="BJ1038" s="244"/>
      <c r="BK1038" s="244"/>
      <c r="BL1038" s="244"/>
      <c r="BM1038" s="244"/>
      <c r="BN1038" s="30"/>
      <c r="BO1038" s="4"/>
      <c r="BP1038" s="4"/>
      <c r="BQ1038" s="43"/>
      <c r="BR1038" s="4"/>
      <c r="BS1038" s="4"/>
      <c r="BT1038" s="4"/>
      <c r="BU1038" s="4"/>
      <c r="BV1038" s="4"/>
      <c r="BW1038" s="4"/>
      <c r="BX1038" s="4"/>
    </row>
    <row r="1039" spans="1:76" s="2" customFormat="1" ht="19.5" customHeight="1">
      <c r="A1039" s="4" t="s">
        <v>592</v>
      </c>
      <c r="B1039" s="4"/>
      <c r="C1039" s="4"/>
      <c r="D1039" s="4" t="s">
        <v>773</v>
      </c>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50"/>
      <c r="AS1039" s="50"/>
      <c r="AT1039" s="50"/>
      <c r="AU1039" s="4"/>
      <c r="AV1039" s="4"/>
      <c r="AW1039" s="4"/>
      <c r="AX1039" s="244"/>
      <c r="AY1039" s="244"/>
      <c r="AZ1039" s="244"/>
      <c r="BA1039" s="244"/>
      <c r="BB1039" s="244"/>
      <c r="BC1039" s="4"/>
      <c r="BD1039" s="244"/>
      <c r="BE1039" s="244"/>
      <c r="BF1039" s="244"/>
      <c r="BG1039" s="244"/>
      <c r="BH1039" s="4"/>
      <c r="BI1039" s="4"/>
      <c r="BJ1039" s="4"/>
      <c r="BK1039" s="4"/>
      <c r="BL1039" s="4"/>
      <c r="BM1039" s="244"/>
      <c r="BN1039" s="244"/>
      <c r="BO1039" s="244"/>
      <c r="BP1039" s="244"/>
      <c r="BQ1039" s="43"/>
      <c r="BR1039" s="4"/>
      <c r="BS1039" s="4"/>
      <c r="BT1039" s="4"/>
      <c r="BU1039" s="4"/>
      <c r="BV1039" s="4"/>
      <c r="BW1039" s="4"/>
      <c r="BX1039" s="4"/>
    </row>
    <row r="1040" spans="1:76" s="2" customFormat="1" ht="19.5" customHeight="1">
      <c r="A1040" s="4"/>
      <c r="B1040" s="4"/>
      <c r="C1040" s="4"/>
      <c r="D1040" s="4"/>
      <c r="E1040" s="235" t="s">
        <v>774</v>
      </c>
      <c r="F1040" s="235"/>
      <c r="G1040" s="235"/>
      <c r="H1040" s="235"/>
      <c r="I1040" s="4" t="s">
        <v>290</v>
      </c>
      <c r="J1040" s="4" t="s">
        <v>775</v>
      </c>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50"/>
      <c r="AS1040" s="50"/>
      <c r="AT1040" s="50"/>
      <c r="AU1040" s="4"/>
      <c r="AV1040" s="4"/>
      <c r="AW1040" s="244"/>
      <c r="AX1040" s="244"/>
      <c r="AY1040" s="244"/>
      <c r="AZ1040" s="244"/>
      <c r="BA1040" s="244"/>
      <c r="BB1040" s="4"/>
      <c r="BC1040" s="4"/>
      <c r="BD1040" s="244"/>
      <c r="BE1040" s="244"/>
      <c r="BF1040" s="244"/>
      <c r="BG1040" s="244"/>
      <c r="BH1040" s="244"/>
      <c r="BI1040" s="4"/>
      <c r="BJ1040" s="4"/>
      <c r="BK1040" s="4"/>
      <c r="BL1040" s="4"/>
      <c r="BM1040" s="4"/>
      <c r="BN1040" s="4"/>
      <c r="BO1040" s="4"/>
      <c r="BP1040" s="4"/>
      <c r="BQ1040" s="4"/>
      <c r="BR1040" s="4"/>
      <c r="BS1040" s="4"/>
      <c r="BT1040" s="4"/>
      <c r="BU1040" s="4"/>
      <c r="BV1040" s="4"/>
      <c r="BW1040" s="4"/>
      <c r="BX1040" s="4"/>
    </row>
    <row r="1041" spans="1:76" s="2" customFormat="1" ht="19.5" customHeight="1">
      <c r="A1041" s="4"/>
      <c r="B1041" s="4"/>
      <c r="C1041" s="4"/>
      <c r="D1041" s="4"/>
      <c r="E1041" s="50">
        <f>E1012</f>
        <v>27.200000000000003</v>
      </c>
      <c r="F1041" s="50"/>
      <c r="G1041" s="50"/>
      <c r="H1041" s="4" t="s">
        <v>771</v>
      </c>
      <c r="I1041" s="4" t="s">
        <v>290</v>
      </c>
      <c r="J1041" s="244">
        <f>J1012</f>
        <v>790.74</v>
      </c>
      <c r="K1041" s="244"/>
      <c r="L1041" s="244"/>
      <c r="M1041" s="4" t="s">
        <v>344</v>
      </c>
      <c r="N1041" s="56" t="s">
        <v>776</v>
      </c>
      <c r="O1041" s="56"/>
      <c r="P1041" s="56"/>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3"/>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row>
    <row r="1042" spans="1:76" s="2" customFormat="1" ht="19.5" customHeight="1">
      <c r="A1042" s="4"/>
      <c r="B1042" s="4"/>
      <c r="C1042" s="4"/>
      <c r="D1042" s="4"/>
      <c r="E1042" s="4"/>
      <c r="F1042" s="4"/>
      <c r="G1042" s="4"/>
      <c r="H1042" s="4"/>
      <c r="I1042" s="4" t="s">
        <v>290</v>
      </c>
      <c r="J1042" s="244">
        <f>J1041</f>
        <v>790.74</v>
      </c>
      <c r="K1042" s="244"/>
      <c r="L1042" s="244"/>
      <c r="M1042" s="4" t="s">
        <v>344</v>
      </c>
      <c r="N1042" s="38">
        <f>P1006</f>
        <v>2503.2</v>
      </c>
      <c r="O1042" s="38"/>
      <c r="P1042" s="38"/>
      <c r="Q1042" s="4" t="s">
        <v>349</v>
      </c>
      <c r="R1042" s="4" t="s">
        <v>777</v>
      </c>
      <c r="S1042" s="4"/>
      <c r="T1042" s="30" t="s">
        <v>778</v>
      </c>
      <c r="U1042" s="4"/>
      <c r="V1042" s="4"/>
      <c r="W1042" s="30" t="s">
        <v>779</v>
      </c>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235"/>
      <c r="AU1042" s="235"/>
      <c r="AV1042" s="235"/>
      <c r="AW1042" s="4"/>
      <c r="AX1042" s="4"/>
      <c r="AY1042" s="4"/>
      <c r="AZ1042" s="4"/>
      <c r="BA1042" s="4"/>
      <c r="BB1042" s="4"/>
      <c r="BC1042" s="4"/>
      <c r="BD1042" s="4"/>
      <c r="BE1042" s="235"/>
      <c r="BF1042" s="235"/>
      <c r="BG1042" s="235"/>
      <c r="BH1042" s="4"/>
      <c r="BI1042" s="43"/>
      <c r="BJ1042" s="4"/>
      <c r="BK1042" s="4"/>
      <c r="BL1042" s="4"/>
      <c r="BM1042" s="4"/>
      <c r="BN1042" s="4"/>
      <c r="BO1042" s="4"/>
      <c r="BP1042" s="4"/>
      <c r="BQ1042" s="4"/>
      <c r="BR1042" s="4"/>
      <c r="BS1042" s="4"/>
      <c r="BT1042" s="4"/>
      <c r="BU1042" s="4"/>
      <c r="BV1042" s="4"/>
      <c r="BW1042" s="4"/>
      <c r="BX1042" s="4"/>
    </row>
    <row r="1043" spans="1:76" s="2" customFormat="1" ht="19.5" customHeight="1">
      <c r="A1043" s="4"/>
      <c r="B1043" s="4"/>
      <c r="C1043" s="4"/>
      <c r="D1043" s="4"/>
      <c r="E1043" s="4" t="s">
        <v>105</v>
      </c>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row>
    <row r="1044" spans="1:76" s="2" customFormat="1" ht="19.5" customHeight="1">
      <c r="A1044" s="4"/>
      <c r="B1044" s="4"/>
      <c r="C1044" s="4"/>
      <c r="D1044" s="4"/>
      <c r="E1044" s="4"/>
      <c r="F1044" s="4" t="s">
        <v>780</v>
      </c>
      <c r="G1044" s="4"/>
      <c r="H1044" s="245">
        <f>(-((M1037-Q1037)/0.00744*H1038*N1042/1000-(((M1037-Q1037)/0.00744*V1038+(H1037-(M1037-Q1037)/0.00744*0.00756))*N1042/1000+J1042))+SQRT(((M1037-Q1037)/0.00744*H1038*N1042/1000-(((M1037-Q1037)/0.00744*V1038+(H1037-(M1037-Q1037)/0.00744*0.00756))*N1042/1000+J1042))^2-4*E1041*(-(M1037-Q1037)/0.00744*H1038*O1038*N1042/1000)))/(2*E1041)</f>
        <v>166.47157423180676</v>
      </c>
      <c r="I1044" s="245"/>
      <c r="J1044" s="245"/>
      <c r="K1044" s="4" t="s">
        <v>994</v>
      </c>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3"/>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row>
    <row r="1045" spans="1:76" s="2" customFormat="1" ht="19.5" customHeight="1">
      <c r="A1045" s="4"/>
      <c r="B1045" s="4"/>
      <c r="C1045" s="4"/>
      <c r="D1045" s="4" t="s">
        <v>106</v>
      </c>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c r="BF1045" s="4"/>
      <c r="BG1045" s="4"/>
      <c r="BH1045" s="4"/>
      <c r="BI1045" s="4"/>
      <c r="BJ1045" s="4"/>
      <c r="BK1045" s="4"/>
      <c r="BL1045" s="4"/>
      <c r="BM1045" s="4"/>
      <c r="BN1045" s="4"/>
      <c r="BO1045" s="4"/>
      <c r="BP1045" s="4"/>
      <c r="BQ1045" s="4"/>
      <c r="BR1045" s="4"/>
      <c r="BS1045" s="4"/>
      <c r="BT1045" s="4"/>
      <c r="BU1045" s="4"/>
      <c r="BV1045" s="4"/>
      <c r="BW1045" s="4"/>
      <c r="BX1045" s="4"/>
    </row>
    <row r="1046" spans="1:76" s="2" customFormat="1" ht="19.5" customHeight="1">
      <c r="A1046" s="4"/>
      <c r="B1046" s="4"/>
      <c r="C1046" s="4"/>
      <c r="D1046" s="4"/>
      <c r="E1046" s="4"/>
      <c r="F1046" s="4" t="s">
        <v>781</v>
      </c>
      <c r="G1046" s="4"/>
      <c r="H1046" s="4" t="s">
        <v>1390</v>
      </c>
      <c r="I1046" s="4" t="s">
        <v>782</v>
      </c>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c r="BF1046" s="4"/>
      <c r="BG1046" s="4"/>
      <c r="BH1046" s="4"/>
      <c r="BI1046" s="4"/>
      <c r="BJ1046" s="4"/>
      <c r="BK1046" s="4"/>
      <c r="BL1046" s="4"/>
      <c r="BM1046" s="4"/>
      <c r="BN1046" s="4"/>
      <c r="BO1046" s="4"/>
      <c r="BP1046" s="4"/>
      <c r="BQ1046" s="4"/>
      <c r="BR1046" s="4"/>
      <c r="BS1046" s="4"/>
      <c r="BT1046" s="4"/>
      <c r="BU1046" s="4"/>
      <c r="BV1046" s="4"/>
      <c r="BW1046" s="4"/>
      <c r="BX1046" s="4"/>
    </row>
    <row r="1047" spans="1:76" s="2" customFormat="1" ht="19.5" customHeight="1">
      <c r="A1047" s="4"/>
      <c r="B1047" s="4"/>
      <c r="C1047" s="4"/>
      <c r="D1047" s="4"/>
      <c r="E1047" s="4"/>
      <c r="F1047" s="4"/>
      <c r="G1047" s="4"/>
      <c r="H1047" s="4" t="s">
        <v>1390</v>
      </c>
      <c r="I1047" s="247">
        <f>H1018</f>
        <v>0.0035</v>
      </c>
      <c r="J1047" s="247"/>
      <c r="K1047" s="247"/>
      <c r="L1047" s="30" t="s">
        <v>1391</v>
      </c>
      <c r="M1047" s="244">
        <f>H1044</f>
        <v>166.47157423180676</v>
      </c>
      <c r="N1047" s="244"/>
      <c r="O1047" s="244"/>
      <c r="P1047" s="4" t="s">
        <v>1392</v>
      </c>
      <c r="Q1047" s="4" t="s">
        <v>1393</v>
      </c>
      <c r="R1047" s="244">
        <f>Q997</f>
        <v>260</v>
      </c>
      <c r="S1047" s="244"/>
      <c r="T1047" s="244"/>
      <c r="U1047" s="4" t="s">
        <v>783</v>
      </c>
      <c r="V1047" s="244">
        <f>H1044</f>
        <v>166.47157423180676</v>
      </c>
      <c r="W1047" s="244"/>
      <c r="X1047" s="244"/>
      <c r="Y1047" s="4" t="s">
        <v>1394</v>
      </c>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row>
    <row r="1048" spans="1:76" s="2" customFormat="1" ht="19.5" customHeight="1">
      <c r="A1048" s="4"/>
      <c r="B1048" s="4"/>
      <c r="C1048" s="4"/>
      <c r="D1048" s="4"/>
      <c r="E1048" s="4"/>
      <c r="F1048" s="4"/>
      <c r="G1048" s="4"/>
      <c r="H1048" s="4" t="s">
        <v>1390</v>
      </c>
      <c r="I1048" s="248">
        <f>I1047/M1047*(R1047-V1047)</f>
        <v>0.0019663987182151105</v>
      </c>
      <c r="J1048" s="248"/>
      <c r="K1048" s="248"/>
      <c r="L1048" s="4"/>
      <c r="M1048" s="4" t="str">
        <f>IF(I1048&gt;=AG1048,"&gt;","&lt;")</f>
        <v>&gt;</v>
      </c>
      <c r="N1048" s="4"/>
      <c r="O1048" s="4" t="s">
        <v>784</v>
      </c>
      <c r="P1048" s="4"/>
      <c r="Q1048" s="4" t="s">
        <v>1390</v>
      </c>
      <c r="R1048" s="4" t="s">
        <v>785</v>
      </c>
      <c r="S1048" s="4"/>
      <c r="T1048" s="4"/>
      <c r="U1048" s="4"/>
      <c r="V1048" s="4" t="s">
        <v>1390</v>
      </c>
      <c r="W1048" s="40">
        <f>Q1005</f>
        <v>345</v>
      </c>
      <c r="X1048" s="40"/>
      <c r="Y1048" s="30" t="s">
        <v>1391</v>
      </c>
      <c r="Z1048" s="250">
        <f>Y1019</f>
        <v>2</v>
      </c>
      <c r="AA1048" s="250"/>
      <c r="AB1048" s="250"/>
      <c r="AC1048" s="27" t="s">
        <v>1392</v>
      </c>
      <c r="AD1048" s="39" t="s">
        <v>1395</v>
      </c>
      <c r="AE1048" s="29"/>
      <c r="AF1048" s="4" t="s">
        <v>1390</v>
      </c>
      <c r="AG1048" s="248">
        <f>W1048/Z1048/100000</f>
        <v>0.001725</v>
      </c>
      <c r="AH1048" s="248"/>
      <c r="AI1048" s="248"/>
      <c r="AJ1048" s="4"/>
      <c r="AK1048" s="4" t="str">
        <f>IF(I1048&gt;=AG1048,"→ 降伏","→ 降伏しない")</f>
        <v>→ 降伏</v>
      </c>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row>
    <row r="1049" spans="1:76" s="2" customFormat="1" ht="19.5" customHeight="1">
      <c r="A1049" s="4"/>
      <c r="B1049" s="4"/>
      <c r="C1049" s="4"/>
      <c r="D1049" s="4"/>
      <c r="E1049" s="4"/>
      <c r="F1049" s="4" t="s">
        <v>786</v>
      </c>
      <c r="G1049" s="4"/>
      <c r="H1049" s="4" t="s">
        <v>1390</v>
      </c>
      <c r="I1049" s="4" t="s">
        <v>787</v>
      </c>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row>
    <row r="1050" spans="1:76" s="2" customFormat="1" ht="19.5" customHeight="1">
      <c r="A1050" s="4"/>
      <c r="B1050" s="4"/>
      <c r="C1050" s="4"/>
      <c r="D1050" s="4"/>
      <c r="E1050" s="4"/>
      <c r="F1050" s="4"/>
      <c r="G1050" s="4"/>
      <c r="H1050" s="4" t="s">
        <v>1390</v>
      </c>
      <c r="I1050" s="4" t="s">
        <v>1390</v>
      </c>
      <c r="J1050" s="247">
        <f>I1047</f>
        <v>0.0035</v>
      </c>
      <c r="K1050" s="247"/>
      <c r="L1050" s="247"/>
      <c r="M1050" s="30" t="s">
        <v>1391</v>
      </c>
      <c r="N1050" s="244">
        <f>H1044</f>
        <v>166.47157423180676</v>
      </c>
      <c r="O1050" s="244"/>
      <c r="P1050" s="244"/>
      <c r="Q1050" s="4" t="s">
        <v>1392</v>
      </c>
      <c r="R1050" s="4" t="s">
        <v>1393</v>
      </c>
      <c r="S1050" s="244">
        <f>P997</f>
        <v>200</v>
      </c>
      <c r="T1050" s="244"/>
      <c r="U1050" s="244"/>
      <c r="V1050" s="4" t="s">
        <v>783</v>
      </c>
      <c r="W1050" s="244">
        <f>H1044</f>
        <v>166.47157423180676</v>
      </c>
      <c r="X1050" s="244"/>
      <c r="Y1050" s="244"/>
      <c r="Z1050" s="4" t="s">
        <v>1394</v>
      </c>
      <c r="AA1050" s="4" t="s">
        <v>1396</v>
      </c>
      <c r="AB1050" s="244">
        <f>Z1021</f>
        <v>964.3523146046765</v>
      </c>
      <c r="AC1050" s="244"/>
      <c r="AD1050" s="244"/>
      <c r="AE1050" s="30" t="s">
        <v>1391</v>
      </c>
      <c r="AF1050" s="250">
        <f>Z1048</f>
        <v>2</v>
      </c>
      <c r="AG1050" s="250"/>
      <c r="AH1050" s="250"/>
      <c r="AI1050" s="27" t="s">
        <v>1392</v>
      </c>
      <c r="AJ1050" s="39" t="s">
        <v>1395</v>
      </c>
      <c r="AK1050" s="29"/>
      <c r="AL1050" s="4"/>
      <c r="AM1050" s="4"/>
      <c r="AN1050" s="4"/>
      <c r="AO1050" s="4"/>
      <c r="AP1050" s="4"/>
      <c r="AQ1050" s="4"/>
      <c r="AR1050" s="4"/>
      <c r="AS1050" s="4"/>
      <c r="AT1050" s="4"/>
      <c r="AU1050" s="4"/>
      <c r="AV1050" s="4"/>
      <c r="AW1050" s="4"/>
      <c r="AX1050" s="4"/>
      <c r="AY1050" s="4"/>
      <c r="AZ1050" s="4"/>
      <c r="BA1050" s="4"/>
      <c r="BB1050" s="4"/>
      <c r="BC1050" s="4"/>
      <c r="BD1050" s="4"/>
      <c r="BE1050" s="4"/>
      <c r="BF1050" s="4"/>
      <c r="BG1050" s="4"/>
      <c r="BH1050" s="4"/>
      <c r="BI1050" s="4"/>
      <c r="BJ1050" s="4"/>
      <c r="BK1050" s="4"/>
      <c r="BL1050" s="4"/>
      <c r="BM1050" s="4"/>
      <c r="BN1050" s="4"/>
      <c r="BO1050" s="4"/>
      <c r="BP1050" s="4"/>
      <c r="BQ1050" s="4"/>
      <c r="BR1050" s="4"/>
      <c r="BS1050" s="4"/>
      <c r="BT1050" s="4"/>
      <c r="BU1050" s="4"/>
      <c r="BV1050" s="4"/>
      <c r="BW1050" s="4"/>
      <c r="BX1050" s="4"/>
    </row>
    <row r="1051" spans="1:76" s="2" customFormat="1" ht="19.5" customHeight="1">
      <c r="A1051" s="4"/>
      <c r="B1051" s="4"/>
      <c r="C1051" s="4"/>
      <c r="D1051" s="4"/>
      <c r="E1051" s="4"/>
      <c r="F1051" s="4"/>
      <c r="G1051" s="4"/>
      <c r="H1051" s="4"/>
      <c r="I1051" s="4" t="s">
        <v>1390</v>
      </c>
      <c r="J1051" s="248">
        <f>J1050/N1050*(S1050-W1050)+AB1050/AF1050/100000</f>
        <v>0.005526683663958082</v>
      </c>
      <c r="K1051" s="248"/>
      <c r="L1051" s="248"/>
      <c r="M1051" s="4"/>
      <c r="N1051" s="4" t="str">
        <f>IF(J1051&gt;=P1051,"&gt;","&lt;")</f>
        <v>&lt;</v>
      </c>
      <c r="O1051" s="4"/>
      <c r="P1051" s="319">
        <v>0.015</v>
      </c>
      <c r="Q1051" s="319"/>
      <c r="R1051" s="319"/>
      <c r="S1051" s="319"/>
      <c r="T1051" s="4" t="str">
        <f>IF(J1051&gt;=P1051,"→ 降伏","→ 降伏しない")</f>
        <v>→ 降伏しない</v>
      </c>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c r="BF1051" s="4"/>
      <c r="BG1051" s="4"/>
      <c r="BH1051" s="4"/>
      <c r="BI1051" s="4"/>
      <c r="BJ1051" s="4"/>
      <c r="BK1051" s="4"/>
      <c r="BL1051" s="4"/>
      <c r="BM1051" s="4"/>
      <c r="BN1051" s="4"/>
      <c r="BO1051" s="4"/>
      <c r="BP1051" s="4"/>
      <c r="BQ1051" s="4"/>
      <c r="BR1051" s="4"/>
      <c r="BS1051" s="4"/>
      <c r="BT1051" s="4"/>
      <c r="BU1051" s="4"/>
      <c r="BV1051" s="4"/>
      <c r="BW1051" s="4"/>
      <c r="BX1051" s="4"/>
    </row>
    <row r="1052" spans="1:76" s="2" customFormat="1" ht="19.5" customHeight="1">
      <c r="A1052" s="4"/>
      <c r="B1052" s="4"/>
      <c r="C1052" s="4"/>
      <c r="D1052" s="4"/>
      <c r="E1052" s="4"/>
      <c r="F1052" s="4"/>
      <c r="G1052" s="4"/>
      <c r="H1052" s="4"/>
      <c r="I1052" s="4"/>
      <c r="J1052" s="4"/>
      <c r="K1052" s="4"/>
      <c r="L1052" s="4"/>
      <c r="M1052" s="4"/>
      <c r="N1052" s="4" t="str">
        <f>IF(J1051&gt;=P1052,"&gt;","&lt;")</f>
        <v>&lt;</v>
      </c>
      <c r="O1052" s="4"/>
      <c r="P1052" s="319">
        <v>0.00756</v>
      </c>
      <c r="Q1052" s="319"/>
      <c r="R1052" s="319"/>
      <c r="S1052" s="319"/>
      <c r="T1052" s="4" t="str">
        <f>IF(J1051&gt;=P1052,"→ 範囲Ⅱ","→ 範囲Ⅰ")</f>
        <v>→ 範囲Ⅰ</v>
      </c>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row>
    <row r="1053" s="4" customFormat="1" ht="19.5" customHeight="1">
      <c r="D1053" s="30" t="s">
        <v>788</v>
      </c>
    </row>
    <row r="1054" spans="2:43" ht="19.5" customHeight="1">
      <c r="B1054" s="4"/>
      <c r="C1054" s="4"/>
      <c r="D1054" s="4"/>
      <c r="E1054" s="4"/>
      <c r="F1054" s="4"/>
      <c r="G1054" s="4"/>
      <c r="H1054" s="4"/>
      <c r="I1054" s="4"/>
      <c r="J1054" s="4"/>
      <c r="L1054" s="47"/>
      <c r="M1054" s="47"/>
      <c r="AH1054" s="27"/>
      <c r="AI1054" s="27"/>
      <c r="AJ1054" s="27"/>
      <c r="AK1054" s="27"/>
      <c r="AL1054" s="27"/>
      <c r="AM1054" s="27"/>
      <c r="AN1054" s="27"/>
      <c r="AO1054" s="27"/>
      <c r="AQ1054" s="29"/>
    </row>
    <row r="1055" spans="2:43" ht="19.5" customHeight="1">
      <c r="B1055" s="4"/>
      <c r="C1055" s="4"/>
      <c r="D1055" s="4"/>
      <c r="E1055" s="4"/>
      <c r="F1055" s="4"/>
      <c r="G1055" s="4"/>
      <c r="H1055" s="4"/>
      <c r="I1055" s="4"/>
      <c r="J1055" s="4"/>
      <c r="P1055" s="251">
        <f>R1055-AA255</f>
        <v>280</v>
      </c>
      <c r="Q1055" s="251">
        <f>R1055-O255</f>
        <v>340</v>
      </c>
      <c r="R1055" s="300">
        <f>AC255</f>
        <v>380</v>
      </c>
      <c r="AH1055" s="27"/>
      <c r="AI1055" s="27"/>
      <c r="AJ1055" s="27"/>
      <c r="AK1055" s="27"/>
      <c r="AL1055" s="27"/>
      <c r="AN1055" s="27"/>
      <c r="AO1055" s="27"/>
      <c r="AQ1055" s="29"/>
    </row>
    <row r="1056" spans="2:43" ht="19.5" customHeight="1">
      <c r="B1056" s="4"/>
      <c r="C1056" s="4"/>
      <c r="D1056" s="4"/>
      <c r="E1056" s="4"/>
      <c r="F1056" s="4"/>
      <c r="G1056" s="4"/>
      <c r="H1056" s="4"/>
      <c r="I1056" s="4"/>
      <c r="J1056" s="4"/>
      <c r="P1056" s="251"/>
      <c r="Q1056" s="251"/>
      <c r="R1056" s="300"/>
      <c r="AH1056" s="27"/>
      <c r="AI1056" s="27"/>
      <c r="AJ1056" s="27"/>
      <c r="AK1056" s="27"/>
      <c r="AL1056" s="27"/>
      <c r="AM1056" s="27"/>
      <c r="AN1056" s="27"/>
      <c r="AO1056" s="27"/>
      <c r="AQ1056" s="29"/>
    </row>
    <row r="1057" spans="2:43" ht="19.5" customHeight="1">
      <c r="B1057" s="4"/>
      <c r="C1057" s="4"/>
      <c r="D1057" s="4"/>
      <c r="E1057" s="4"/>
      <c r="F1057" s="4"/>
      <c r="G1057" s="4"/>
      <c r="H1057" s="4"/>
      <c r="I1057" s="4"/>
      <c r="P1057" s="48" t="s">
        <v>789</v>
      </c>
      <c r="Q1057" s="48" t="s">
        <v>790</v>
      </c>
      <c r="AH1057" s="27"/>
      <c r="AI1057" s="27"/>
      <c r="AJ1057" s="48" t="s">
        <v>791</v>
      </c>
      <c r="AK1057" s="48" t="s">
        <v>792</v>
      </c>
      <c r="AL1057" s="27"/>
      <c r="AM1057" s="27"/>
      <c r="AN1057" s="27"/>
      <c r="AO1057" s="27"/>
      <c r="AQ1057" s="29"/>
    </row>
    <row r="1058" spans="2:44" ht="19.5" customHeight="1">
      <c r="B1058" s="4"/>
      <c r="C1058" s="4"/>
      <c r="D1058" s="4"/>
      <c r="E1058" s="4"/>
      <c r="F1058" s="4"/>
      <c r="G1058" s="4"/>
      <c r="H1058" s="4"/>
      <c r="I1058" s="4"/>
      <c r="AH1058" s="27"/>
      <c r="AI1058" s="27"/>
      <c r="AJ1058" s="27"/>
      <c r="AK1058" s="27"/>
      <c r="AL1058" s="27"/>
      <c r="AM1058" s="27"/>
      <c r="AN1058" s="27"/>
      <c r="AO1058" s="27"/>
      <c r="AP1058" s="27"/>
      <c r="AQ1058" s="29"/>
      <c r="AR1058" s="29"/>
    </row>
    <row r="1059" s="4" customFormat="1" ht="19.5" customHeight="1"/>
    <row r="1060" s="4" customFormat="1" ht="19.5" customHeight="1">
      <c r="D1060" s="4" t="s">
        <v>107</v>
      </c>
    </row>
    <row r="1061" s="4" customFormat="1" ht="19.5" customHeight="1">
      <c r="D1061" s="4" t="s">
        <v>108</v>
      </c>
    </row>
    <row r="1062" spans="5:44" s="4" customFormat="1" ht="19.5" customHeight="1">
      <c r="E1062" s="4" t="s">
        <v>793</v>
      </c>
      <c r="G1062" s="30" t="s">
        <v>794</v>
      </c>
      <c r="L1062" s="4" t="s">
        <v>1037</v>
      </c>
      <c r="M1062" s="38">
        <f>I255</f>
        <v>2292</v>
      </c>
      <c r="N1062" s="38"/>
      <c r="O1062" s="38"/>
      <c r="P1062" s="4" t="s">
        <v>1040</v>
      </c>
      <c r="Q1062" s="40">
        <f>Q1005</f>
        <v>345</v>
      </c>
      <c r="R1062" s="40"/>
      <c r="S1062" s="30" t="s">
        <v>795</v>
      </c>
      <c r="V1062" s="4" t="s">
        <v>1037</v>
      </c>
      <c r="W1062" s="244">
        <f>M1062*Q1062/1000</f>
        <v>790.74</v>
      </c>
      <c r="X1062" s="244"/>
      <c r="Y1062" s="244"/>
      <c r="Z1062" s="4" t="s">
        <v>1397</v>
      </c>
      <c r="AR1062" s="43"/>
    </row>
    <row r="1063" spans="5:34" s="4" customFormat="1" ht="19.5" customHeight="1">
      <c r="E1063" s="4" t="s">
        <v>796</v>
      </c>
      <c r="G1063" s="30" t="s">
        <v>797</v>
      </c>
      <c r="O1063" s="4" t="s">
        <v>1037</v>
      </c>
      <c r="P1063" s="38">
        <f>AG256</f>
        <v>2503.2</v>
      </c>
      <c r="Q1063" s="38"/>
      <c r="R1063" s="38"/>
      <c r="S1063" s="4" t="s">
        <v>1040</v>
      </c>
      <c r="T1063" s="245">
        <v>0.93</v>
      </c>
      <c r="U1063" s="245"/>
      <c r="V1063" s="245"/>
      <c r="W1063" s="4" t="s">
        <v>1040</v>
      </c>
      <c r="X1063" s="40">
        <f>X1006</f>
        <v>1831</v>
      </c>
      <c r="Y1063" s="40"/>
      <c r="Z1063" s="40"/>
      <c r="AA1063" s="30" t="s">
        <v>795</v>
      </c>
      <c r="AD1063" s="4" t="s">
        <v>1037</v>
      </c>
      <c r="AE1063" s="244">
        <f>P1063*T1063*X1063/1000</f>
        <v>4262.524056</v>
      </c>
      <c r="AF1063" s="244"/>
      <c r="AG1063" s="244"/>
      <c r="AH1063" s="4" t="s">
        <v>1397</v>
      </c>
    </row>
    <row r="1064" s="4" customFormat="1" ht="19.5" customHeight="1">
      <c r="D1064" s="4" t="s">
        <v>101</v>
      </c>
    </row>
    <row r="1065" spans="5:8" s="4" customFormat="1" ht="19.5" customHeight="1">
      <c r="E1065" s="4" t="s">
        <v>740</v>
      </c>
      <c r="G1065" s="4" t="s">
        <v>1356</v>
      </c>
      <c r="H1065" s="4" t="s">
        <v>741</v>
      </c>
    </row>
    <row r="1066" spans="7:44" s="4" customFormat="1" ht="19.5" customHeight="1">
      <c r="G1066" s="4" t="s">
        <v>1356</v>
      </c>
      <c r="H1066" s="245">
        <v>0.85</v>
      </c>
      <c r="I1066" s="245"/>
      <c r="J1066" s="245"/>
      <c r="K1066" s="4" t="s">
        <v>654</v>
      </c>
      <c r="L1066" s="252">
        <f>T677</f>
        <v>40</v>
      </c>
      <c r="M1066" s="252"/>
      <c r="N1066" s="4" t="s">
        <v>654</v>
      </c>
      <c r="O1066" s="318">
        <f>IF(L1066&lt;=50,0.8,IF(L1066&gt;=60,0.72,0.8-(L1066-50)*0.008))</f>
        <v>0.8</v>
      </c>
      <c r="P1066" s="318"/>
      <c r="Q1066" s="318"/>
      <c r="R1066" s="4" t="s">
        <v>742</v>
      </c>
      <c r="S1066" s="4" t="s">
        <v>1356</v>
      </c>
      <c r="T1066" s="50">
        <f>H1066*L1066*O1066</f>
        <v>27.200000000000003</v>
      </c>
      <c r="U1066" s="50"/>
      <c r="V1066" s="50"/>
      <c r="W1066" s="4" t="s">
        <v>742</v>
      </c>
      <c r="Y1066" s="4" t="s">
        <v>743</v>
      </c>
      <c r="AR1066" s="51"/>
    </row>
    <row r="1067" spans="4:44" s="4" customFormat="1" ht="19.5" customHeight="1">
      <c r="D1067" s="4" t="s">
        <v>744</v>
      </c>
      <c r="AR1067" s="51"/>
    </row>
    <row r="1068" spans="5:44" s="4" customFormat="1" ht="19.5" customHeight="1">
      <c r="E1068" s="235" t="s">
        <v>740</v>
      </c>
      <c r="F1068" s="235"/>
      <c r="G1068" s="235"/>
      <c r="H1068" s="235"/>
      <c r="I1068" s="4" t="s">
        <v>1356</v>
      </c>
      <c r="J1068" s="4" t="s">
        <v>745</v>
      </c>
      <c r="AR1068" s="51"/>
    </row>
    <row r="1069" spans="5:21" s="4" customFormat="1" ht="19.5" customHeight="1">
      <c r="E1069" s="50">
        <f>T1066</f>
        <v>27.200000000000003</v>
      </c>
      <c r="F1069" s="50"/>
      <c r="G1069" s="50"/>
      <c r="H1069" s="4" t="s">
        <v>742</v>
      </c>
      <c r="I1069" s="4" t="s">
        <v>1356</v>
      </c>
      <c r="J1069" s="244">
        <f>W1062</f>
        <v>790.74</v>
      </c>
      <c r="K1069" s="244"/>
      <c r="L1069" s="244"/>
      <c r="M1069" s="4" t="s">
        <v>746</v>
      </c>
      <c r="N1069" s="244">
        <f>AE1063</f>
        <v>4262.524056</v>
      </c>
      <c r="O1069" s="244"/>
      <c r="P1069" s="244"/>
      <c r="Q1069" s="4" t="s">
        <v>1356</v>
      </c>
      <c r="R1069" s="244">
        <f>J1069+N1069</f>
        <v>5053.264056</v>
      </c>
      <c r="S1069" s="244"/>
      <c r="T1069" s="244"/>
      <c r="U1069" s="4" t="s">
        <v>743</v>
      </c>
    </row>
    <row r="1070" spans="6:13" s="4" customFormat="1" ht="19.5" customHeight="1">
      <c r="F1070" s="4" t="s">
        <v>742</v>
      </c>
      <c r="I1070" s="4" t="s">
        <v>1356</v>
      </c>
      <c r="J1070" s="244">
        <f>R1069/E1069</f>
        <v>185.78176676470585</v>
      </c>
      <c r="K1070" s="244"/>
      <c r="L1070" s="244"/>
      <c r="M1070" s="4" t="s">
        <v>747</v>
      </c>
    </row>
    <row r="1071" s="4" customFormat="1" ht="19.5" customHeight="1">
      <c r="D1071" s="4" t="s">
        <v>102</v>
      </c>
    </row>
    <row r="1072" spans="5:29" s="4" customFormat="1" ht="19.5" customHeight="1">
      <c r="E1072" s="225" t="s">
        <v>748</v>
      </c>
      <c r="F1072" s="225"/>
      <c r="G1072" s="235" t="s">
        <v>256</v>
      </c>
      <c r="H1072" s="225" t="s">
        <v>749</v>
      </c>
      <c r="I1072" s="225"/>
      <c r="J1072" s="225"/>
      <c r="K1072" s="225"/>
      <c r="L1072" s="235" t="s">
        <v>256</v>
      </c>
      <c r="M1072" s="53"/>
      <c r="N1072" s="225" t="s">
        <v>750</v>
      </c>
      <c r="O1072" s="225"/>
      <c r="P1072" s="53"/>
      <c r="R1072" s="249" t="s">
        <v>103</v>
      </c>
      <c r="S1072" s="249"/>
      <c r="T1072" s="249"/>
      <c r="U1072" s="249"/>
      <c r="V1072" s="249"/>
      <c r="W1072" s="249"/>
      <c r="X1072" s="249"/>
      <c r="Y1072" s="249"/>
      <c r="Z1072" s="249"/>
      <c r="AA1072" s="249"/>
      <c r="AB1072" s="249"/>
      <c r="AC1072" s="249"/>
    </row>
    <row r="1073" spans="5:29" s="4" customFormat="1" ht="19.5" customHeight="1">
      <c r="E1073" s="235" t="s">
        <v>725</v>
      </c>
      <c r="F1073" s="235"/>
      <c r="G1073" s="235"/>
      <c r="H1073" s="235" t="s">
        <v>751</v>
      </c>
      <c r="I1073" s="235"/>
      <c r="J1073" s="235"/>
      <c r="K1073" s="235"/>
      <c r="L1073" s="235"/>
      <c r="M1073" s="235" t="s">
        <v>752</v>
      </c>
      <c r="N1073" s="235"/>
      <c r="O1073" s="235"/>
      <c r="P1073" s="235"/>
      <c r="R1073" s="249"/>
      <c r="S1073" s="249"/>
      <c r="T1073" s="249"/>
      <c r="U1073" s="249"/>
      <c r="V1073" s="249"/>
      <c r="W1073" s="249"/>
      <c r="X1073" s="249"/>
      <c r="Y1073" s="249"/>
      <c r="Z1073" s="249"/>
      <c r="AA1073" s="249"/>
      <c r="AB1073" s="249"/>
      <c r="AC1073" s="249"/>
    </row>
    <row r="1074" spans="5:44" s="4" customFormat="1" ht="19.5" customHeight="1">
      <c r="E1074" s="4" t="s">
        <v>753</v>
      </c>
      <c r="G1074" s="4" t="s">
        <v>1360</v>
      </c>
      <c r="H1074" s="4" t="s">
        <v>754</v>
      </c>
      <c r="AR1074" s="51"/>
    </row>
    <row r="1075" spans="7:44" s="4" customFormat="1" ht="19.5" customHeight="1">
      <c r="G1075" s="4" t="s">
        <v>1360</v>
      </c>
      <c r="H1075" s="247">
        <f>IF(L1066&lt;=50,0.0035,IF(L1066&gt;=60,0.0025,0.0035-(L1066-50)*0.0001))</f>
        <v>0.0035</v>
      </c>
      <c r="I1075" s="247"/>
      <c r="J1075" s="247"/>
      <c r="K1075" s="30" t="s">
        <v>755</v>
      </c>
      <c r="L1075" s="244">
        <f>J1070</f>
        <v>185.78176676470585</v>
      </c>
      <c r="M1075" s="244"/>
      <c r="N1075" s="244"/>
      <c r="O1075" s="4" t="s">
        <v>1026</v>
      </c>
      <c r="P1075" s="4" t="s">
        <v>1359</v>
      </c>
      <c r="Q1075" s="244">
        <f>Q1055</f>
        <v>340</v>
      </c>
      <c r="R1075" s="244"/>
      <c r="S1075" s="244"/>
      <c r="T1075" s="4" t="s">
        <v>1387</v>
      </c>
      <c r="U1075" s="244">
        <f>J1070</f>
        <v>185.78176676470585</v>
      </c>
      <c r="V1075" s="244"/>
      <c r="W1075" s="244"/>
      <c r="X1075" s="4" t="s">
        <v>489</v>
      </c>
      <c r="AR1075" s="51"/>
    </row>
    <row r="1076" spans="7:44" s="4" customFormat="1" ht="19.5" customHeight="1">
      <c r="G1076" s="4" t="s">
        <v>1360</v>
      </c>
      <c r="H1076" s="248">
        <f>H1075/L1075*(Q1075-U1075)</f>
        <v>0.002905364857505876</v>
      </c>
      <c r="I1076" s="248"/>
      <c r="J1076" s="248"/>
      <c r="L1076" s="4" t="str">
        <f>IF(H1076&gt;=AF1076,"&gt;","&lt;")</f>
        <v>&gt;</v>
      </c>
      <c r="N1076" s="4" t="s">
        <v>756</v>
      </c>
      <c r="P1076" s="4" t="s">
        <v>1360</v>
      </c>
      <c r="Q1076" s="4" t="s">
        <v>757</v>
      </c>
      <c r="U1076" s="4" t="s">
        <v>1360</v>
      </c>
      <c r="V1076" s="40">
        <f>Q1062</f>
        <v>345</v>
      </c>
      <c r="W1076" s="40"/>
      <c r="X1076" s="30" t="s">
        <v>755</v>
      </c>
      <c r="Y1076" s="250">
        <f>U509</f>
        <v>2</v>
      </c>
      <c r="Z1076" s="250"/>
      <c r="AA1076" s="250"/>
      <c r="AB1076" s="27" t="s">
        <v>1026</v>
      </c>
      <c r="AC1076" s="39" t="s">
        <v>412</v>
      </c>
      <c r="AD1076" s="29"/>
      <c r="AE1076" s="4" t="s">
        <v>1360</v>
      </c>
      <c r="AF1076" s="248">
        <f>V1076/Y1076/100000</f>
        <v>0.001725</v>
      </c>
      <c r="AG1076" s="248"/>
      <c r="AH1076" s="248"/>
      <c r="AJ1076" s="4" t="str">
        <f>IF(H1076&gt;=AF1076,"→ 降伏","→ 降伏しない")</f>
        <v>→ 降伏</v>
      </c>
      <c r="AR1076" s="51"/>
    </row>
    <row r="1077" spans="5:8" s="4" customFormat="1" ht="19.5" customHeight="1">
      <c r="E1077" s="4" t="s">
        <v>758</v>
      </c>
      <c r="G1077" s="4" t="s">
        <v>1360</v>
      </c>
      <c r="H1077" s="4" t="s">
        <v>759</v>
      </c>
    </row>
    <row r="1078" spans="7:44" s="4" customFormat="1" ht="19.5" customHeight="1">
      <c r="G1078" s="4" t="s">
        <v>1360</v>
      </c>
      <c r="H1078" s="247">
        <f>H1075</f>
        <v>0.0035</v>
      </c>
      <c r="I1078" s="247"/>
      <c r="J1078" s="247"/>
      <c r="K1078" s="30" t="s">
        <v>755</v>
      </c>
      <c r="L1078" s="244">
        <f>J1070</f>
        <v>185.78176676470585</v>
      </c>
      <c r="M1078" s="244"/>
      <c r="N1078" s="244"/>
      <c r="O1078" s="4" t="s">
        <v>1026</v>
      </c>
      <c r="P1078" s="4" t="s">
        <v>1359</v>
      </c>
      <c r="Q1078" s="244">
        <f>P1055</f>
        <v>280</v>
      </c>
      <c r="R1078" s="244"/>
      <c r="S1078" s="244"/>
      <c r="T1078" s="4" t="s">
        <v>1387</v>
      </c>
      <c r="U1078" s="244">
        <f>U1075</f>
        <v>185.78176676470585</v>
      </c>
      <c r="V1078" s="244"/>
      <c r="W1078" s="244"/>
      <c r="X1078" s="4" t="s">
        <v>489</v>
      </c>
      <c r="Y1078" s="4" t="s">
        <v>1027</v>
      </c>
      <c r="Z1078" s="244">
        <f>N892</f>
        <v>966.3472814157785</v>
      </c>
      <c r="AA1078" s="244"/>
      <c r="AB1078" s="244"/>
      <c r="AC1078" s="30" t="s">
        <v>755</v>
      </c>
      <c r="AD1078" s="250">
        <f>Y1076</f>
        <v>2</v>
      </c>
      <c r="AE1078" s="250"/>
      <c r="AF1078" s="250"/>
      <c r="AG1078" s="27" t="s">
        <v>1026</v>
      </c>
      <c r="AH1078" s="39" t="s">
        <v>412</v>
      </c>
      <c r="AI1078" s="29"/>
      <c r="AR1078" s="43"/>
    </row>
    <row r="1079" spans="7:18" s="4" customFormat="1" ht="19.5" customHeight="1">
      <c r="G1079" s="4" t="s">
        <v>1360</v>
      </c>
      <c r="H1079" s="248">
        <f>H1078/L1078*(Q1078-U1078)+Z1078/AD1078/100000</f>
        <v>0.006606742760319026</v>
      </c>
      <c r="I1079" s="248"/>
      <c r="J1079" s="248"/>
      <c r="L1079" s="4" t="str">
        <f>IF(H1079&gt;=N1079,"&gt;","&lt;")</f>
        <v>&lt;</v>
      </c>
      <c r="N1079" s="248">
        <v>0.015</v>
      </c>
      <c r="O1079" s="248"/>
      <c r="P1079" s="248"/>
      <c r="R1079" s="4" t="str">
        <f>IF(H1079&gt;=N1079,"→ 降伏","→ 降伏しない")</f>
        <v>→ 降伏しない</v>
      </c>
    </row>
    <row r="1080" s="4" customFormat="1" ht="19.5" customHeight="1"/>
    <row r="1081" spans="1:44" s="4" customFormat="1" ht="19.5" customHeight="1">
      <c r="A1081" s="4" t="s">
        <v>1366</v>
      </c>
      <c r="D1081" s="4" t="s">
        <v>109</v>
      </c>
      <c r="AR1081" s="43"/>
    </row>
    <row r="1082" s="4" customFormat="1" ht="19.5" customHeight="1">
      <c r="D1082" s="4" t="s">
        <v>104</v>
      </c>
    </row>
    <row r="1083" s="4" customFormat="1" ht="19.5" customHeight="1"/>
    <row r="1084" s="4" customFormat="1" ht="19.5" customHeight="1">
      <c r="O1084" s="4" t="str">
        <f>"σ ="&amp;ROUND(H1086,1)&amp;"+("&amp;ROUND(H1085,1)&amp;"-"&amp;ROUND(H1086,1)&amp;")/(0.015-0.00756)×(εp-0.00756)"</f>
        <v>σ =1538+(1702.8-1538)/(0.015-0.00756)×(εp-0.00756)</v>
      </c>
    </row>
    <row r="1085" spans="4:11" s="4" customFormat="1" ht="19.5" customHeight="1">
      <c r="D1085" s="4" t="s">
        <v>760</v>
      </c>
      <c r="H1085" s="244">
        <f>X1063*0.93</f>
        <v>1702.8300000000002</v>
      </c>
      <c r="I1085" s="244"/>
      <c r="J1085" s="244"/>
      <c r="K1085" s="4" t="s">
        <v>670</v>
      </c>
    </row>
    <row r="1086" spans="4:36" s="4" customFormat="1" ht="19.5" customHeight="1">
      <c r="D1086" s="4" t="s">
        <v>761</v>
      </c>
      <c r="H1086" s="244">
        <f>X1063*0.84</f>
        <v>1538.04</v>
      </c>
      <c r="I1086" s="244"/>
      <c r="J1086" s="244"/>
      <c r="K1086" s="4" t="s">
        <v>670</v>
      </c>
      <c r="AC1086" s="4" t="s">
        <v>762</v>
      </c>
      <c r="AG1086" s="244">
        <f>H1085</f>
        <v>1702.8300000000002</v>
      </c>
      <c r="AH1086" s="244"/>
      <c r="AI1086" s="244"/>
      <c r="AJ1086" s="4" t="s">
        <v>1389</v>
      </c>
    </row>
    <row r="1087" spans="21:28" s="4" customFormat="1" ht="19.5" customHeight="1">
      <c r="U1087" s="4" t="s">
        <v>763</v>
      </c>
      <c r="Y1087" s="244">
        <f>H1086</f>
        <v>1538.04</v>
      </c>
      <c r="Z1087" s="244"/>
      <c r="AA1087" s="244"/>
      <c r="AB1087" s="4" t="s">
        <v>1389</v>
      </c>
    </row>
    <row r="1088" s="4" customFormat="1" ht="19.5" customHeight="1"/>
    <row r="1089" s="4" customFormat="1" ht="19.5" customHeight="1"/>
    <row r="1090" s="4" customFormat="1" ht="19.5" customHeight="1"/>
    <row r="1091" s="4" customFormat="1" ht="19.5" customHeight="1"/>
    <row r="1092" s="4" customFormat="1" ht="19.5" customHeight="1"/>
    <row r="1093" s="4" customFormat="1" ht="19.5" customHeight="1">
      <c r="R1093" s="55" t="s">
        <v>1405</v>
      </c>
    </row>
    <row r="1094" spans="5:70" s="4" customFormat="1" ht="19.5" customHeight="1">
      <c r="E1094" s="4" t="s">
        <v>764</v>
      </c>
      <c r="G1094" s="4" t="s">
        <v>290</v>
      </c>
      <c r="H1094" s="244">
        <f>H1086</f>
        <v>1538.04</v>
      </c>
      <c r="I1094" s="244"/>
      <c r="J1094" s="244"/>
      <c r="K1094" s="4" t="s">
        <v>344</v>
      </c>
      <c r="L1094" s="4" t="s">
        <v>1357</v>
      </c>
      <c r="M1094" s="244">
        <f>H1085</f>
        <v>1702.8300000000002</v>
      </c>
      <c r="N1094" s="244"/>
      <c r="O1094" s="244"/>
      <c r="P1094" s="4" t="s">
        <v>765</v>
      </c>
      <c r="Q1094" s="244">
        <f>H1086</f>
        <v>1538.04</v>
      </c>
      <c r="R1094" s="244"/>
      <c r="S1094" s="244"/>
      <c r="T1094" s="4" t="s">
        <v>766</v>
      </c>
      <c r="AB1094" s="4" t="s">
        <v>767</v>
      </c>
      <c r="AF1094" s="30" t="s">
        <v>768</v>
      </c>
      <c r="AK1094" s="30" t="s">
        <v>769</v>
      </c>
      <c r="AU1094" s="244"/>
      <c r="AV1094" s="244"/>
      <c r="AW1094" s="244"/>
      <c r="AX1094" s="244"/>
      <c r="BB1094" s="244"/>
      <c r="BC1094" s="244"/>
      <c r="BD1094" s="244"/>
      <c r="BE1094" s="244"/>
      <c r="BF1094" s="43"/>
      <c r="BR1094" s="30"/>
    </row>
    <row r="1095" spans="5:69" s="4" customFormat="1" ht="19.5" customHeight="1">
      <c r="E1095" s="4" t="s">
        <v>770</v>
      </c>
      <c r="G1095" s="4" t="s">
        <v>290</v>
      </c>
      <c r="H1095" s="247">
        <f>H1078</f>
        <v>0.0035</v>
      </c>
      <c r="I1095" s="247"/>
      <c r="J1095" s="247"/>
      <c r="K1095" s="30" t="s">
        <v>348</v>
      </c>
      <c r="L1095" s="4" t="s">
        <v>771</v>
      </c>
      <c r="M1095" s="4" t="s">
        <v>349</v>
      </c>
      <c r="N1095" s="4" t="s">
        <v>1357</v>
      </c>
      <c r="O1095" s="244">
        <f>Q1078</f>
        <v>280</v>
      </c>
      <c r="P1095" s="244"/>
      <c r="Q1095" s="244"/>
      <c r="R1095" s="4" t="s">
        <v>765</v>
      </c>
      <c r="S1095" s="4" t="s">
        <v>771</v>
      </c>
      <c r="T1095" s="4" t="s">
        <v>1120</v>
      </c>
      <c r="U1095" s="4" t="s">
        <v>344</v>
      </c>
      <c r="V1095" s="246">
        <f>Z1078/AD1078/100000</f>
        <v>0.004831736407078893</v>
      </c>
      <c r="W1095" s="246"/>
      <c r="X1095" s="246"/>
      <c r="Y1095" s="246"/>
      <c r="AA1095" s="30" t="s">
        <v>772</v>
      </c>
      <c r="AV1095" s="244"/>
      <c r="AW1095" s="244"/>
      <c r="AX1095" s="244"/>
      <c r="AY1095" s="244"/>
      <c r="BA1095" s="244"/>
      <c r="BB1095" s="244"/>
      <c r="BC1095" s="244"/>
      <c r="BD1095" s="244"/>
      <c r="BJ1095" s="244"/>
      <c r="BK1095" s="244"/>
      <c r="BL1095" s="244"/>
      <c r="BM1095" s="244"/>
      <c r="BN1095" s="30"/>
      <c r="BQ1095" s="43"/>
    </row>
    <row r="1096" spans="1:69" s="4" customFormat="1" ht="19.5" customHeight="1">
      <c r="A1096" s="4" t="s">
        <v>592</v>
      </c>
      <c r="D1096" s="4" t="s">
        <v>773</v>
      </c>
      <c r="AR1096" s="50"/>
      <c r="AS1096" s="50"/>
      <c r="AT1096" s="50"/>
      <c r="AX1096" s="244"/>
      <c r="AY1096" s="244"/>
      <c r="AZ1096" s="244"/>
      <c r="BA1096" s="244"/>
      <c r="BB1096" s="244"/>
      <c r="BD1096" s="244"/>
      <c r="BE1096" s="244"/>
      <c r="BF1096" s="244"/>
      <c r="BG1096" s="244"/>
      <c r="BM1096" s="244"/>
      <c r="BN1096" s="244"/>
      <c r="BO1096" s="244"/>
      <c r="BP1096" s="244"/>
      <c r="BQ1096" s="43"/>
    </row>
    <row r="1097" spans="5:60" s="4" customFormat="1" ht="19.5" customHeight="1">
      <c r="E1097" s="235" t="s">
        <v>774</v>
      </c>
      <c r="F1097" s="235"/>
      <c r="G1097" s="235"/>
      <c r="H1097" s="235"/>
      <c r="I1097" s="4" t="s">
        <v>290</v>
      </c>
      <c r="J1097" s="4" t="s">
        <v>775</v>
      </c>
      <c r="AR1097" s="50"/>
      <c r="AS1097" s="50"/>
      <c r="AT1097" s="50"/>
      <c r="AW1097" s="244"/>
      <c r="AX1097" s="244"/>
      <c r="AY1097" s="244"/>
      <c r="AZ1097" s="244"/>
      <c r="BA1097" s="244"/>
      <c r="BD1097" s="244"/>
      <c r="BE1097" s="244"/>
      <c r="BF1097" s="244"/>
      <c r="BG1097" s="244"/>
      <c r="BH1097" s="244"/>
    </row>
    <row r="1098" spans="5:44" s="4" customFormat="1" ht="19.5" customHeight="1">
      <c r="E1098" s="50">
        <f>E1069</f>
        <v>27.200000000000003</v>
      </c>
      <c r="F1098" s="50"/>
      <c r="G1098" s="50"/>
      <c r="H1098" s="4" t="s">
        <v>771</v>
      </c>
      <c r="I1098" s="4" t="s">
        <v>290</v>
      </c>
      <c r="J1098" s="244">
        <f>J1069</f>
        <v>790.74</v>
      </c>
      <c r="K1098" s="244"/>
      <c r="L1098" s="244"/>
      <c r="M1098" s="4" t="s">
        <v>344</v>
      </c>
      <c r="N1098" s="56" t="s">
        <v>776</v>
      </c>
      <c r="O1098" s="56"/>
      <c r="P1098" s="56"/>
      <c r="AR1098" s="43"/>
    </row>
    <row r="1099" spans="9:61" s="4" customFormat="1" ht="19.5" customHeight="1">
      <c r="I1099" s="4" t="s">
        <v>290</v>
      </c>
      <c r="J1099" s="244">
        <f>J1098</f>
        <v>790.74</v>
      </c>
      <c r="K1099" s="244"/>
      <c r="L1099" s="244"/>
      <c r="M1099" s="4" t="s">
        <v>344</v>
      </c>
      <c r="N1099" s="38">
        <f>P1063</f>
        <v>2503.2</v>
      </c>
      <c r="O1099" s="38"/>
      <c r="P1099" s="38"/>
      <c r="Q1099" s="4" t="s">
        <v>349</v>
      </c>
      <c r="R1099" s="4" t="s">
        <v>777</v>
      </c>
      <c r="T1099" s="30" t="s">
        <v>778</v>
      </c>
      <c r="W1099" s="30" t="s">
        <v>779</v>
      </c>
      <c r="AT1099" s="235"/>
      <c r="AU1099" s="235"/>
      <c r="AV1099" s="235"/>
      <c r="BE1099" s="235"/>
      <c r="BF1099" s="235"/>
      <c r="BG1099" s="235"/>
      <c r="BI1099" s="43"/>
    </row>
    <row r="1100" s="4" customFormat="1" ht="19.5" customHeight="1">
      <c r="E1100" s="4" t="s">
        <v>995</v>
      </c>
    </row>
    <row r="1101" spans="6:44" s="4" customFormat="1" ht="19.5" customHeight="1">
      <c r="F1101" s="4" t="s">
        <v>780</v>
      </c>
      <c r="H1101" s="245">
        <f>(-((M1094-Q1094)/0.00744*H1095*N1099/1000-(((M1094-Q1094)/0.00744*V1095+(H1094-(M1094-Q1094)/0.00744*0.00756))*N1099/1000+J1099))+SQRT(((M1094-Q1094)/0.00744*H1095*N1099/1000-(((M1094-Q1094)/0.00744*V1095+(H1094-(M1094-Q1094)/0.00744*0.00756))*N1099/1000+J1099))^2-4*E1098*(-(M1094-Q1094)/0.00744*H1095*O1095*N1099/1000)))/(2*E1098)</f>
        <v>169.69261957192856</v>
      </c>
      <c r="I1101" s="245"/>
      <c r="J1101" s="245"/>
      <c r="K1101" s="4" t="s">
        <v>994</v>
      </c>
      <c r="AR1101" s="43"/>
    </row>
    <row r="1102" s="4" customFormat="1" ht="19.5" customHeight="1">
      <c r="D1102" s="4" t="s">
        <v>1406</v>
      </c>
    </row>
    <row r="1103" spans="6:9" s="4" customFormat="1" ht="19.5" customHeight="1">
      <c r="F1103" s="4" t="s">
        <v>781</v>
      </c>
      <c r="H1103" s="4" t="s">
        <v>1390</v>
      </c>
      <c r="I1103" s="4" t="s">
        <v>782</v>
      </c>
    </row>
    <row r="1104" spans="8:25" s="4" customFormat="1" ht="19.5" customHeight="1">
      <c r="H1104" s="4" t="s">
        <v>1390</v>
      </c>
      <c r="I1104" s="247">
        <f>H1075</f>
        <v>0.0035</v>
      </c>
      <c r="J1104" s="247"/>
      <c r="K1104" s="247"/>
      <c r="L1104" s="30" t="s">
        <v>1391</v>
      </c>
      <c r="M1104" s="244">
        <f>H1101</f>
        <v>169.69261957192856</v>
      </c>
      <c r="N1104" s="244"/>
      <c r="O1104" s="244"/>
      <c r="P1104" s="4" t="s">
        <v>1392</v>
      </c>
      <c r="Q1104" s="4" t="s">
        <v>1393</v>
      </c>
      <c r="R1104" s="244">
        <f>Q1055</f>
        <v>340</v>
      </c>
      <c r="S1104" s="244"/>
      <c r="T1104" s="244"/>
      <c r="U1104" s="4" t="s">
        <v>783</v>
      </c>
      <c r="V1104" s="244">
        <f>H1101</f>
        <v>169.69261957192856</v>
      </c>
      <c r="W1104" s="244"/>
      <c r="X1104" s="244"/>
      <c r="Y1104" s="4" t="s">
        <v>1394</v>
      </c>
    </row>
    <row r="1105" spans="8:37" s="4" customFormat="1" ht="19.5" customHeight="1">
      <c r="H1105" s="4" t="s">
        <v>1390</v>
      </c>
      <c r="I1105" s="248">
        <f>I1104/M1104*(R1104-V1104)</f>
        <v>0.0035126797676995497</v>
      </c>
      <c r="J1105" s="248"/>
      <c r="K1105" s="248"/>
      <c r="M1105" s="4" t="str">
        <f>IF(I1105&gt;=AG1105,"&gt;","&lt;")</f>
        <v>&gt;</v>
      </c>
      <c r="O1105" s="4" t="s">
        <v>784</v>
      </c>
      <c r="Q1105" s="4" t="s">
        <v>1390</v>
      </c>
      <c r="R1105" s="4" t="s">
        <v>785</v>
      </c>
      <c r="V1105" s="4" t="s">
        <v>1390</v>
      </c>
      <c r="W1105" s="40">
        <f>Q1062</f>
        <v>345</v>
      </c>
      <c r="X1105" s="40"/>
      <c r="Y1105" s="30" t="s">
        <v>1391</v>
      </c>
      <c r="Z1105" s="250">
        <f>Y1076</f>
        <v>2</v>
      </c>
      <c r="AA1105" s="250"/>
      <c r="AB1105" s="250"/>
      <c r="AC1105" s="27" t="s">
        <v>1392</v>
      </c>
      <c r="AD1105" s="39" t="s">
        <v>1395</v>
      </c>
      <c r="AE1105" s="29"/>
      <c r="AF1105" s="4" t="s">
        <v>1390</v>
      </c>
      <c r="AG1105" s="248">
        <f>W1105/Z1105/100000</f>
        <v>0.001725</v>
      </c>
      <c r="AH1105" s="248"/>
      <c r="AI1105" s="248"/>
      <c r="AK1105" s="4" t="str">
        <f>IF(I1105&gt;=AG1105,"→ 降伏","→ 降伏しない")</f>
        <v>→ 降伏</v>
      </c>
    </row>
    <row r="1106" spans="6:9" s="4" customFormat="1" ht="19.5" customHeight="1">
      <c r="F1106" s="4" t="s">
        <v>786</v>
      </c>
      <c r="H1106" s="4" t="s">
        <v>1390</v>
      </c>
      <c r="I1106" s="4" t="s">
        <v>787</v>
      </c>
    </row>
    <row r="1107" spans="8:37" s="4" customFormat="1" ht="19.5" customHeight="1">
      <c r="H1107" s="4" t="s">
        <v>1390</v>
      </c>
      <c r="I1107" s="4" t="s">
        <v>1390</v>
      </c>
      <c r="J1107" s="247">
        <f>I1104</f>
        <v>0.0035</v>
      </c>
      <c r="K1107" s="247"/>
      <c r="L1107" s="247"/>
      <c r="M1107" s="30" t="s">
        <v>1391</v>
      </c>
      <c r="N1107" s="244">
        <f>H1101</f>
        <v>169.69261957192856</v>
      </c>
      <c r="O1107" s="244"/>
      <c r="P1107" s="244"/>
      <c r="Q1107" s="4" t="s">
        <v>1392</v>
      </c>
      <c r="R1107" s="4" t="s">
        <v>1393</v>
      </c>
      <c r="S1107" s="244">
        <f>P1055</f>
        <v>280</v>
      </c>
      <c r="T1107" s="244"/>
      <c r="U1107" s="244"/>
      <c r="V1107" s="4" t="s">
        <v>783</v>
      </c>
      <c r="W1107" s="244">
        <f>H1101</f>
        <v>169.69261957192856</v>
      </c>
      <c r="X1107" s="244"/>
      <c r="Y1107" s="244"/>
      <c r="Z1107" s="4" t="s">
        <v>1394</v>
      </c>
      <c r="AA1107" s="4" t="s">
        <v>1396</v>
      </c>
      <c r="AB1107" s="244">
        <f>Z1078</f>
        <v>966.3472814157785</v>
      </c>
      <c r="AC1107" s="244"/>
      <c r="AD1107" s="244"/>
      <c r="AE1107" s="30" t="s">
        <v>1391</v>
      </c>
      <c r="AF1107" s="250">
        <f>Z1105</f>
        <v>2</v>
      </c>
      <c r="AG1107" s="250"/>
      <c r="AH1107" s="250"/>
      <c r="AI1107" s="27" t="s">
        <v>1392</v>
      </c>
      <c r="AJ1107" s="39" t="s">
        <v>1395</v>
      </c>
      <c r="AK1107" s="29"/>
    </row>
    <row r="1108" spans="9:20" s="4" customFormat="1" ht="19.5" customHeight="1">
      <c r="I1108" s="4" t="s">
        <v>1390</v>
      </c>
      <c r="J1108" s="248">
        <f>J1107/N1107*(S1107-W1107)+AB1107/AF1107/100000</f>
        <v>0.007106884451066758</v>
      </c>
      <c r="K1108" s="248"/>
      <c r="L1108" s="248"/>
      <c r="N1108" s="4" t="str">
        <f>IF(J1108&gt;=P1108,"&gt;","&lt;")</f>
        <v>&lt;</v>
      </c>
      <c r="P1108" s="319">
        <v>0.015</v>
      </c>
      <c r="Q1108" s="319"/>
      <c r="R1108" s="319"/>
      <c r="S1108" s="319"/>
      <c r="T1108" s="4" t="str">
        <f>IF(J1108&gt;=P1108,"→ 降伏","→ 降伏しない")</f>
        <v>→ 降伏しない</v>
      </c>
    </row>
    <row r="1109" spans="14:20" s="4" customFormat="1" ht="19.5" customHeight="1">
      <c r="N1109" s="4" t="str">
        <f>IF(J1108&gt;=P1109,"&gt;","&lt;")</f>
        <v>&lt;</v>
      </c>
      <c r="P1109" s="319">
        <v>0.00756</v>
      </c>
      <c r="Q1109" s="319"/>
      <c r="R1109" s="319"/>
      <c r="S1109" s="319"/>
      <c r="T1109" s="4" t="str">
        <f>IF(J1108&gt;=P1109,"→ 範囲Ⅱ","→ 範囲Ⅰ")</f>
        <v>→ 範囲Ⅰ</v>
      </c>
    </row>
    <row r="1110" spans="1:12" ht="19.5" customHeight="1">
      <c r="A1110" s="4"/>
      <c r="B1110" s="4"/>
      <c r="C1110" s="4" t="s">
        <v>110</v>
      </c>
      <c r="D1110" s="4"/>
      <c r="E1110" s="4"/>
      <c r="F1110" s="4"/>
      <c r="G1110" s="4"/>
      <c r="H1110" s="4"/>
      <c r="I1110" s="4"/>
      <c r="J1110" s="4"/>
      <c r="K1110" s="4"/>
      <c r="L1110" s="4"/>
    </row>
    <row r="1111" spans="1:12" ht="19.5" customHeight="1">
      <c r="A1111" s="4"/>
      <c r="B1111" s="4"/>
      <c r="C1111" s="4"/>
      <c r="D1111" s="4" t="s">
        <v>111</v>
      </c>
      <c r="E1111" s="4"/>
      <c r="F1111" s="4"/>
      <c r="G1111" s="4"/>
      <c r="H1111" s="4"/>
      <c r="I1111" s="4"/>
      <c r="J1111" s="4"/>
      <c r="K1111" s="4"/>
      <c r="L1111" s="4"/>
    </row>
    <row r="1112" spans="1:12" ht="19.5" customHeight="1">
      <c r="A1112" s="4"/>
      <c r="B1112" s="4"/>
      <c r="C1112" s="4"/>
      <c r="D1112" s="4"/>
      <c r="E1112" s="4" t="s">
        <v>738</v>
      </c>
      <c r="F1112" s="4"/>
      <c r="G1112" s="4" t="s">
        <v>1360</v>
      </c>
      <c r="H1112" s="244">
        <f>AE1006</f>
        <v>4262.524056</v>
      </c>
      <c r="I1112" s="244"/>
      <c r="J1112" s="244"/>
      <c r="K1112" s="4" t="s">
        <v>737</v>
      </c>
      <c r="L1112" s="4"/>
    </row>
    <row r="1113" spans="1:12" ht="19.5" customHeight="1">
      <c r="A1113" s="4"/>
      <c r="B1113" s="4"/>
      <c r="C1113" s="4"/>
      <c r="D1113" s="4"/>
      <c r="E1113" s="4"/>
      <c r="F1113" s="4"/>
      <c r="G1113" s="4"/>
      <c r="H1113" s="4"/>
      <c r="I1113" s="4"/>
      <c r="J1113" s="4" t="s">
        <v>798</v>
      </c>
      <c r="K1113" s="4"/>
      <c r="L1113" s="4"/>
    </row>
    <row r="1114" spans="1:12" ht="19.5" customHeight="1">
      <c r="A1114" s="4"/>
      <c r="B1114" s="4"/>
      <c r="C1114" s="4"/>
      <c r="D1114" s="4" t="s">
        <v>112</v>
      </c>
      <c r="E1114" s="4"/>
      <c r="F1114" s="4"/>
      <c r="G1114" s="4"/>
      <c r="H1114" s="4"/>
      <c r="I1114" s="4"/>
      <c r="J1114" s="4"/>
      <c r="K1114" s="4"/>
      <c r="L1114" s="4"/>
    </row>
    <row r="1115" spans="1:12" ht="19.5" customHeight="1">
      <c r="A1115" s="4"/>
      <c r="B1115" s="4"/>
      <c r="C1115" s="4"/>
      <c r="D1115" s="30" t="s">
        <v>113</v>
      </c>
      <c r="E1115" s="4"/>
      <c r="F1115" s="4"/>
      <c r="G1115" s="4"/>
      <c r="H1115" s="4"/>
      <c r="I1115" s="4"/>
      <c r="J1115" s="4"/>
      <c r="K1115" s="4"/>
      <c r="L1115" s="4"/>
    </row>
    <row r="1116" spans="1:28" ht="19.5" customHeight="1">
      <c r="A1116" s="4"/>
      <c r="B1116" s="4"/>
      <c r="C1116" s="4"/>
      <c r="D1116" s="4"/>
      <c r="E1116" s="4" t="s">
        <v>799</v>
      </c>
      <c r="F1116" s="4"/>
      <c r="G1116" s="4" t="s">
        <v>1037</v>
      </c>
      <c r="H1116" s="4" t="s">
        <v>800</v>
      </c>
      <c r="I1116" s="4"/>
      <c r="J1116" s="4"/>
      <c r="K1116" s="4"/>
      <c r="L1116" s="4"/>
      <c r="M1116" s="243">
        <f>O1009/2</f>
        <v>0.4</v>
      </c>
      <c r="N1116" s="243"/>
      <c r="O1116" s="243"/>
      <c r="P1116" s="27" t="s">
        <v>731</v>
      </c>
      <c r="Q1116" s="27" t="s">
        <v>1398</v>
      </c>
      <c r="R1116" s="27" t="s">
        <v>432</v>
      </c>
      <c r="S1116" s="4" t="s">
        <v>801</v>
      </c>
      <c r="X1116" s="243">
        <f>M1116</f>
        <v>0.4</v>
      </c>
      <c r="Y1116" s="243"/>
      <c r="Z1116" s="243"/>
      <c r="AA1116" s="27" t="s">
        <v>731</v>
      </c>
      <c r="AB1116" s="27" t="s">
        <v>1398</v>
      </c>
    </row>
    <row r="1117" spans="1:42" ht="19.5" customHeight="1">
      <c r="A1117" s="4"/>
      <c r="B1117" s="4"/>
      <c r="C1117" s="4"/>
      <c r="D1117" s="4"/>
      <c r="E1117" s="4"/>
      <c r="F1117" s="4"/>
      <c r="G1117" s="4" t="s">
        <v>1037</v>
      </c>
      <c r="H1117" s="244">
        <f>W1005</f>
        <v>790.74</v>
      </c>
      <c r="I1117" s="244"/>
      <c r="J1117" s="244"/>
      <c r="K1117" s="4" t="s">
        <v>1040</v>
      </c>
      <c r="L1117" s="4" t="s">
        <v>1039</v>
      </c>
      <c r="M1117" s="266">
        <f>Q997/1000</f>
        <v>0.26</v>
      </c>
      <c r="N1117" s="266"/>
      <c r="O1117" s="266"/>
      <c r="P1117" s="4" t="s">
        <v>1038</v>
      </c>
      <c r="Q1117" s="243">
        <f>M1116</f>
        <v>0.4</v>
      </c>
      <c r="R1117" s="243"/>
      <c r="S1117" s="243"/>
      <c r="T1117" s="4" t="s">
        <v>1040</v>
      </c>
      <c r="U1117" s="248">
        <f>IF(H1022&lt;N1022,H1044/1000,J1013/1000)</f>
        <v>0.16647157423180675</v>
      </c>
      <c r="V1117" s="248"/>
      <c r="W1117" s="248"/>
      <c r="X1117" s="4" t="s">
        <v>1398</v>
      </c>
      <c r="Y1117" s="27" t="s">
        <v>432</v>
      </c>
      <c r="Z1117" s="244">
        <f>H1112</f>
        <v>4262.524056</v>
      </c>
      <c r="AA1117" s="244"/>
      <c r="AB1117" s="244"/>
      <c r="AC1117" s="4" t="s">
        <v>1040</v>
      </c>
      <c r="AD1117" s="4" t="s">
        <v>1039</v>
      </c>
      <c r="AE1117" s="266">
        <f>P997/1000</f>
        <v>0.2</v>
      </c>
      <c r="AF1117" s="266"/>
      <c r="AG1117" s="266"/>
      <c r="AH1117" s="4" t="s">
        <v>1038</v>
      </c>
      <c r="AI1117" s="243">
        <f>X1116</f>
        <v>0.4</v>
      </c>
      <c r="AJ1117" s="243"/>
      <c r="AK1117" s="243"/>
      <c r="AL1117" s="4" t="s">
        <v>1040</v>
      </c>
      <c r="AM1117" s="248">
        <f>U1117</f>
        <v>0.16647157423180675</v>
      </c>
      <c r="AN1117" s="248"/>
      <c r="AO1117" s="248"/>
      <c r="AP1117" s="4" t="s">
        <v>1398</v>
      </c>
    </row>
    <row r="1118" spans="1:13" ht="19.5" customHeight="1">
      <c r="A1118" s="4"/>
      <c r="B1118" s="4"/>
      <c r="C1118" s="4"/>
      <c r="D1118" s="4"/>
      <c r="E1118" s="4"/>
      <c r="F1118" s="4"/>
      <c r="G1118" s="4" t="s">
        <v>1037</v>
      </c>
      <c r="H1118" s="244">
        <f>H1117*(M1117-Q1117*U1117)+Z1117*(AE1117-AI1117*AM1117)</f>
        <v>721.60728223547</v>
      </c>
      <c r="I1118" s="244"/>
      <c r="J1118" s="244"/>
      <c r="K1118" s="4" t="s">
        <v>875</v>
      </c>
      <c r="L1118" s="4"/>
      <c r="M1118" s="4" t="s">
        <v>986</v>
      </c>
    </row>
    <row r="1119" spans="1:12" ht="19.5" customHeight="1">
      <c r="A1119" s="4"/>
      <c r="B1119" s="4"/>
      <c r="C1119" s="4"/>
      <c r="D1119" s="30" t="s">
        <v>981</v>
      </c>
      <c r="E1119" s="4"/>
      <c r="F1119" s="4"/>
      <c r="G1119" s="4"/>
      <c r="H1119" s="4"/>
      <c r="I1119" s="4"/>
      <c r="J1119" s="4"/>
      <c r="K1119" s="4"/>
      <c r="L1119" s="4"/>
    </row>
    <row r="1120" spans="1:28" ht="19.5" customHeight="1">
      <c r="A1120" s="4"/>
      <c r="B1120" s="4"/>
      <c r="C1120" s="4"/>
      <c r="D1120" s="4"/>
      <c r="E1120" s="4" t="s">
        <v>799</v>
      </c>
      <c r="F1120" s="4"/>
      <c r="G1120" s="4" t="s">
        <v>1037</v>
      </c>
      <c r="H1120" s="4" t="s">
        <v>800</v>
      </c>
      <c r="I1120" s="4"/>
      <c r="J1120" s="4"/>
      <c r="K1120" s="4"/>
      <c r="L1120" s="4"/>
      <c r="M1120" s="243">
        <f>O1066/2</f>
        <v>0.4</v>
      </c>
      <c r="N1120" s="243"/>
      <c r="O1120" s="243"/>
      <c r="P1120" s="27" t="s">
        <v>731</v>
      </c>
      <c r="Q1120" s="27" t="s">
        <v>1398</v>
      </c>
      <c r="R1120" s="27" t="s">
        <v>432</v>
      </c>
      <c r="S1120" s="4" t="s">
        <v>801</v>
      </c>
      <c r="X1120" s="243">
        <f>M1120</f>
        <v>0.4</v>
      </c>
      <c r="Y1120" s="243"/>
      <c r="Z1120" s="243"/>
      <c r="AA1120" s="27" t="s">
        <v>731</v>
      </c>
      <c r="AB1120" s="27" t="s">
        <v>1398</v>
      </c>
    </row>
    <row r="1121" spans="1:42" ht="19.5" customHeight="1">
      <c r="A1121" s="4"/>
      <c r="B1121" s="4"/>
      <c r="C1121" s="4"/>
      <c r="D1121" s="4"/>
      <c r="E1121" s="4"/>
      <c r="F1121" s="4"/>
      <c r="G1121" s="4" t="s">
        <v>1037</v>
      </c>
      <c r="H1121" s="244">
        <f>W1062</f>
        <v>790.74</v>
      </c>
      <c r="I1121" s="244"/>
      <c r="J1121" s="244"/>
      <c r="K1121" s="4" t="s">
        <v>1040</v>
      </c>
      <c r="L1121" s="4" t="s">
        <v>1039</v>
      </c>
      <c r="M1121" s="266">
        <f>Q1055/1000</f>
        <v>0.34</v>
      </c>
      <c r="N1121" s="266"/>
      <c r="O1121" s="266"/>
      <c r="P1121" s="4" t="s">
        <v>1038</v>
      </c>
      <c r="Q1121" s="243">
        <f>M1120</f>
        <v>0.4</v>
      </c>
      <c r="R1121" s="243"/>
      <c r="S1121" s="243"/>
      <c r="T1121" s="4" t="s">
        <v>1040</v>
      </c>
      <c r="U1121" s="248">
        <f>IF(H1079&lt;N1079,H1101/1000,J1070/1000)</f>
        <v>0.16969261957192855</v>
      </c>
      <c r="V1121" s="248"/>
      <c r="W1121" s="248"/>
      <c r="X1121" s="4" t="s">
        <v>1398</v>
      </c>
      <c r="Y1121" s="27" t="s">
        <v>432</v>
      </c>
      <c r="Z1121" s="244">
        <f>H1112</f>
        <v>4262.524056</v>
      </c>
      <c r="AA1121" s="244"/>
      <c r="AB1121" s="244"/>
      <c r="AC1121" s="4" t="s">
        <v>1040</v>
      </c>
      <c r="AD1121" s="4" t="s">
        <v>1039</v>
      </c>
      <c r="AE1121" s="266">
        <f>P1055/1000</f>
        <v>0.28</v>
      </c>
      <c r="AF1121" s="266"/>
      <c r="AG1121" s="266"/>
      <c r="AH1121" s="4" t="s">
        <v>1038</v>
      </c>
      <c r="AI1121" s="243">
        <f>X1120</f>
        <v>0.4</v>
      </c>
      <c r="AJ1121" s="243"/>
      <c r="AK1121" s="243"/>
      <c r="AL1121" s="4" t="s">
        <v>1040</v>
      </c>
      <c r="AM1121" s="248">
        <f>U1121</f>
        <v>0.16969261957192855</v>
      </c>
      <c r="AN1121" s="248"/>
      <c r="AO1121" s="248"/>
      <c r="AP1121" s="4" t="s">
        <v>1398</v>
      </c>
    </row>
    <row r="1122" spans="1:13" ht="19.5" customHeight="1">
      <c r="A1122" s="4"/>
      <c r="B1122" s="4"/>
      <c r="C1122" s="4"/>
      <c r="D1122" s="4"/>
      <c r="E1122" s="4"/>
      <c r="F1122" s="4"/>
      <c r="G1122" s="4" t="s">
        <v>1037</v>
      </c>
      <c r="H1122" s="244">
        <f>H1121*(M1121-Q1121*U1121)+Z1121*(AE1121-AI1121*AM1121)</f>
        <v>1119.3576896594768</v>
      </c>
      <c r="I1122" s="244"/>
      <c r="J1122" s="244"/>
      <c r="K1122" s="4" t="s">
        <v>875</v>
      </c>
      <c r="L1122" s="4"/>
      <c r="M1122" s="4" t="s">
        <v>986</v>
      </c>
    </row>
    <row r="1123" spans="1:13" ht="19.5" customHeight="1">
      <c r="A1123" s="4"/>
      <c r="B1123" s="4"/>
      <c r="C1123" s="4"/>
      <c r="D1123" s="4"/>
      <c r="E1123" s="4"/>
      <c r="F1123" s="4"/>
      <c r="G1123" s="4"/>
      <c r="H1123" s="78"/>
      <c r="I1123" s="78"/>
      <c r="J1123" s="78"/>
      <c r="K1123" s="4"/>
      <c r="L1123" s="4"/>
      <c r="M1123" s="4"/>
    </row>
    <row r="1124" spans="1:34" ht="19.5" customHeight="1">
      <c r="A1124" s="4"/>
      <c r="C1124" s="4" t="s">
        <v>114</v>
      </c>
      <c r="D1124" s="4"/>
      <c r="E1124" s="4"/>
      <c r="F1124" s="4"/>
      <c r="G1124" s="4"/>
      <c r="H1124" s="4"/>
      <c r="I1124" s="4"/>
      <c r="J1124" s="4"/>
      <c r="K1124" s="4"/>
      <c r="L1124" s="4"/>
      <c r="AH1124" s="92" t="s">
        <v>936</v>
      </c>
    </row>
    <row r="1125" spans="1:12" ht="19.5" customHeight="1">
      <c r="A1125" s="4"/>
      <c r="C1125" s="4"/>
      <c r="D1125" s="4" t="s">
        <v>115</v>
      </c>
      <c r="E1125" s="4"/>
      <c r="F1125" s="4"/>
      <c r="G1125" s="4"/>
      <c r="H1125" s="4"/>
      <c r="I1125" s="4"/>
      <c r="J1125" s="4"/>
      <c r="K1125" s="4"/>
      <c r="L1125" s="4"/>
    </row>
    <row r="1126" spans="1:35" ht="19.5" customHeight="1">
      <c r="A1126" s="4"/>
      <c r="B1126" s="4"/>
      <c r="C1126" s="4"/>
      <c r="D1126" s="4"/>
      <c r="E1126" s="4" t="s">
        <v>802</v>
      </c>
      <c r="F1126" s="4"/>
      <c r="G1126" s="4" t="s">
        <v>993</v>
      </c>
      <c r="H1126" s="4" t="s">
        <v>803</v>
      </c>
      <c r="I1126" s="4"/>
      <c r="J1126" s="4"/>
      <c r="K1126" s="4"/>
      <c r="L1126" s="4"/>
      <c r="P1126" s="27" t="s">
        <v>993</v>
      </c>
      <c r="Q1126" s="237">
        <v>1.3</v>
      </c>
      <c r="R1126" s="237"/>
      <c r="S1126" s="4" t="s">
        <v>1353</v>
      </c>
      <c r="T1126" s="243">
        <f>X213</f>
        <v>12.286</v>
      </c>
      <c r="U1126" s="243"/>
      <c r="V1126" s="243"/>
      <c r="W1126" s="27" t="s">
        <v>1029</v>
      </c>
      <c r="X1126" s="237">
        <v>2.5</v>
      </c>
      <c r="Y1126" s="237"/>
      <c r="Z1126" s="4" t="s">
        <v>1353</v>
      </c>
      <c r="AA1126" s="243">
        <f>X209</f>
        <v>77.9545</v>
      </c>
      <c r="AB1126" s="243"/>
      <c r="AC1126" s="243"/>
      <c r="AD1126" s="27" t="s">
        <v>993</v>
      </c>
      <c r="AE1126" s="237">
        <f>Q1126*T1126+X1126*AA1126</f>
        <v>210.85805</v>
      </c>
      <c r="AF1126" s="237"/>
      <c r="AG1126" s="237"/>
      <c r="AI1126" s="29" t="s">
        <v>804</v>
      </c>
    </row>
    <row r="1127" spans="1:35" ht="19.5" customHeight="1">
      <c r="A1127" s="4"/>
      <c r="B1127" s="4"/>
      <c r="C1127" s="4"/>
      <c r="D1127" s="4"/>
      <c r="E1127" s="4" t="s">
        <v>805</v>
      </c>
      <c r="F1127" s="4"/>
      <c r="G1127" s="4" t="s">
        <v>993</v>
      </c>
      <c r="H1127" s="4" t="s">
        <v>806</v>
      </c>
      <c r="I1127" s="4"/>
      <c r="J1127" s="4"/>
      <c r="K1127" s="4"/>
      <c r="L1127" s="4"/>
      <c r="P1127" s="27" t="s">
        <v>993</v>
      </c>
      <c r="Q1127" s="237">
        <v>1</v>
      </c>
      <c r="R1127" s="237"/>
      <c r="S1127" s="4" t="s">
        <v>1353</v>
      </c>
      <c r="T1127" s="243">
        <f>T1126</f>
        <v>12.286</v>
      </c>
      <c r="U1127" s="243"/>
      <c r="V1127" s="243"/>
      <c r="W1127" s="27" t="s">
        <v>1029</v>
      </c>
      <c r="X1127" s="237">
        <v>2.5</v>
      </c>
      <c r="Y1127" s="237"/>
      <c r="Z1127" s="4" t="s">
        <v>1353</v>
      </c>
      <c r="AA1127" s="243">
        <f>AA1126</f>
        <v>77.9545</v>
      </c>
      <c r="AB1127" s="243"/>
      <c r="AC1127" s="243"/>
      <c r="AD1127" s="27" t="s">
        <v>993</v>
      </c>
      <c r="AE1127" s="237">
        <f>Q1127*T1127+X1127*AA1127</f>
        <v>207.17225</v>
      </c>
      <c r="AF1127" s="237"/>
      <c r="AG1127" s="237"/>
      <c r="AI1127" s="29" t="s">
        <v>875</v>
      </c>
    </row>
    <row r="1128" spans="1:35" ht="19.5" customHeight="1">
      <c r="A1128" s="4"/>
      <c r="B1128" s="4"/>
      <c r="C1128" s="4"/>
      <c r="D1128" s="4"/>
      <c r="E1128" s="4" t="s">
        <v>805</v>
      </c>
      <c r="F1128" s="4"/>
      <c r="G1128" s="4" t="s">
        <v>993</v>
      </c>
      <c r="H1128" s="4" t="s">
        <v>807</v>
      </c>
      <c r="I1128" s="4"/>
      <c r="J1128" s="4"/>
      <c r="K1128" s="4"/>
      <c r="L1128" s="4"/>
      <c r="P1128" s="27" t="s">
        <v>993</v>
      </c>
      <c r="Q1128" s="237">
        <v>1.7</v>
      </c>
      <c r="R1128" s="237"/>
      <c r="S1128" s="4" t="s">
        <v>1353</v>
      </c>
      <c r="T1128" s="243">
        <f>T1127</f>
        <v>12.286</v>
      </c>
      <c r="U1128" s="243"/>
      <c r="V1128" s="243"/>
      <c r="W1128" s="27" t="s">
        <v>1029</v>
      </c>
      <c r="X1128" s="237">
        <v>1.7</v>
      </c>
      <c r="Y1128" s="237"/>
      <c r="Z1128" s="4" t="s">
        <v>1353</v>
      </c>
      <c r="AA1128" s="243">
        <f>AA1127</f>
        <v>77.9545</v>
      </c>
      <c r="AB1128" s="243"/>
      <c r="AC1128" s="243"/>
      <c r="AD1128" s="27" t="s">
        <v>993</v>
      </c>
      <c r="AE1128" s="237">
        <f>Q1128*T1128+X1128*AA1128</f>
        <v>153.40885</v>
      </c>
      <c r="AF1128" s="237"/>
      <c r="AG1128" s="237"/>
      <c r="AI1128" s="29" t="s">
        <v>875</v>
      </c>
    </row>
    <row r="1129" spans="1:33" ht="19.5" customHeight="1">
      <c r="A1129" s="4"/>
      <c r="B1129" s="4"/>
      <c r="C1129" s="4"/>
      <c r="D1129" s="4"/>
      <c r="E1129" s="4"/>
      <c r="F1129" s="4"/>
      <c r="G1129" s="4"/>
      <c r="H1129" s="4"/>
      <c r="I1129" s="4"/>
      <c r="J1129" s="4"/>
      <c r="K1129" s="4"/>
      <c r="L1129" s="4"/>
      <c r="Q1129" s="44"/>
      <c r="R1129" s="44"/>
      <c r="S1129" s="4"/>
      <c r="T1129" s="102"/>
      <c r="U1129" s="102"/>
      <c r="V1129" s="102"/>
      <c r="X1129" s="44"/>
      <c r="Y1129" s="44"/>
      <c r="Z1129" s="4"/>
      <c r="AA1129" s="102"/>
      <c r="AB1129" s="102"/>
      <c r="AC1129" s="102"/>
      <c r="AE1129" s="44"/>
      <c r="AF1129" s="44"/>
      <c r="AG1129" s="44"/>
    </row>
    <row r="1130" spans="1:12" ht="19.5" customHeight="1">
      <c r="A1130" s="4"/>
      <c r="B1130" s="4"/>
      <c r="C1130" s="4"/>
      <c r="D1130" s="4" t="s">
        <v>116</v>
      </c>
      <c r="E1130" s="4"/>
      <c r="F1130" s="4"/>
      <c r="G1130" s="4"/>
      <c r="H1130" s="4"/>
      <c r="I1130" s="4"/>
      <c r="J1130" s="4"/>
      <c r="K1130" s="4"/>
      <c r="L1130" s="4"/>
    </row>
    <row r="1131" spans="1:31" ht="19.5" customHeight="1">
      <c r="A1131" s="4"/>
      <c r="B1131" s="4"/>
      <c r="E1131" s="4" t="s">
        <v>808</v>
      </c>
      <c r="F1131" s="4"/>
      <c r="G1131" s="4" t="s">
        <v>1356</v>
      </c>
      <c r="H1131" s="4" t="s">
        <v>809</v>
      </c>
      <c r="I1131" s="4"/>
      <c r="J1131" s="4"/>
      <c r="K1131" s="4"/>
      <c r="L1131" s="4" t="s">
        <v>1356</v>
      </c>
      <c r="M1131" s="237">
        <f>H1118</f>
        <v>721.60728223547</v>
      </c>
      <c r="N1131" s="237"/>
      <c r="O1131" s="237"/>
      <c r="P1131" s="39" t="s">
        <v>1386</v>
      </c>
      <c r="Q1131" s="237">
        <f>AE1126</f>
        <v>210.85805</v>
      </c>
      <c r="R1131" s="237"/>
      <c r="S1131" s="237"/>
      <c r="T1131" s="27" t="s">
        <v>1356</v>
      </c>
      <c r="U1131" s="250">
        <f>M1131/Q1131</f>
        <v>3.422242035509055</v>
      </c>
      <c r="V1131" s="250"/>
      <c r="W1131" s="250"/>
      <c r="Y1131" s="4" t="str">
        <f>IF(U1131&gt;=AA1131,"&gt;","&lt;")</f>
        <v>&gt;</v>
      </c>
      <c r="Z1131" s="4"/>
      <c r="AA1131" s="237">
        <v>1</v>
      </c>
      <c r="AB1131" s="237"/>
      <c r="AD1131" s="4"/>
      <c r="AE1131" s="4" t="str">
        <f>IF(U1131&gt;=AA1131,"O.K.","N.G.")</f>
        <v>O.K.</v>
      </c>
    </row>
    <row r="1132" spans="1:31" ht="19.5" customHeight="1">
      <c r="A1132" s="4"/>
      <c r="B1132" s="4"/>
      <c r="C1132" s="4"/>
      <c r="D1132" s="4"/>
      <c r="E1132" s="4" t="s">
        <v>810</v>
      </c>
      <c r="F1132" s="4"/>
      <c r="G1132" s="4" t="s">
        <v>1356</v>
      </c>
      <c r="H1132" s="4" t="s">
        <v>811</v>
      </c>
      <c r="I1132" s="4"/>
      <c r="J1132" s="4"/>
      <c r="K1132" s="4"/>
      <c r="L1132" s="4" t="s">
        <v>1356</v>
      </c>
      <c r="M1132" s="237">
        <f>H1118</f>
        <v>721.60728223547</v>
      </c>
      <c r="N1132" s="237"/>
      <c r="O1132" s="237"/>
      <c r="P1132" s="39" t="s">
        <v>1386</v>
      </c>
      <c r="Q1132" s="237">
        <f>AE1127</f>
        <v>207.17225</v>
      </c>
      <c r="R1132" s="237"/>
      <c r="S1132" s="237"/>
      <c r="T1132" s="27" t="s">
        <v>1356</v>
      </c>
      <c r="U1132" s="250">
        <f>M1132/Q1132</f>
        <v>3.4831271187886896</v>
      </c>
      <c r="V1132" s="250"/>
      <c r="W1132" s="250"/>
      <c r="Y1132" s="4" t="str">
        <f>IF(U1132&gt;=AA1132,"&gt;","&lt;")</f>
        <v>&gt;</v>
      </c>
      <c r="Z1132" s="4"/>
      <c r="AA1132" s="237">
        <v>1</v>
      </c>
      <c r="AB1132" s="237"/>
      <c r="AD1132" s="4"/>
      <c r="AE1132" s="4" t="str">
        <f>IF(U1132&gt;=AA1132,"O.K.","N.G.")</f>
        <v>O.K.</v>
      </c>
    </row>
    <row r="1133" spans="1:31" ht="19.5" customHeight="1">
      <c r="A1133" s="4" t="s">
        <v>568</v>
      </c>
      <c r="B1133" s="4"/>
      <c r="C1133" s="4"/>
      <c r="D1133" s="4"/>
      <c r="E1133" s="4" t="s">
        <v>812</v>
      </c>
      <c r="F1133" s="4"/>
      <c r="G1133" s="4" t="s">
        <v>1356</v>
      </c>
      <c r="H1133" s="4" t="s">
        <v>813</v>
      </c>
      <c r="I1133" s="4"/>
      <c r="J1133" s="4"/>
      <c r="K1133" s="4"/>
      <c r="L1133" s="4" t="s">
        <v>1356</v>
      </c>
      <c r="M1133" s="237">
        <f>H1118</f>
        <v>721.60728223547</v>
      </c>
      <c r="N1133" s="237"/>
      <c r="O1133" s="237"/>
      <c r="P1133" s="39" t="s">
        <v>1386</v>
      </c>
      <c r="Q1133" s="237">
        <f>AE1128</f>
        <v>153.40885</v>
      </c>
      <c r="R1133" s="237"/>
      <c r="S1133" s="237"/>
      <c r="T1133" s="27" t="s">
        <v>1356</v>
      </c>
      <c r="U1133" s="250">
        <f>M1133/Q1133</f>
        <v>4.703817819085861</v>
      </c>
      <c r="V1133" s="250"/>
      <c r="W1133" s="250"/>
      <c r="Y1133" s="4" t="str">
        <f>IF(U1133&gt;=AA1133,"&gt;","&lt;")</f>
        <v>&gt;</v>
      </c>
      <c r="Z1133" s="4"/>
      <c r="AA1133" s="237">
        <v>1</v>
      </c>
      <c r="AB1133" s="237"/>
      <c r="AD1133" s="4"/>
      <c r="AE1133" s="4" t="str">
        <f>IF(U1133&gt;=AA1133,"O.K.","N.G.")</f>
        <v>O.K.</v>
      </c>
    </row>
    <row r="1134" spans="1:31" ht="19.5" customHeight="1">
      <c r="A1134" s="4"/>
      <c r="B1134" s="4"/>
      <c r="C1134" s="4"/>
      <c r="D1134" s="4"/>
      <c r="E1134" s="4"/>
      <c r="F1134" s="4"/>
      <c r="G1134" s="4"/>
      <c r="H1134" s="4"/>
      <c r="I1134" s="4"/>
      <c r="J1134" s="4"/>
      <c r="K1134" s="4"/>
      <c r="L1134" s="4"/>
      <c r="M1134" s="44"/>
      <c r="N1134" s="44"/>
      <c r="O1134" s="44"/>
      <c r="P1134" s="39"/>
      <c r="Q1134" s="44"/>
      <c r="R1134" s="44"/>
      <c r="S1134" s="44"/>
      <c r="U1134" s="54"/>
      <c r="V1134" s="54"/>
      <c r="W1134" s="54"/>
      <c r="Y1134" s="4"/>
      <c r="Z1134" s="4"/>
      <c r="AA1134" s="44"/>
      <c r="AB1134" s="44"/>
      <c r="AD1134" s="4"/>
      <c r="AE1134" s="4"/>
    </row>
    <row r="1135" spans="1:37" ht="19.5" customHeight="1">
      <c r="A1135" s="4"/>
      <c r="B1135" s="4"/>
      <c r="D1135" s="4" t="s">
        <v>117</v>
      </c>
      <c r="E1135" s="4"/>
      <c r="F1135" s="4"/>
      <c r="G1135" s="4"/>
      <c r="H1135" s="4"/>
      <c r="I1135" s="4"/>
      <c r="J1135" s="4"/>
      <c r="K1135" s="4"/>
      <c r="L1135" s="4"/>
      <c r="AF1135" s="4"/>
      <c r="AG1135" s="4"/>
      <c r="AH1135" s="4"/>
      <c r="AI1135" s="4"/>
      <c r="AJ1135" s="4"/>
      <c r="AK1135" s="4"/>
    </row>
    <row r="1136" spans="1:89" s="27" customFormat="1" ht="19.5" customHeight="1">
      <c r="A1136" s="4"/>
      <c r="B1136" s="4"/>
      <c r="C1136" s="4"/>
      <c r="D1136" s="4"/>
      <c r="E1136" s="183" t="s">
        <v>1021</v>
      </c>
      <c r="F1136" s="183"/>
      <c r="G1136" s="183"/>
      <c r="H1136" s="183"/>
      <c r="I1136" s="183"/>
      <c r="J1136" s="183"/>
      <c r="K1136" s="183"/>
      <c r="L1136" s="204" t="s">
        <v>437</v>
      </c>
      <c r="M1136" s="204"/>
      <c r="N1136" s="204"/>
      <c r="O1136" s="204"/>
      <c r="P1136" s="204" t="s">
        <v>438</v>
      </c>
      <c r="Q1136" s="204"/>
      <c r="R1136" s="204"/>
      <c r="S1136" s="204"/>
      <c r="T1136" s="204" t="s">
        <v>439</v>
      </c>
      <c r="U1136" s="204"/>
      <c r="V1136" s="204"/>
      <c r="W1136" s="204"/>
      <c r="AG1136" s="29"/>
      <c r="AH1136" s="29"/>
      <c r="AI1136" s="29"/>
      <c r="AJ1136" s="29"/>
      <c r="AK1136" s="29"/>
      <c r="AL1136" s="29"/>
      <c r="AM1136" s="29"/>
      <c r="AN1136" s="29"/>
      <c r="AO1136" s="29"/>
      <c r="BY1136" s="20"/>
      <c r="BZ1136" s="20"/>
      <c r="CA1136" s="20"/>
      <c r="CB1136" s="20"/>
      <c r="CC1136" s="20"/>
      <c r="CD1136" s="20"/>
      <c r="CE1136" s="20"/>
      <c r="CF1136" s="20"/>
      <c r="CG1136" s="20"/>
      <c r="CH1136" s="20"/>
      <c r="CI1136" s="20"/>
      <c r="CJ1136" s="20"/>
      <c r="CK1136" s="20"/>
    </row>
    <row r="1137" spans="1:42" ht="19.5" customHeight="1">
      <c r="A1137" s="4"/>
      <c r="B1137" s="4"/>
      <c r="C1137" s="4"/>
      <c r="D1137" s="4"/>
      <c r="E1137" s="183" t="s">
        <v>1399</v>
      </c>
      <c r="F1137" s="183"/>
      <c r="G1137" s="183"/>
      <c r="H1137" s="204" t="s">
        <v>814</v>
      </c>
      <c r="I1137" s="204"/>
      <c r="J1137" s="204"/>
      <c r="K1137" s="204"/>
      <c r="L1137" s="190">
        <f>$I$255*$Q$1005/1000</f>
        <v>790.74</v>
      </c>
      <c r="M1137" s="190"/>
      <c r="N1137" s="190"/>
      <c r="O1137" s="190"/>
      <c r="P1137" s="190">
        <f>$AI$244*$Q$1005/1000</f>
        <v>790.74</v>
      </c>
      <c r="Q1137" s="190"/>
      <c r="R1137" s="190"/>
      <c r="S1137" s="190"/>
      <c r="T1137" s="190">
        <f>$I$255*$Q$1005/1000</f>
        <v>790.74</v>
      </c>
      <c r="U1137" s="190"/>
      <c r="V1137" s="190"/>
      <c r="W1137" s="190"/>
      <c r="AG1137" s="29"/>
      <c r="AP1137" s="27"/>
    </row>
    <row r="1138" spans="1:42" ht="19.5" customHeight="1">
      <c r="A1138" s="4"/>
      <c r="B1138" s="4"/>
      <c r="C1138" s="4"/>
      <c r="D1138" s="4"/>
      <c r="E1138" s="183" t="s">
        <v>1400</v>
      </c>
      <c r="F1138" s="183"/>
      <c r="G1138" s="183"/>
      <c r="H1138" s="204" t="s">
        <v>814</v>
      </c>
      <c r="I1138" s="204"/>
      <c r="J1138" s="204"/>
      <c r="K1138" s="204"/>
      <c r="L1138" s="190">
        <f>$AG$256*$T$1006*$X$1006/1000</f>
        <v>4262.524056</v>
      </c>
      <c r="M1138" s="190"/>
      <c r="N1138" s="190"/>
      <c r="O1138" s="190"/>
      <c r="P1138" s="190">
        <f>$AG$241*$T$1006*$X$1006/1000</f>
        <v>4262.524056</v>
      </c>
      <c r="Q1138" s="190"/>
      <c r="R1138" s="190"/>
      <c r="S1138" s="190"/>
      <c r="T1138" s="190">
        <f>$AG$256*$T$1006*$X$1006/1000</f>
        <v>4262.524056</v>
      </c>
      <c r="U1138" s="190"/>
      <c r="V1138" s="190"/>
      <c r="W1138" s="190"/>
      <c r="AG1138" s="29"/>
      <c r="AP1138" s="27"/>
    </row>
    <row r="1139" spans="1:42" ht="19.5" customHeight="1">
      <c r="A1139" s="4"/>
      <c r="B1139" s="4"/>
      <c r="C1139" s="4"/>
      <c r="D1139" s="4"/>
      <c r="E1139" s="183" t="s">
        <v>711</v>
      </c>
      <c r="F1139" s="183"/>
      <c r="G1139" s="183"/>
      <c r="H1139" s="204" t="s">
        <v>441</v>
      </c>
      <c r="I1139" s="204"/>
      <c r="J1139" s="204"/>
      <c r="K1139" s="204"/>
      <c r="L1139" s="290">
        <f>IF(H1079&lt;N1079,(-((M1094-Q1094)/0.00744*H1095*N1099/1000-(((M1094-Q1094)/0.00744*L615/AD1078/100000+(H1094-(M1094-Q1094)/0.00744*0.00756))*N1099/1000+J1099))+SQRT(((M1094-Q1094)/0.00744*H1095*N1099/1000-(((M1094-Q1094)/0.00744*L615/AD1078/100000+(H1094-(M1094-Q1094)/0.00744*0.00756))*N1099/1000+J1099))^2-4*E1098*(-(M1094-Q1094)/0.00744*H1095*O1095*N1099/1000)))/(2*E1098),J1070)</f>
        <v>169.69261957192856</v>
      </c>
      <c r="M1139" s="290"/>
      <c r="N1139" s="290"/>
      <c r="O1139" s="290"/>
      <c r="P1139" s="290">
        <f>IF(H1022&lt;N1022,(-((M1037-Q1037)/0.00744*H1038*N1042/1000-(((M1037-Q1037)/0.00744*P615/AD1021/100000+(H1037-(M1037-Q1037)/0.00744*0.00756))*N1042/1000+J1042))+SQRT(((M1037-Q1037)/0.00744*H1038*N1042/1000-(((M1037-Q1037)/0.00744*P615/AD1021/100000+(H1037-(M1037-Q1037)/0.00744*0.00756))*N1042/1000+J1042))^2-4*E1041*(-(M1037-Q1037)/0.00744*H1038*O1038*N1042/1000)))/(2*E1041),J1013)</f>
        <v>166.47157423180676</v>
      </c>
      <c r="Q1139" s="290"/>
      <c r="R1139" s="290"/>
      <c r="S1139" s="290"/>
      <c r="T1139" s="290">
        <f>IF(H1079&lt;N1079,(-((M1094-Q1094)/0.00744*H1095*N1099/1000-(((M1094-Q1094)/0.00744*T615/AD1078/100000+(H1094-(M1094-Q1094)/0.00744*0.00756))*N1099/1000+J1099))+SQRT(((M1094-Q1094)/0.00744*H1095*N1099/1000-(((M1094-Q1094)/0.00744*T615/AD1078/100000+(H1094-(M1094-Q1094)/0.00744*0.00756))*N1099/1000+J1099))^2-4*E1098*(-(M1094-Q1094)/0.00744*H1095*O1095*N1099/1000)))/(2*E1098),J1070)</f>
        <v>169.69261957192856</v>
      </c>
      <c r="U1139" s="290"/>
      <c r="V1139" s="290"/>
      <c r="W1139" s="290"/>
      <c r="AG1139" s="29"/>
      <c r="AP1139" s="27"/>
    </row>
    <row r="1140" spans="1:42" ht="19.5" customHeight="1">
      <c r="A1140" s="4"/>
      <c r="B1140" s="4"/>
      <c r="C1140" s="4"/>
      <c r="D1140" s="4"/>
      <c r="E1140" s="183" t="s">
        <v>815</v>
      </c>
      <c r="F1140" s="183"/>
      <c r="G1140" s="183"/>
      <c r="H1140" s="204" t="s">
        <v>441</v>
      </c>
      <c r="I1140" s="204"/>
      <c r="J1140" s="204"/>
      <c r="K1140" s="204"/>
      <c r="L1140" s="190">
        <f>$Q$1055</f>
        <v>340</v>
      </c>
      <c r="M1140" s="190"/>
      <c r="N1140" s="190"/>
      <c r="O1140" s="190"/>
      <c r="P1140" s="190">
        <f>$Q$997</f>
        <v>260</v>
      </c>
      <c r="Q1140" s="190"/>
      <c r="R1140" s="190"/>
      <c r="S1140" s="190"/>
      <c r="T1140" s="190">
        <f>$Q$1055</f>
        <v>340</v>
      </c>
      <c r="U1140" s="190"/>
      <c r="V1140" s="190"/>
      <c r="W1140" s="190"/>
      <c r="AG1140" s="29"/>
      <c r="AP1140" s="27"/>
    </row>
    <row r="1141" spans="1:42" ht="19.5" customHeight="1">
      <c r="A1141" s="4"/>
      <c r="B1141" s="4"/>
      <c r="C1141" s="4"/>
      <c r="D1141" s="4"/>
      <c r="E1141" s="183" t="s">
        <v>816</v>
      </c>
      <c r="F1141" s="183"/>
      <c r="G1141" s="183"/>
      <c r="H1141" s="204" t="s">
        <v>441</v>
      </c>
      <c r="I1141" s="204"/>
      <c r="J1141" s="204"/>
      <c r="K1141" s="204"/>
      <c r="L1141" s="190">
        <f>$P$1055</f>
        <v>280</v>
      </c>
      <c r="M1141" s="190"/>
      <c r="N1141" s="190"/>
      <c r="O1141" s="190"/>
      <c r="P1141" s="190">
        <f>$P$997</f>
        <v>200</v>
      </c>
      <c r="Q1141" s="190"/>
      <c r="R1141" s="190"/>
      <c r="S1141" s="190"/>
      <c r="T1141" s="190">
        <f>$P$1055</f>
        <v>280</v>
      </c>
      <c r="U1141" s="190"/>
      <c r="V1141" s="190"/>
      <c r="W1141" s="190"/>
      <c r="AG1141" s="29"/>
      <c r="AP1141" s="27"/>
    </row>
    <row r="1142" spans="1:42" ht="19.5" customHeight="1">
      <c r="A1142" s="4"/>
      <c r="B1142" s="4"/>
      <c r="C1142" s="4" t="s">
        <v>877</v>
      </c>
      <c r="D1142" s="4"/>
      <c r="E1142" s="183" t="s">
        <v>1019</v>
      </c>
      <c r="F1142" s="183"/>
      <c r="G1142" s="183"/>
      <c r="H1142" s="204" t="s">
        <v>611</v>
      </c>
      <c r="I1142" s="204"/>
      <c r="J1142" s="204"/>
      <c r="K1142" s="204"/>
      <c r="L1142" s="189">
        <f>$H$1075/L1139*(L1140-L1139)</f>
        <v>0.0035126797676995497</v>
      </c>
      <c r="M1142" s="189"/>
      <c r="N1142" s="189"/>
      <c r="O1142" s="189"/>
      <c r="P1142" s="189">
        <f>$H$1018/P1139*(P1140-P1139)</f>
        <v>0.0019663987182151105</v>
      </c>
      <c r="Q1142" s="189"/>
      <c r="R1142" s="189"/>
      <c r="S1142" s="189"/>
      <c r="T1142" s="189">
        <f>$H$1075/T1139*(T1140-T1139)</f>
        <v>0.0035126797676995497</v>
      </c>
      <c r="U1142" s="189"/>
      <c r="V1142" s="189"/>
      <c r="W1142" s="189"/>
      <c r="AG1142" s="29"/>
      <c r="AP1142" s="27"/>
    </row>
    <row r="1143" spans="1:42" ht="19.5" customHeight="1">
      <c r="A1143" s="4"/>
      <c r="B1143" s="4"/>
      <c r="C1143" s="4"/>
      <c r="D1143" s="4"/>
      <c r="E1143" s="183" t="s">
        <v>1020</v>
      </c>
      <c r="F1143" s="183"/>
      <c r="G1143" s="183"/>
      <c r="H1143" s="204" t="s">
        <v>611</v>
      </c>
      <c r="I1143" s="204"/>
      <c r="J1143" s="204"/>
      <c r="K1143" s="204"/>
      <c r="L1143" s="189">
        <f>$H$1078/L1139*(L1141-L1139)+N892/$AD$1078/100000</f>
        <v>0.007106884451066758</v>
      </c>
      <c r="M1143" s="189"/>
      <c r="N1143" s="189"/>
      <c r="O1143" s="189"/>
      <c r="P1143" s="189">
        <f>$H$1021/P1139*(P1141-P1139)+R892/$AD$1021/100000</f>
        <v>0.005526683663958082</v>
      </c>
      <c r="Q1143" s="189"/>
      <c r="R1143" s="189"/>
      <c r="S1143" s="189"/>
      <c r="T1143" s="189">
        <f>$H$1078/T1139*(T1141-T1139)+V892/$AD$1078/100000</f>
        <v>0.007106884451066758</v>
      </c>
      <c r="U1143" s="189"/>
      <c r="V1143" s="189"/>
      <c r="W1143" s="189"/>
      <c r="AG1143" s="29"/>
      <c r="AP1143" s="27"/>
    </row>
    <row r="1144" spans="1:42" ht="19.5" customHeight="1">
      <c r="A1144" s="4"/>
      <c r="B1144" s="4"/>
      <c r="C1144" s="4"/>
      <c r="D1144" s="4"/>
      <c r="E1144" s="183" t="s">
        <v>817</v>
      </c>
      <c r="F1144" s="183"/>
      <c r="G1144" s="183"/>
      <c r="H1144" s="204" t="s">
        <v>818</v>
      </c>
      <c r="I1144" s="204"/>
      <c r="J1144" s="204"/>
      <c r="K1144" s="204"/>
      <c r="L1144" s="190">
        <f>L1137*(L1140/1000-$M$1120*L1139/1000)+L1138*(L1141/1000-$X$1120*L1139/1000)</f>
        <v>1119.3576896594768</v>
      </c>
      <c r="M1144" s="190"/>
      <c r="N1144" s="190"/>
      <c r="O1144" s="190"/>
      <c r="P1144" s="190">
        <f>P1137*(P1140/1000-$M$1116*P1139/1000)+P1138*(P1141/1000-$X$1116*P1139/1000)</f>
        <v>721.60728223547</v>
      </c>
      <c r="Q1144" s="190"/>
      <c r="R1144" s="190"/>
      <c r="S1144" s="190"/>
      <c r="T1144" s="190">
        <f>T1137*(T1140/1000-$M$1120*T1139/1000)+T1138*(T1141/1000-$X$1120*T1139/1000)</f>
        <v>1119.3576896594768</v>
      </c>
      <c r="U1144" s="190"/>
      <c r="V1144" s="190"/>
      <c r="W1144" s="190"/>
      <c r="AG1144" s="29"/>
      <c r="AP1144" s="27"/>
    </row>
    <row r="1145" spans="1:42" ht="19.5" customHeight="1">
      <c r="A1145" s="4"/>
      <c r="B1145" s="4"/>
      <c r="C1145" s="4"/>
      <c r="D1145" s="4"/>
      <c r="E1145" s="183" t="s">
        <v>802</v>
      </c>
      <c r="F1145" s="183"/>
      <c r="G1145" s="183"/>
      <c r="H1145" s="204" t="s">
        <v>818</v>
      </c>
      <c r="I1145" s="204"/>
      <c r="J1145" s="204"/>
      <c r="K1145" s="204"/>
      <c r="L1145" s="190">
        <f>ABS(1.3*T$213+2.5*T$209)</f>
        <v>231.918795</v>
      </c>
      <c r="M1145" s="190"/>
      <c r="N1145" s="190"/>
      <c r="O1145" s="190"/>
      <c r="P1145" s="190">
        <f>ABS(1.3*X$213+2.5*X$209)</f>
        <v>210.85805</v>
      </c>
      <c r="Q1145" s="190"/>
      <c r="R1145" s="190"/>
      <c r="S1145" s="190"/>
      <c r="T1145" s="190">
        <f>ABS(1.3*AB$213+2.5*AB$209)</f>
        <v>231.918795</v>
      </c>
      <c r="U1145" s="190"/>
      <c r="V1145" s="190"/>
      <c r="W1145" s="190"/>
      <c r="AG1145" s="29"/>
      <c r="AP1145" s="27"/>
    </row>
    <row r="1146" spans="1:42" ht="19.5" customHeight="1">
      <c r="A1146" s="4"/>
      <c r="B1146" s="4"/>
      <c r="C1146" s="4"/>
      <c r="D1146" s="4"/>
      <c r="E1146" s="183" t="s">
        <v>805</v>
      </c>
      <c r="F1146" s="183"/>
      <c r="G1146" s="183"/>
      <c r="H1146" s="204" t="s">
        <v>818</v>
      </c>
      <c r="I1146" s="204"/>
      <c r="J1146" s="204"/>
      <c r="K1146" s="204"/>
      <c r="L1146" s="190">
        <f>ABS(1*T$213+2.5*T$209)</f>
        <v>219.334395</v>
      </c>
      <c r="M1146" s="190"/>
      <c r="N1146" s="190"/>
      <c r="O1146" s="190"/>
      <c r="P1146" s="190">
        <f>ABS(1*X$213+2.5*X$209)</f>
        <v>207.17225</v>
      </c>
      <c r="Q1146" s="190"/>
      <c r="R1146" s="190"/>
      <c r="S1146" s="190"/>
      <c r="T1146" s="190">
        <f>ABS(1*AB$213+2.5*AB$209)</f>
        <v>219.334395</v>
      </c>
      <c r="U1146" s="190"/>
      <c r="V1146" s="190"/>
      <c r="W1146" s="190"/>
      <c r="AG1146" s="29"/>
      <c r="AP1146" s="27"/>
    </row>
    <row r="1147" spans="1:42" ht="19.5" customHeight="1">
      <c r="A1147" s="4"/>
      <c r="B1147" s="4"/>
      <c r="C1147" s="4"/>
      <c r="D1147" s="4"/>
      <c r="E1147" s="183" t="s">
        <v>819</v>
      </c>
      <c r="F1147" s="183"/>
      <c r="G1147" s="183"/>
      <c r="H1147" s="204" t="s">
        <v>818</v>
      </c>
      <c r="I1147" s="204"/>
      <c r="J1147" s="204"/>
      <c r="K1147" s="204"/>
      <c r="L1147" s="190">
        <f>ABS(1.7*T$213+1.7*T$209)</f>
        <v>191.93434859999996</v>
      </c>
      <c r="M1147" s="190"/>
      <c r="N1147" s="190"/>
      <c r="O1147" s="190"/>
      <c r="P1147" s="190">
        <f>ABS(1.7*X$213+1.7*X$209)</f>
        <v>153.40885</v>
      </c>
      <c r="Q1147" s="190"/>
      <c r="R1147" s="190"/>
      <c r="S1147" s="190"/>
      <c r="T1147" s="190">
        <f>ABS(1.7*AB$213+1.7*AB$209)</f>
        <v>191.93434859999996</v>
      </c>
      <c r="U1147" s="190"/>
      <c r="V1147" s="190"/>
      <c r="W1147" s="190"/>
      <c r="AG1147" s="29"/>
      <c r="AP1147" s="27"/>
    </row>
    <row r="1148" spans="1:42" ht="19.5" customHeight="1">
      <c r="A1148" s="4"/>
      <c r="B1148" s="4"/>
      <c r="C1148" s="4" t="s">
        <v>877</v>
      </c>
      <c r="D1148" s="4"/>
      <c r="E1148" s="183" t="s">
        <v>820</v>
      </c>
      <c r="F1148" s="183"/>
      <c r="G1148" s="183"/>
      <c r="H1148" s="204" t="s">
        <v>611</v>
      </c>
      <c r="I1148" s="204"/>
      <c r="J1148" s="204"/>
      <c r="K1148" s="204"/>
      <c r="L1148" s="190">
        <f>L$1144/L1145</f>
        <v>4.826507009315381</v>
      </c>
      <c r="M1148" s="190"/>
      <c r="N1148" s="190"/>
      <c r="O1148" s="190"/>
      <c r="P1148" s="190">
        <f>P$1144/P1145</f>
        <v>3.422242035509055</v>
      </c>
      <c r="Q1148" s="190"/>
      <c r="R1148" s="190"/>
      <c r="S1148" s="190"/>
      <c r="T1148" s="190">
        <f>T$1144/T1145</f>
        <v>4.826507009315381</v>
      </c>
      <c r="U1148" s="190"/>
      <c r="V1148" s="190"/>
      <c r="W1148" s="190"/>
      <c r="AG1148" s="29"/>
      <c r="AP1148" s="27"/>
    </row>
    <row r="1149" spans="1:42" ht="19.5" customHeight="1">
      <c r="A1149" s="4"/>
      <c r="B1149" s="4"/>
      <c r="C1149" s="4"/>
      <c r="D1149" s="4"/>
      <c r="E1149" s="183" t="s">
        <v>821</v>
      </c>
      <c r="F1149" s="183"/>
      <c r="G1149" s="183"/>
      <c r="H1149" s="204" t="s">
        <v>611</v>
      </c>
      <c r="I1149" s="204"/>
      <c r="J1149" s="204"/>
      <c r="K1149" s="204"/>
      <c r="L1149" s="190">
        <f>L$1144/L1146</f>
        <v>5.103429809353325</v>
      </c>
      <c r="M1149" s="190"/>
      <c r="N1149" s="190"/>
      <c r="O1149" s="190"/>
      <c r="P1149" s="190">
        <f>P$1144/P1146</f>
        <v>3.4831271187886896</v>
      </c>
      <c r="Q1149" s="190"/>
      <c r="R1149" s="190"/>
      <c r="S1149" s="190"/>
      <c r="T1149" s="190">
        <f>T$1144/T1146</f>
        <v>5.103429809353325</v>
      </c>
      <c r="U1149" s="190"/>
      <c r="V1149" s="190"/>
      <c r="W1149" s="190"/>
      <c r="AG1149" s="29"/>
      <c r="AP1149" s="27"/>
    </row>
    <row r="1150" spans="1:42" ht="19.5" customHeight="1">
      <c r="A1150" s="4"/>
      <c r="B1150" s="4"/>
      <c r="C1150" s="4"/>
      <c r="D1150" s="4"/>
      <c r="E1150" s="183" t="s">
        <v>822</v>
      </c>
      <c r="F1150" s="183"/>
      <c r="G1150" s="183"/>
      <c r="H1150" s="204" t="s">
        <v>611</v>
      </c>
      <c r="I1150" s="204"/>
      <c r="J1150" s="204"/>
      <c r="K1150" s="204"/>
      <c r="L1150" s="190">
        <f>L$1144/L1147</f>
        <v>5.831982122138387</v>
      </c>
      <c r="M1150" s="190"/>
      <c r="N1150" s="190"/>
      <c r="O1150" s="190"/>
      <c r="P1150" s="190">
        <f>P$1144/P1147</f>
        <v>4.703817819085861</v>
      </c>
      <c r="Q1150" s="190"/>
      <c r="R1150" s="190"/>
      <c r="S1150" s="190"/>
      <c r="T1150" s="190">
        <f>T$1144/T1147</f>
        <v>5.831982122138387</v>
      </c>
      <c r="U1150" s="190"/>
      <c r="V1150" s="190"/>
      <c r="W1150" s="190"/>
      <c r="AG1150" s="29"/>
      <c r="AP1150" s="27"/>
    </row>
    <row r="1151" spans="1:42" ht="19.5" customHeight="1">
      <c r="A1151" s="4"/>
      <c r="B1151" s="4"/>
      <c r="C1151" s="4"/>
      <c r="D1151" s="4"/>
      <c r="E1151" s="231" t="s">
        <v>118</v>
      </c>
      <c r="F1151" s="232"/>
      <c r="G1151" s="232"/>
      <c r="H1151" s="232"/>
      <c r="I1151" s="232"/>
      <c r="J1151" s="232"/>
      <c r="K1151" s="233"/>
      <c r="L1151" s="190" t="str">
        <f>IF(AND(L1148&gt;=1,L1149&gt;=1,L1150&gt;=1),"O.K.","N.G.")</f>
        <v>O.K.</v>
      </c>
      <c r="M1151" s="190"/>
      <c r="N1151" s="190"/>
      <c r="O1151" s="190"/>
      <c r="P1151" s="190" t="str">
        <f>IF(AND(P1148&gt;=1,P1149&gt;=1,P1150&gt;=1),"O.K.","N.G.")</f>
        <v>O.K.</v>
      </c>
      <c r="Q1151" s="190"/>
      <c r="R1151" s="190"/>
      <c r="S1151" s="190"/>
      <c r="T1151" s="190" t="str">
        <f>IF(AND(T1148&gt;=1,T1149&gt;=1,T1150&gt;=1),"O.K.","N.G.")</f>
        <v>O.K.</v>
      </c>
      <c r="U1151" s="190"/>
      <c r="V1151" s="190"/>
      <c r="W1151" s="190"/>
      <c r="AG1151" s="29"/>
      <c r="AP1151" s="27"/>
    </row>
    <row r="1152" spans="1:42" ht="19.5" customHeight="1">
      <c r="A1152" s="4"/>
      <c r="B1152" s="4"/>
      <c r="C1152" s="4"/>
      <c r="D1152" s="4"/>
      <c r="E1152" s="49"/>
      <c r="F1152" s="49"/>
      <c r="G1152" s="49"/>
      <c r="H1152" s="45"/>
      <c r="I1152" s="45"/>
      <c r="J1152" s="45"/>
      <c r="K1152" s="45"/>
      <c r="L1152" s="37"/>
      <c r="M1152" s="37"/>
      <c r="N1152" s="37"/>
      <c r="O1152" s="37"/>
      <c r="P1152" s="37"/>
      <c r="Q1152" s="37"/>
      <c r="R1152" s="37"/>
      <c r="S1152" s="37"/>
      <c r="T1152" s="37"/>
      <c r="U1152" s="37"/>
      <c r="V1152" s="37"/>
      <c r="W1152" s="37"/>
      <c r="AG1152" s="29"/>
      <c r="AP1152" s="27"/>
    </row>
    <row r="1153" spans="1:42" ht="19.5" customHeight="1">
      <c r="A1153" s="4"/>
      <c r="B1153" s="4"/>
      <c r="C1153" s="4"/>
      <c r="D1153" s="4"/>
      <c r="E1153" s="183" t="s">
        <v>917</v>
      </c>
      <c r="F1153" s="183"/>
      <c r="G1153" s="183"/>
      <c r="H1153" s="183"/>
      <c r="I1153" s="183"/>
      <c r="J1153" s="183"/>
      <c r="K1153" s="183"/>
      <c r="L1153" s="204" t="s">
        <v>663</v>
      </c>
      <c r="M1153" s="204"/>
      <c r="N1153" s="204"/>
      <c r="O1153" s="204"/>
      <c r="P1153" s="204" t="s">
        <v>664</v>
      </c>
      <c r="Q1153" s="204"/>
      <c r="R1153" s="204"/>
      <c r="S1153" s="204"/>
      <c r="T1153" s="204" t="s">
        <v>665</v>
      </c>
      <c r="U1153" s="204"/>
      <c r="V1153" s="204"/>
      <c r="W1153" s="204"/>
      <c r="AG1153" s="29"/>
      <c r="AP1153" s="27"/>
    </row>
    <row r="1154" spans="1:42" ht="19.5" customHeight="1">
      <c r="A1154" s="4"/>
      <c r="B1154" s="4"/>
      <c r="C1154" s="4"/>
      <c r="D1154" s="4"/>
      <c r="E1154" s="183" t="s">
        <v>823</v>
      </c>
      <c r="F1154" s="183"/>
      <c r="G1154" s="183"/>
      <c r="H1154" s="204" t="s">
        <v>824</v>
      </c>
      <c r="I1154" s="204"/>
      <c r="J1154" s="204"/>
      <c r="K1154" s="204"/>
      <c r="L1154" s="190">
        <f>$I$255*$Q$1005/1000</f>
        <v>790.74</v>
      </c>
      <c r="M1154" s="190"/>
      <c r="N1154" s="190"/>
      <c r="O1154" s="190"/>
      <c r="P1154" s="190">
        <f>$AI$244*$Q$1005/1000</f>
        <v>790.74</v>
      </c>
      <c r="Q1154" s="190"/>
      <c r="R1154" s="190"/>
      <c r="S1154" s="190"/>
      <c r="T1154" s="190">
        <f>$I$255*$Q$1005/1000</f>
        <v>790.74</v>
      </c>
      <c r="U1154" s="190"/>
      <c r="V1154" s="190"/>
      <c r="W1154" s="190"/>
      <c r="AG1154" s="29"/>
      <c r="AP1154" s="27"/>
    </row>
    <row r="1155" spans="1:42" ht="19.5" customHeight="1">
      <c r="A1155" s="4"/>
      <c r="B1155" s="4"/>
      <c r="C1155" s="4"/>
      <c r="D1155" s="4"/>
      <c r="E1155" s="183" t="s">
        <v>825</v>
      </c>
      <c r="F1155" s="183"/>
      <c r="G1155" s="183"/>
      <c r="H1155" s="204" t="s">
        <v>824</v>
      </c>
      <c r="I1155" s="204"/>
      <c r="J1155" s="204"/>
      <c r="K1155" s="204"/>
      <c r="L1155" s="190">
        <f>$AG$256*$T$1006*$X$1006/1000</f>
        <v>4262.524056</v>
      </c>
      <c r="M1155" s="190"/>
      <c r="N1155" s="190"/>
      <c r="O1155" s="190"/>
      <c r="P1155" s="190">
        <f>$AG$241*$T$1006*$X$1006/1000</f>
        <v>4262.524056</v>
      </c>
      <c r="Q1155" s="190"/>
      <c r="R1155" s="190"/>
      <c r="S1155" s="190"/>
      <c r="T1155" s="190">
        <f>$AG$256*$T$1006*$X$1006/1000</f>
        <v>4262.524056</v>
      </c>
      <c r="U1155" s="190"/>
      <c r="V1155" s="190"/>
      <c r="W1155" s="190"/>
      <c r="AG1155" s="29"/>
      <c r="AP1155" s="27"/>
    </row>
    <row r="1156" spans="1:42" ht="19.5" customHeight="1">
      <c r="A1156" s="4"/>
      <c r="B1156" s="4"/>
      <c r="C1156" s="4"/>
      <c r="D1156" s="4"/>
      <c r="E1156" s="183" t="s">
        <v>715</v>
      </c>
      <c r="F1156" s="183"/>
      <c r="G1156" s="183"/>
      <c r="H1156" s="204" t="s">
        <v>661</v>
      </c>
      <c r="I1156" s="204"/>
      <c r="J1156" s="204"/>
      <c r="K1156" s="204"/>
      <c r="L1156" s="290">
        <f>IF(H1079&lt;N1079,(-((M1094-Q1094)/0.00744*H1095*N1099/1000-(((M1094-Q1094)/0.00744*L622/AD1078/100000+(H1094-(M1094-Q1094)/0.00744*0.00756))*N1099/1000+J1099))+SQRT(((M1094-Q1094)/0.00744*H1095*N1099/1000-(((M1094-Q1094)/0.00744*L622/AD1078/100000+(H1094-(M1094-Q1094)/0.00744*0.00756))*N1099/1000+J1099))^2-4*E1098*(-(M1094-Q1094)/0.00744*H1095*O1095*N1099/1000)))/(2*E1098),J1070)</f>
        <v>169.69261957192856</v>
      </c>
      <c r="M1156" s="290"/>
      <c r="N1156" s="290"/>
      <c r="O1156" s="290"/>
      <c r="P1156" s="290">
        <f>IF(H1022&lt;N1022,(-((M1037-Q1037)/0.00744*H1038*N1042/1000-(((M1037-Q1037)/0.00744*P622/AD1021/100000+(H1037-(M1037-Q1037)/0.00744*0.00756))*N1042/1000+J1042))+SQRT(((M1037-Q1037)/0.00744*H1038*N1042/1000-(((M1037-Q1037)/0.00744*P622/AD1021/100000+(H1037-(M1037-Q1037)/0.00744*0.00756))*N1042/1000+J1042))^2-4*E1041*(-(M1037-Q1037)/0.00744*H1038*O1038*N1042/1000)))/(2*E1041),J1013)</f>
        <v>166.41225564281223</v>
      </c>
      <c r="Q1156" s="290"/>
      <c r="R1156" s="290"/>
      <c r="S1156" s="290"/>
      <c r="T1156" s="290">
        <f>IF(H1079&lt;N1079,(-((M1094-Q1094)/0.00744*H1095*N1099/1000-(((M1094-Q1094)/0.00744*T622/AD1078/100000+(H1094-(M1094-Q1094)/0.00744*0.00756))*N1099/1000+J1099))+SQRT(((M1094-Q1094)/0.00744*H1095*N1099/1000-(((M1094-Q1094)/0.00744*T622/AD1078/100000+(H1094-(M1094-Q1094)/0.00744*0.00756))*N1099/1000+J1099))^2-4*E1098*(-(M1094-Q1094)/0.00744*H1095*O1095*N1099/1000)))/(2*E1098),J1070)</f>
        <v>169.69261957192856</v>
      </c>
      <c r="U1156" s="290"/>
      <c r="V1156" s="290"/>
      <c r="W1156" s="290"/>
      <c r="AG1156" s="29"/>
      <c r="AP1156" s="27"/>
    </row>
    <row r="1157" spans="1:42" ht="19.5" customHeight="1">
      <c r="A1157" s="4"/>
      <c r="B1157" s="4"/>
      <c r="C1157" s="4"/>
      <c r="D1157" s="4"/>
      <c r="E1157" s="183" t="s">
        <v>826</v>
      </c>
      <c r="F1157" s="183"/>
      <c r="G1157" s="183"/>
      <c r="H1157" s="204" t="s">
        <v>661</v>
      </c>
      <c r="I1157" s="204"/>
      <c r="J1157" s="204"/>
      <c r="K1157" s="204"/>
      <c r="L1157" s="190">
        <f>$Q$1055</f>
        <v>340</v>
      </c>
      <c r="M1157" s="190"/>
      <c r="N1157" s="190"/>
      <c r="O1157" s="190"/>
      <c r="P1157" s="190">
        <f>$Q$997</f>
        <v>260</v>
      </c>
      <c r="Q1157" s="190"/>
      <c r="R1157" s="190"/>
      <c r="S1157" s="190"/>
      <c r="T1157" s="190">
        <f>$Q$1055</f>
        <v>340</v>
      </c>
      <c r="U1157" s="190"/>
      <c r="V1157" s="190"/>
      <c r="W1157" s="190"/>
      <c r="AG1157" s="29"/>
      <c r="AP1157" s="27"/>
    </row>
    <row r="1158" spans="1:42" ht="19.5" customHeight="1">
      <c r="A1158" s="4"/>
      <c r="B1158" s="4"/>
      <c r="C1158" s="4"/>
      <c r="D1158" s="4"/>
      <c r="E1158" s="183" t="s">
        <v>827</v>
      </c>
      <c r="F1158" s="183"/>
      <c r="G1158" s="183"/>
      <c r="H1158" s="204" t="s">
        <v>661</v>
      </c>
      <c r="I1158" s="204"/>
      <c r="J1158" s="204"/>
      <c r="K1158" s="204"/>
      <c r="L1158" s="190">
        <f>$P$1055</f>
        <v>280</v>
      </c>
      <c r="M1158" s="190"/>
      <c r="N1158" s="190"/>
      <c r="O1158" s="190"/>
      <c r="P1158" s="190">
        <f>$P$997</f>
        <v>200</v>
      </c>
      <c r="Q1158" s="190"/>
      <c r="R1158" s="190"/>
      <c r="S1158" s="190"/>
      <c r="T1158" s="190">
        <f>$P$1055</f>
        <v>280</v>
      </c>
      <c r="U1158" s="190"/>
      <c r="V1158" s="190"/>
      <c r="W1158" s="190"/>
      <c r="AG1158" s="29"/>
      <c r="AP1158" s="27"/>
    </row>
    <row r="1159" spans="1:42" ht="19.5" customHeight="1">
      <c r="A1159" s="4"/>
      <c r="B1159" s="4"/>
      <c r="C1159" s="4" t="s">
        <v>828</v>
      </c>
      <c r="D1159" s="4"/>
      <c r="E1159" s="183" t="s">
        <v>1019</v>
      </c>
      <c r="F1159" s="183"/>
      <c r="G1159" s="183"/>
      <c r="H1159" s="204" t="s">
        <v>1401</v>
      </c>
      <c r="I1159" s="204"/>
      <c r="J1159" s="204"/>
      <c r="K1159" s="204"/>
      <c r="L1159" s="189">
        <f>$H$1075/L1156*(L1157-L1156)</f>
        <v>0.0035126797676995497</v>
      </c>
      <c r="M1159" s="189"/>
      <c r="N1159" s="189"/>
      <c r="O1159" s="189"/>
      <c r="P1159" s="189">
        <f>$H$1018/P1156*(P1157-P1156)</f>
        <v>0.0019683472469313006</v>
      </c>
      <c r="Q1159" s="189"/>
      <c r="R1159" s="189"/>
      <c r="S1159" s="189"/>
      <c r="T1159" s="189">
        <f>$H$1075/T1156*(T1157-T1156)</f>
        <v>0.0035126797676995497</v>
      </c>
      <c r="U1159" s="189"/>
      <c r="V1159" s="189"/>
      <c r="W1159" s="189"/>
      <c r="AG1159" s="29"/>
      <c r="AP1159" s="27"/>
    </row>
    <row r="1160" spans="1:42" ht="19.5" customHeight="1">
      <c r="A1160" s="4"/>
      <c r="B1160" s="4"/>
      <c r="C1160" s="4"/>
      <c r="D1160" s="4"/>
      <c r="E1160" s="183" t="s">
        <v>1020</v>
      </c>
      <c r="F1160" s="183"/>
      <c r="G1160" s="183"/>
      <c r="H1160" s="204" t="s">
        <v>1401</v>
      </c>
      <c r="I1160" s="204"/>
      <c r="J1160" s="204"/>
      <c r="K1160" s="204"/>
      <c r="L1160" s="189">
        <f>$H$1078/L1156*(L1158-L1156)+N913/$AD$1078/100000</f>
        <v>0.007106884451066758</v>
      </c>
      <c r="M1160" s="189"/>
      <c r="N1160" s="189"/>
      <c r="O1160" s="189"/>
      <c r="P1160" s="189">
        <f>$H$1021/P1156*(P1158-P1156)+R913/$AD$1021/100000</f>
        <v>0.005497582775544069</v>
      </c>
      <c r="Q1160" s="189"/>
      <c r="R1160" s="189"/>
      <c r="S1160" s="189"/>
      <c r="T1160" s="189">
        <f>$H$1078/T1156*(T1158-T1156)+V913/$AD$1078/100000</f>
        <v>0.007106884451066758</v>
      </c>
      <c r="U1160" s="189"/>
      <c r="V1160" s="189"/>
      <c r="W1160" s="189"/>
      <c r="AG1160" s="29"/>
      <c r="AP1160" s="27"/>
    </row>
    <row r="1161" spans="1:42" ht="19.5" customHeight="1">
      <c r="A1161" s="4"/>
      <c r="B1161" s="4"/>
      <c r="C1161" s="4"/>
      <c r="D1161" s="4"/>
      <c r="E1161" s="183" t="s">
        <v>829</v>
      </c>
      <c r="F1161" s="183"/>
      <c r="G1161" s="183"/>
      <c r="H1161" s="204" t="s">
        <v>830</v>
      </c>
      <c r="I1161" s="204"/>
      <c r="J1161" s="204"/>
      <c r="K1161" s="204"/>
      <c r="L1161" s="190">
        <f>L1154*(L1157/1000-$M$1120*L1156/1000)+L1155*(L1158/1000-$X$1120*L1156/1000)</f>
        <v>1119.3576896594768</v>
      </c>
      <c r="M1161" s="190"/>
      <c r="N1161" s="190"/>
      <c r="O1161" s="190"/>
      <c r="P1161" s="190">
        <f>P1154*(P1157/1000-$M$1116*P1156/1000)+P1155*(P1158/1000-$X$1116*P1156/1000)</f>
        <v>721.7271832329175</v>
      </c>
      <c r="Q1161" s="190"/>
      <c r="R1161" s="190"/>
      <c r="S1161" s="190"/>
      <c r="T1161" s="190">
        <f>T1154*(T1157/1000-$M$1120*T1156/1000)+T1155*(T1158/1000-$X$1120*T1156/1000)</f>
        <v>1119.3576896594768</v>
      </c>
      <c r="U1161" s="190"/>
      <c r="V1161" s="190"/>
      <c r="W1161" s="190"/>
      <c r="AG1161" s="29"/>
      <c r="AP1161" s="27"/>
    </row>
    <row r="1162" spans="1:42" ht="19.5" customHeight="1">
      <c r="A1162" s="4"/>
      <c r="B1162" s="4"/>
      <c r="C1162" s="4"/>
      <c r="D1162" s="4"/>
      <c r="E1162" s="183" t="s">
        <v>831</v>
      </c>
      <c r="F1162" s="183"/>
      <c r="G1162" s="183"/>
      <c r="H1162" s="204" t="s">
        <v>830</v>
      </c>
      <c r="I1162" s="204"/>
      <c r="J1162" s="204"/>
      <c r="K1162" s="204"/>
      <c r="L1162" s="190">
        <f>ABS(1.3*T$228+2.5*T$224)</f>
        <v>231.918795</v>
      </c>
      <c r="M1162" s="190"/>
      <c r="N1162" s="190"/>
      <c r="O1162" s="190"/>
      <c r="P1162" s="190">
        <f>ABS(1.3*X$228+2.5*X$224)</f>
        <v>186.70145</v>
      </c>
      <c r="Q1162" s="190"/>
      <c r="R1162" s="190"/>
      <c r="S1162" s="190"/>
      <c r="T1162" s="190">
        <f>ABS(1.3*AB$228+2.5*AB$224)</f>
        <v>231.918795</v>
      </c>
      <c r="U1162" s="190"/>
      <c r="V1162" s="190"/>
      <c r="W1162" s="190"/>
      <c r="AG1162" s="29"/>
      <c r="AP1162" s="27"/>
    </row>
    <row r="1163" spans="1:42" ht="19.5" customHeight="1">
      <c r="A1163" s="4"/>
      <c r="B1163" s="4"/>
      <c r="C1163" s="4"/>
      <c r="D1163" s="4"/>
      <c r="E1163" s="183" t="s">
        <v>832</v>
      </c>
      <c r="F1163" s="183"/>
      <c r="G1163" s="183"/>
      <c r="H1163" s="204" t="s">
        <v>830</v>
      </c>
      <c r="I1163" s="204"/>
      <c r="J1163" s="204"/>
      <c r="K1163" s="204"/>
      <c r="L1163" s="190">
        <f>ABS(1*T$228+2.5*T$224)</f>
        <v>219.334395</v>
      </c>
      <c r="M1163" s="190"/>
      <c r="N1163" s="190"/>
      <c r="O1163" s="190"/>
      <c r="P1163" s="190">
        <f>ABS(1*X$228+2.5*X$224)</f>
        <v>188.59025</v>
      </c>
      <c r="Q1163" s="190"/>
      <c r="R1163" s="190"/>
      <c r="S1163" s="190"/>
      <c r="T1163" s="190">
        <f>ABS(1*AB$228+2.5*AB$224)</f>
        <v>219.334395</v>
      </c>
      <c r="U1163" s="190"/>
      <c r="V1163" s="190"/>
      <c r="W1163" s="190"/>
      <c r="AG1163" s="29"/>
      <c r="AP1163" s="27"/>
    </row>
    <row r="1164" spans="1:42" ht="19.5" customHeight="1">
      <c r="A1164" s="4"/>
      <c r="B1164" s="4"/>
      <c r="C1164" s="4"/>
      <c r="D1164" s="4"/>
      <c r="E1164" s="183" t="s">
        <v>833</v>
      </c>
      <c r="F1164" s="183"/>
      <c r="G1164" s="183"/>
      <c r="H1164" s="204" t="s">
        <v>830</v>
      </c>
      <c r="I1164" s="204"/>
      <c r="J1164" s="204"/>
      <c r="K1164" s="204"/>
      <c r="L1164" s="190">
        <f>ABS(1.7*T$228+1.7*T$224)</f>
        <v>191.93434859999996</v>
      </c>
      <c r="M1164" s="190"/>
      <c r="N1164" s="190"/>
      <c r="O1164" s="190"/>
      <c r="P1164" s="190">
        <f>ABS(1.7*X$228+1.7*X$224)</f>
        <v>121.81944999999999</v>
      </c>
      <c r="Q1164" s="190"/>
      <c r="R1164" s="190"/>
      <c r="S1164" s="190"/>
      <c r="T1164" s="190">
        <f>ABS(1.7*AB$228+1.7*AB$224)</f>
        <v>191.93434859999996</v>
      </c>
      <c r="U1164" s="190"/>
      <c r="V1164" s="190"/>
      <c r="W1164" s="190"/>
      <c r="AG1164" s="29"/>
      <c r="AP1164" s="27"/>
    </row>
    <row r="1165" spans="1:42" ht="19.5" customHeight="1">
      <c r="A1165" s="4"/>
      <c r="B1165" s="4"/>
      <c r="C1165" s="4" t="s">
        <v>828</v>
      </c>
      <c r="D1165" s="4"/>
      <c r="E1165" s="183" t="s">
        <v>834</v>
      </c>
      <c r="F1165" s="183"/>
      <c r="G1165" s="183"/>
      <c r="H1165" s="204" t="s">
        <v>1401</v>
      </c>
      <c r="I1165" s="204"/>
      <c r="J1165" s="204"/>
      <c r="K1165" s="204"/>
      <c r="L1165" s="190">
        <f>L$1144/L1162</f>
        <v>4.826507009315381</v>
      </c>
      <c r="M1165" s="190"/>
      <c r="N1165" s="190"/>
      <c r="O1165" s="190"/>
      <c r="P1165" s="190">
        <f>P$1144/P1162</f>
        <v>3.865033090184731</v>
      </c>
      <c r="Q1165" s="190"/>
      <c r="R1165" s="190"/>
      <c r="S1165" s="190"/>
      <c r="T1165" s="190">
        <f>T$1144/T1162</f>
        <v>4.826507009315381</v>
      </c>
      <c r="U1165" s="190"/>
      <c r="V1165" s="190"/>
      <c r="W1165" s="190"/>
      <c r="AG1165" s="29"/>
      <c r="AP1165" s="27"/>
    </row>
    <row r="1166" spans="1:42" ht="19.5" customHeight="1">
      <c r="A1166" s="4"/>
      <c r="B1166" s="4"/>
      <c r="C1166" s="4"/>
      <c r="D1166" s="4"/>
      <c r="E1166" s="183" t="s">
        <v>835</v>
      </c>
      <c r="F1166" s="183"/>
      <c r="G1166" s="183"/>
      <c r="H1166" s="204" t="s">
        <v>1401</v>
      </c>
      <c r="I1166" s="204"/>
      <c r="J1166" s="204"/>
      <c r="K1166" s="204"/>
      <c r="L1166" s="190">
        <f>L$1144/L1163</f>
        <v>5.103429809353325</v>
      </c>
      <c r="M1166" s="190"/>
      <c r="N1166" s="190"/>
      <c r="O1166" s="190"/>
      <c r="P1166" s="190">
        <f>P$1144/P1163</f>
        <v>3.8263233769268035</v>
      </c>
      <c r="Q1166" s="190"/>
      <c r="R1166" s="190"/>
      <c r="S1166" s="190"/>
      <c r="T1166" s="190">
        <f>T$1144/T1163</f>
        <v>5.103429809353325</v>
      </c>
      <c r="U1166" s="190"/>
      <c r="V1166" s="190"/>
      <c r="W1166" s="190"/>
      <c r="AG1166" s="29"/>
      <c r="AP1166" s="27"/>
    </row>
    <row r="1167" spans="1:42" ht="19.5" customHeight="1">
      <c r="A1167" s="4"/>
      <c r="B1167" s="4"/>
      <c r="C1167" s="4"/>
      <c r="D1167" s="4"/>
      <c r="E1167" s="183" t="s">
        <v>836</v>
      </c>
      <c r="F1167" s="183"/>
      <c r="G1167" s="183"/>
      <c r="H1167" s="204" t="s">
        <v>1401</v>
      </c>
      <c r="I1167" s="204"/>
      <c r="J1167" s="204"/>
      <c r="K1167" s="204"/>
      <c r="L1167" s="190">
        <f>L$1144/L1164</f>
        <v>5.831982122138387</v>
      </c>
      <c r="M1167" s="190"/>
      <c r="N1167" s="190"/>
      <c r="O1167" s="190"/>
      <c r="P1167" s="190">
        <f>P$1144/P1164</f>
        <v>5.92358020197489</v>
      </c>
      <c r="Q1167" s="190"/>
      <c r="R1167" s="190"/>
      <c r="S1167" s="190"/>
      <c r="T1167" s="190">
        <f>T$1144/T1164</f>
        <v>5.831982122138387</v>
      </c>
      <c r="U1167" s="190"/>
      <c r="V1167" s="190"/>
      <c r="W1167" s="190"/>
      <c r="AG1167" s="29"/>
      <c r="AP1167" s="27"/>
    </row>
    <row r="1168" spans="1:42" ht="19.5" customHeight="1">
      <c r="A1168" s="4"/>
      <c r="B1168" s="4"/>
      <c r="C1168" s="4"/>
      <c r="D1168" s="4"/>
      <c r="E1168" s="231" t="s">
        <v>118</v>
      </c>
      <c r="F1168" s="232"/>
      <c r="G1168" s="232"/>
      <c r="H1168" s="232"/>
      <c r="I1168" s="232"/>
      <c r="J1168" s="232"/>
      <c r="K1168" s="233"/>
      <c r="L1168" s="190" t="str">
        <f>IF(AND(L1165&gt;=1,L1166&gt;=1,L1167&gt;=1),"O.K.","N.G.")</f>
        <v>O.K.</v>
      </c>
      <c r="M1168" s="190"/>
      <c r="N1168" s="190"/>
      <c r="O1168" s="190"/>
      <c r="P1168" s="190" t="str">
        <f>IF(AND(P1165&gt;=1,P1166&gt;=1,P1167&gt;=1),"O.K.","N.G.")</f>
        <v>O.K.</v>
      </c>
      <c r="Q1168" s="190"/>
      <c r="R1168" s="190"/>
      <c r="S1168" s="190"/>
      <c r="T1168" s="190" t="str">
        <f>IF(AND(T1165&gt;=1,T1166&gt;=1,T1167&gt;=1),"O.K.","N.G.")</f>
        <v>O.K.</v>
      </c>
      <c r="U1168" s="190"/>
      <c r="V1168" s="190"/>
      <c r="W1168" s="190"/>
      <c r="AG1168" s="29"/>
      <c r="AP1168" s="27"/>
    </row>
    <row r="1169" spans="1:42" ht="19.5" customHeight="1">
      <c r="A1169" s="4"/>
      <c r="B1169" s="4"/>
      <c r="C1169" s="4"/>
      <c r="D1169" s="4"/>
      <c r="E1169" s="49"/>
      <c r="F1169" s="49"/>
      <c r="G1169" s="49"/>
      <c r="H1169" s="45"/>
      <c r="I1169" s="45"/>
      <c r="J1169" s="45"/>
      <c r="K1169" s="45"/>
      <c r="L1169" s="37"/>
      <c r="M1169" s="37"/>
      <c r="N1169" s="37"/>
      <c r="O1169" s="37"/>
      <c r="P1169" s="37"/>
      <c r="Q1169" s="37"/>
      <c r="R1169" s="37"/>
      <c r="S1169" s="37"/>
      <c r="T1169" s="37"/>
      <c r="U1169" s="37"/>
      <c r="V1169" s="37"/>
      <c r="W1169" s="37"/>
      <c r="AG1169" s="29"/>
      <c r="AP1169" s="27"/>
    </row>
    <row r="1170" spans="2:12" ht="19.5" customHeight="1">
      <c r="B1170" s="341" t="s">
        <v>837</v>
      </c>
      <c r="C1170" s="4"/>
      <c r="D1170" s="4"/>
      <c r="E1170" s="4"/>
      <c r="F1170" s="4"/>
      <c r="G1170" s="4"/>
      <c r="H1170" s="4"/>
      <c r="I1170" s="4"/>
      <c r="J1170" s="4"/>
      <c r="K1170" s="4"/>
      <c r="L1170" s="4"/>
    </row>
    <row r="1171" spans="1:12" ht="19.5" customHeight="1">
      <c r="A1171" s="4"/>
      <c r="C1171" s="4" t="s">
        <v>119</v>
      </c>
      <c r="D1171" s="4"/>
      <c r="E1171" s="4"/>
      <c r="F1171" s="4"/>
      <c r="G1171" s="4"/>
      <c r="H1171" s="4"/>
      <c r="I1171" s="4"/>
      <c r="J1171" s="4"/>
      <c r="K1171" s="4"/>
      <c r="L1171" s="4"/>
    </row>
    <row r="1172" spans="1:12" ht="19.5" customHeight="1">
      <c r="A1172" s="4"/>
      <c r="B1172" s="4"/>
      <c r="C1172" s="4"/>
      <c r="D1172" s="4"/>
      <c r="E1172" s="4"/>
      <c r="F1172" s="4"/>
      <c r="G1172" s="4"/>
      <c r="H1172" s="4"/>
      <c r="I1172" s="4"/>
      <c r="J1172" s="4"/>
      <c r="K1172" s="4"/>
      <c r="L1172" s="4"/>
    </row>
    <row r="1173" spans="2:43" ht="19.5" customHeight="1">
      <c r="B1173" s="4"/>
      <c r="C1173" s="4" t="s">
        <v>1125</v>
      </c>
      <c r="D1173" s="4"/>
      <c r="E1173" s="4"/>
      <c r="F1173" s="4"/>
      <c r="G1173" s="4"/>
      <c r="H1173" s="4"/>
      <c r="I1173" s="4"/>
      <c r="J1173" s="4"/>
      <c r="K1173" s="4"/>
      <c r="L1173" s="4"/>
      <c r="M1173" s="4"/>
      <c r="AH1173" s="92" t="s">
        <v>933</v>
      </c>
      <c r="AQ1173" s="29"/>
    </row>
    <row r="1174" spans="2:43" ht="19.5" customHeight="1">
      <c r="B1174" s="4"/>
      <c r="D1174" s="4" t="s">
        <v>1126</v>
      </c>
      <c r="E1174" s="4"/>
      <c r="F1174" s="4"/>
      <c r="G1174" s="4"/>
      <c r="H1174" s="4"/>
      <c r="I1174" s="4"/>
      <c r="J1174" s="4"/>
      <c r="K1174" s="4"/>
      <c r="L1174" s="4"/>
      <c r="M1174" s="4"/>
      <c r="AH1174" s="27"/>
      <c r="AQ1174" s="29"/>
    </row>
    <row r="1175" spans="2:43" ht="19.5" customHeight="1">
      <c r="B1175" s="4"/>
      <c r="C1175" s="4"/>
      <c r="E1175" s="4" t="s">
        <v>120</v>
      </c>
      <c r="F1175" s="4"/>
      <c r="G1175" s="4"/>
      <c r="H1175" s="4"/>
      <c r="I1175" s="4"/>
      <c r="J1175" s="4"/>
      <c r="K1175" s="4" t="s">
        <v>876</v>
      </c>
      <c r="L1175" s="4" t="s">
        <v>993</v>
      </c>
      <c r="M1175" s="160">
        <f>Y196</f>
        <v>5</v>
      </c>
      <c r="N1175" s="160"/>
      <c r="O1175" s="160"/>
      <c r="P1175" s="27" t="s">
        <v>208</v>
      </c>
      <c r="T1175" s="6"/>
      <c r="AH1175" s="27"/>
      <c r="AQ1175" s="29"/>
    </row>
    <row r="1176" spans="2:43" ht="19.5" customHeight="1">
      <c r="B1176" s="4"/>
      <c r="C1176" s="4" t="s">
        <v>877</v>
      </c>
      <c r="E1176" s="27" t="s">
        <v>838</v>
      </c>
      <c r="F1176" s="27" t="s">
        <v>993</v>
      </c>
      <c r="G1176" s="27" t="str">
        <f>IF(K185="B","( 0.10L + 0.04 ) P",IF(K185="A","0.80·( 0.10L + 0.04 ) P","ERROR"))</f>
        <v>( 0.10L + 0.04 ) P</v>
      </c>
      <c r="AH1176" s="27"/>
      <c r="AQ1176" s="29"/>
    </row>
    <row r="1177" spans="2:43" ht="19.5" customHeight="1">
      <c r="B1177" s="4"/>
      <c r="C1177" s="4"/>
      <c r="F1177" s="27" t="s">
        <v>993</v>
      </c>
      <c r="G1177" s="27" t="str">
        <f>IF(K185="B","( 0.10 × "&amp;ROUND(M1175,3)&amp;" + 0.04 ) × "&amp;X185,IF(K185="A","0.80 × ( 0.10 × "&amp;ROUND(M1175,3)&amp;" + 0.04 ) × "&amp;X185,"ERROR"))</f>
        <v>( 0.10 × 5 + 0.04 ) × 100</v>
      </c>
      <c r="AH1177" s="27"/>
      <c r="AQ1177" s="29"/>
    </row>
    <row r="1178" spans="2:43" ht="19.5" customHeight="1">
      <c r="B1178" s="4"/>
      <c r="C1178" s="4"/>
      <c r="F1178" s="27" t="s">
        <v>993</v>
      </c>
      <c r="G1178" s="237">
        <f>IF(K185="B",(0.1*M1175+0.04)*X185,IF(K185="A",0.8*(0.1*M1175+0.04)*X185,"ERROR"))</f>
        <v>54</v>
      </c>
      <c r="H1178" s="237"/>
      <c r="I1178" s="237"/>
      <c r="J1178" s="4" t="s">
        <v>230</v>
      </c>
      <c r="K1178" s="4"/>
      <c r="L1178" s="4"/>
      <c r="Q1178" s="54"/>
      <c r="R1178" s="54"/>
      <c r="S1178" s="54"/>
      <c r="U1178" s="54"/>
      <c r="V1178" s="54"/>
      <c r="W1178" s="54"/>
      <c r="Y1178" s="6"/>
      <c r="Z1178" s="162"/>
      <c r="AA1178" s="162"/>
      <c r="AB1178" s="162"/>
      <c r="AH1178" s="27"/>
      <c r="AQ1178" s="29"/>
    </row>
    <row r="1179" spans="2:43" ht="19.5" customHeight="1">
      <c r="B1179" s="4"/>
      <c r="D1179" s="4" t="s">
        <v>121</v>
      </c>
      <c r="E1179" s="4"/>
      <c r="F1179" s="4"/>
      <c r="G1179" s="4"/>
      <c r="H1179" s="4"/>
      <c r="I1179" s="4"/>
      <c r="J1179" s="4"/>
      <c r="K1179" s="4"/>
      <c r="L1179" s="4"/>
      <c r="M1179" s="4"/>
      <c r="AH1179" s="27"/>
      <c r="AQ1179" s="29"/>
    </row>
    <row r="1180" spans="2:43" ht="19.5" customHeight="1">
      <c r="B1180" s="4"/>
      <c r="C1180" s="4"/>
      <c r="D1180" s="4"/>
      <c r="E1180" s="4" t="s">
        <v>120</v>
      </c>
      <c r="F1180" s="4"/>
      <c r="G1180" s="4"/>
      <c r="H1180" s="4"/>
      <c r="I1180" s="4"/>
      <c r="J1180" s="4"/>
      <c r="K1180" s="4" t="s">
        <v>876</v>
      </c>
      <c r="L1180" s="4" t="s">
        <v>993</v>
      </c>
      <c r="M1180" s="160">
        <f>Y186</f>
        <v>1.547</v>
      </c>
      <c r="N1180" s="160"/>
      <c r="O1180" s="160"/>
      <c r="P1180" s="27" t="s">
        <v>208</v>
      </c>
      <c r="AH1180" s="27"/>
      <c r="AQ1180" s="29"/>
    </row>
    <row r="1181" spans="2:43" ht="19.5" customHeight="1">
      <c r="B1181" s="4"/>
      <c r="C1181" s="4"/>
      <c r="D1181" s="4"/>
      <c r="E1181" s="27" t="s">
        <v>838</v>
      </c>
      <c r="F1181" s="27" t="s">
        <v>993</v>
      </c>
      <c r="G1181" s="4" t="str">
        <f>IF(K185="B","( 0.15L + 0.13 ) P",IF(K185="A","0.80·( 0.15L + 0.13 ) P","ERROR"))</f>
        <v>( 0.15L + 0.13 ) P</v>
      </c>
      <c r="H1181" s="4"/>
      <c r="I1181" s="4"/>
      <c r="J1181" s="4"/>
      <c r="K1181" s="4"/>
      <c r="L1181" s="4"/>
      <c r="M1181" s="4"/>
      <c r="AH1181" s="27"/>
      <c r="AQ1181" s="29"/>
    </row>
    <row r="1182" spans="2:43" ht="19.5" customHeight="1">
      <c r="B1182" s="4"/>
      <c r="C1182" s="4"/>
      <c r="D1182" s="4"/>
      <c r="E1182" s="4"/>
      <c r="F1182" s="27" t="s">
        <v>993</v>
      </c>
      <c r="G1182" s="4" t="str">
        <f>IF(K185="B","( 0.15 × "&amp;ROUND(M1180,3)&amp;" + 0.13 ) × "&amp;X185,IF(K185="A","0.80 × ( 0.15 × "&amp;ROUND(M1180,3)&amp;" + 0.13 ) × "&amp;X185,"ERROR"))</f>
        <v>( 0.15 × 1.547 + 0.13 ) × 100</v>
      </c>
      <c r="H1182" s="4"/>
      <c r="I1182" s="4"/>
      <c r="J1182" s="4"/>
      <c r="K1182" s="4"/>
      <c r="L1182" s="4"/>
      <c r="M1182" s="4"/>
      <c r="AH1182" s="27"/>
      <c r="AQ1182" s="29"/>
    </row>
    <row r="1183" spans="2:43" ht="19.5" customHeight="1">
      <c r="B1183" s="4"/>
      <c r="C1183" s="4"/>
      <c r="D1183" s="4"/>
      <c r="E1183" s="4"/>
      <c r="F1183" s="27" t="s">
        <v>993</v>
      </c>
      <c r="G1183" s="244">
        <f>IF(K185="B",(0.15*M1180+0.13)*X185,IF(K185="A",0.8*(0.1*M1180+0.13)*X185,"ERROR"))</f>
        <v>36.205</v>
      </c>
      <c r="H1183" s="244"/>
      <c r="I1183" s="244"/>
      <c r="J1183" s="4" t="s">
        <v>230</v>
      </c>
      <c r="K1183" s="4"/>
      <c r="L1183" s="4"/>
      <c r="M1183" s="4"/>
      <c r="AH1183" s="27"/>
      <c r="AQ1183" s="29"/>
    </row>
    <row r="1184" spans="2:43" ht="19.5" customHeight="1">
      <c r="B1184" s="4"/>
      <c r="C1184" s="4"/>
      <c r="D1184" s="4"/>
      <c r="E1184" s="4"/>
      <c r="G1184" s="4"/>
      <c r="H1184" s="4"/>
      <c r="I1184" s="4"/>
      <c r="J1184" s="4"/>
      <c r="K1184" s="4"/>
      <c r="L1184" s="4"/>
      <c r="M1184" s="4"/>
      <c r="AH1184" s="27"/>
      <c r="AQ1184" s="29"/>
    </row>
    <row r="1185" spans="3:43" ht="19.5" customHeight="1">
      <c r="C1185" s="4" t="s">
        <v>122</v>
      </c>
      <c r="D1185" s="4"/>
      <c r="E1185" s="4"/>
      <c r="F1185" s="4"/>
      <c r="G1185" s="4"/>
      <c r="H1185" s="4"/>
      <c r="I1185" s="4"/>
      <c r="J1185" s="4"/>
      <c r="K1185" s="4"/>
      <c r="L1185" s="4"/>
      <c r="M1185" s="4"/>
      <c r="AH1185" s="27"/>
      <c r="AQ1185" s="29"/>
    </row>
    <row r="1186" spans="2:43" ht="19.5" customHeight="1">
      <c r="B1186" s="4"/>
      <c r="C1186" s="4"/>
      <c r="D1186" s="4" t="s">
        <v>123</v>
      </c>
      <c r="E1186" s="4"/>
      <c r="F1186" s="4"/>
      <c r="G1186" s="4"/>
      <c r="H1186" s="4"/>
      <c r="I1186" s="4"/>
      <c r="J1186" s="4"/>
      <c r="K1186" s="4"/>
      <c r="L1186" s="4"/>
      <c r="M1186" s="4"/>
      <c r="AH1186" s="27"/>
      <c r="AQ1186" s="29"/>
    </row>
    <row r="1187" spans="2:43" ht="19.5" customHeight="1">
      <c r="B1187" s="4"/>
      <c r="C1187" s="4"/>
      <c r="D1187" s="4" t="s">
        <v>124</v>
      </c>
      <c r="E1187" s="4"/>
      <c r="F1187" s="4"/>
      <c r="G1187" s="4"/>
      <c r="H1187" s="4"/>
      <c r="I1187" s="4"/>
      <c r="J1187" s="4"/>
      <c r="K1187" s="4"/>
      <c r="L1187" s="4"/>
      <c r="M1187" s="4"/>
      <c r="AH1187" s="27"/>
      <c r="AQ1187" s="29"/>
    </row>
    <row r="1188" spans="2:43" ht="19.5" customHeight="1">
      <c r="B1188" s="4"/>
      <c r="C1188" s="4"/>
      <c r="D1188" s="4" t="s">
        <v>125</v>
      </c>
      <c r="E1188" s="4"/>
      <c r="F1188" s="4"/>
      <c r="G1188" s="4"/>
      <c r="H1188" s="4"/>
      <c r="I1188" s="4"/>
      <c r="J1188" s="4"/>
      <c r="K1188" s="4"/>
      <c r="L1188" s="4"/>
      <c r="Q1188" s="27" t="s">
        <v>839</v>
      </c>
      <c r="S1188" s="380">
        <v>15</v>
      </c>
      <c r="T1188" s="380"/>
      <c r="AH1188" s="27"/>
      <c r="AI1188" s="92" t="s">
        <v>932</v>
      </c>
      <c r="AQ1188" s="29"/>
    </row>
    <row r="1189" spans="2:43" ht="19.5" customHeight="1">
      <c r="B1189" s="4"/>
      <c r="C1189" s="4"/>
      <c r="D1189" s="4" t="s">
        <v>126</v>
      </c>
      <c r="E1189" s="4"/>
      <c r="F1189" s="4"/>
      <c r="G1189" s="4"/>
      <c r="H1189" s="4"/>
      <c r="I1189" s="4"/>
      <c r="J1189" s="4"/>
      <c r="K1189" s="4"/>
      <c r="L1189" s="4"/>
      <c r="P1189" s="27" t="s">
        <v>48</v>
      </c>
      <c r="W1189" s="27" t="s">
        <v>290</v>
      </c>
      <c r="X1189" s="209">
        <f>T677</f>
        <v>40</v>
      </c>
      <c r="Y1189" s="210"/>
      <c r="Z1189" s="210"/>
      <c r="AA1189" s="39" t="s">
        <v>348</v>
      </c>
      <c r="AB1189" s="27">
        <v>3</v>
      </c>
      <c r="AC1189" s="27" t="s">
        <v>290</v>
      </c>
      <c r="AD1189" s="211">
        <f>X1189/AB1189</f>
        <v>13.333333333333334</v>
      </c>
      <c r="AE1189" s="211"/>
      <c r="AF1189" s="211"/>
      <c r="AG1189" s="27" t="s">
        <v>1121</v>
      </c>
      <c r="AH1189" s="27"/>
      <c r="AQ1189" s="29"/>
    </row>
    <row r="1190" spans="2:43" ht="19.5" customHeight="1">
      <c r="B1190" s="4"/>
      <c r="C1190" s="4"/>
      <c r="D1190" s="4"/>
      <c r="E1190" s="4"/>
      <c r="F1190" s="4"/>
      <c r="G1190" s="4"/>
      <c r="H1190" s="4"/>
      <c r="I1190" s="4"/>
      <c r="J1190" s="4"/>
      <c r="K1190" s="4"/>
      <c r="L1190" s="4"/>
      <c r="X1190" s="96"/>
      <c r="Y1190" s="96"/>
      <c r="Z1190" s="96"/>
      <c r="AA1190" s="39"/>
      <c r="AD1190" s="41"/>
      <c r="AE1190" s="41"/>
      <c r="AF1190" s="41"/>
      <c r="AH1190" s="27"/>
      <c r="AQ1190" s="29"/>
    </row>
    <row r="1191" spans="2:67" ht="19.5" customHeight="1">
      <c r="B1191" s="4"/>
      <c r="C1191" s="4"/>
      <c r="D1191" s="27" t="s">
        <v>925</v>
      </c>
      <c r="F1191" s="381">
        <v>16</v>
      </c>
      <c r="G1191" s="381"/>
      <c r="H1191" s="27" t="s">
        <v>840</v>
      </c>
      <c r="J1191" s="330">
        <v>250</v>
      </c>
      <c r="K1191" s="330"/>
      <c r="L1191" s="27" t="s">
        <v>595</v>
      </c>
      <c r="T1191" s="27" t="s">
        <v>127</v>
      </c>
      <c r="Z1191" s="301">
        <f>G239</f>
        <v>19</v>
      </c>
      <c r="AA1191" s="301"/>
      <c r="AF1191" s="29"/>
      <c r="AG1191" s="29"/>
      <c r="AO1191" s="27"/>
      <c r="AP1191" s="27"/>
      <c r="BF1191" s="4"/>
      <c r="BG1191" s="4"/>
      <c r="BH1191" s="4"/>
      <c r="BI1191" s="4"/>
      <c r="BJ1191" s="4"/>
      <c r="BK1191" s="4"/>
      <c r="BL1191" s="4"/>
      <c r="BN1191" s="47"/>
      <c r="BO1191" s="47"/>
    </row>
    <row r="1192" spans="2:81" ht="19.5" customHeight="1">
      <c r="B1192" s="4"/>
      <c r="F1192" s="27" t="s">
        <v>841</v>
      </c>
      <c r="H1192" s="237">
        <f>IF(F1191=13,126.7,IF(F1191=16,198.6,IF(F1191=19,286.5,IF(F1191=22,387.1,IF(F1191=25,506.7,IF(F1191=29,642.4,"ERROR"))))))*1000/J1191</f>
        <v>794.4</v>
      </c>
      <c r="I1192" s="237"/>
      <c r="J1192" s="237"/>
      <c r="K1192" s="27" t="s">
        <v>842</v>
      </c>
      <c r="M1192" s="4"/>
      <c r="N1192" s="4"/>
      <c r="O1192" s="4"/>
      <c r="P1192" s="4"/>
      <c r="Q1192" s="4"/>
      <c r="R1192" s="4"/>
      <c r="S1192" s="4"/>
      <c r="AH1192" s="27"/>
      <c r="AI1192" s="27"/>
      <c r="AJ1192" s="27"/>
      <c r="AK1192" s="27"/>
      <c r="AL1192" s="27"/>
      <c r="AM1192" s="27"/>
      <c r="AP1192" s="27"/>
      <c r="BF1192" s="79"/>
      <c r="BG1192" s="4"/>
      <c r="BH1192" s="4"/>
      <c r="BI1192" s="4"/>
      <c r="BJ1192" s="4"/>
      <c r="BK1192" s="4"/>
      <c r="BL1192" s="4"/>
      <c r="BT1192" s="199"/>
      <c r="BV1192" s="35"/>
      <c r="BW1192" s="35"/>
      <c r="BX1192" s="35"/>
      <c r="BY1192" s="23"/>
      <c r="CB1192" s="23"/>
      <c r="CC1192" s="23"/>
    </row>
    <row r="1193" spans="2:78" ht="19.5" customHeight="1">
      <c r="B1193" s="4"/>
      <c r="G1193" s="44"/>
      <c r="H1193" s="44"/>
      <c r="I1193" s="44"/>
      <c r="M1193" s="79">
        <f>O240</f>
        <v>40</v>
      </c>
      <c r="N1193" s="4"/>
      <c r="O1193" s="4"/>
      <c r="P1193" s="4"/>
      <c r="Q1193" s="4"/>
      <c r="R1193" s="4"/>
      <c r="S1193" s="4"/>
      <c r="Y1193" s="164" t="s">
        <v>843</v>
      </c>
      <c r="AA1193" s="300">
        <f>AC240</f>
        <v>300</v>
      </c>
      <c r="AH1193" s="27"/>
      <c r="AI1193" s="27"/>
      <c r="AJ1193" s="27"/>
      <c r="AK1193" s="27"/>
      <c r="AL1193" s="27"/>
      <c r="AM1193" s="27"/>
      <c r="AP1193" s="27"/>
      <c r="AV1193" s="4"/>
      <c r="BF1193" s="79"/>
      <c r="BG1193" s="4"/>
      <c r="BH1193" s="4"/>
      <c r="BI1193" s="4"/>
      <c r="BJ1193" s="4"/>
      <c r="BK1193" s="4"/>
      <c r="BL1193" s="4"/>
      <c r="BR1193" s="107"/>
      <c r="BT1193" s="199"/>
      <c r="BX1193" s="44"/>
      <c r="BY1193" s="382"/>
      <c r="BZ1193" s="382"/>
    </row>
    <row r="1194" spans="2:71" ht="19.5" customHeight="1">
      <c r="B1194" s="4"/>
      <c r="C1194" s="4"/>
      <c r="M1194" s="79">
        <f>AA1193-M1193-M1195</f>
        <v>220</v>
      </c>
      <c r="N1194" s="4"/>
      <c r="O1194" s="4"/>
      <c r="P1194" s="4"/>
      <c r="Q1194" s="4"/>
      <c r="R1194" s="4"/>
      <c r="S1194" s="4"/>
      <c r="Y1194" s="107"/>
      <c r="Z1194" s="81" t="s">
        <v>844</v>
      </c>
      <c r="AA1194" s="300"/>
      <c r="AH1194" s="27"/>
      <c r="AI1194" s="27"/>
      <c r="AJ1194" s="27"/>
      <c r="AK1194" s="27"/>
      <c r="AL1194" s="27"/>
      <c r="AM1194" s="27"/>
      <c r="AP1194" s="27"/>
      <c r="AV1194" s="4"/>
      <c r="BF1194" s="79"/>
      <c r="BG1194" s="4"/>
      <c r="BH1194" s="4"/>
      <c r="BI1194" s="4"/>
      <c r="BJ1194" s="4"/>
      <c r="BK1194" s="4"/>
      <c r="BS1194" s="107"/>
    </row>
    <row r="1195" spans="2:66" ht="19.5" customHeight="1">
      <c r="B1195" s="4"/>
      <c r="C1195" s="4"/>
      <c r="M1195" s="79">
        <f>O242</f>
        <v>40</v>
      </c>
      <c r="N1195" s="4"/>
      <c r="O1195" s="4"/>
      <c r="P1195" s="4"/>
      <c r="Q1195" s="4"/>
      <c r="R1195" s="4"/>
      <c r="Z1195" s="107"/>
      <c r="AH1195" s="27"/>
      <c r="AI1195" s="27"/>
      <c r="AJ1195" s="27"/>
      <c r="AK1195" s="27"/>
      <c r="AL1195" s="27"/>
      <c r="AM1195" s="27"/>
      <c r="AP1195" s="27"/>
      <c r="AV1195" s="4"/>
      <c r="BF1195" s="4"/>
      <c r="BG1195" s="4"/>
      <c r="BH1195" s="4"/>
      <c r="BI1195" s="4"/>
      <c r="BJ1195" s="4"/>
      <c r="BK1195" s="4"/>
      <c r="BL1195" s="108"/>
      <c r="BM1195" s="108"/>
      <c r="BN1195" s="108"/>
    </row>
    <row r="1196" spans="2:64" ht="19.5" customHeight="1">
      <c r="B1196" s="4"/>
      <c r="C1196" s="4"/>
      <c r="D1196" s="27" t="s">
        <v>925</v>
      </c>
      <c r="F1196" s="381">
        <v>16</v>
      </c>
      <c r="G1196" s="381"/>
      <c r="H1196" s="27" t="s">
        <v>845</v>
      </c>
      <c r="J1196" s="330">
        <v>125</v>
      </c>
      <c r="K1196" s="330"/>
      <c r="L1196" s="27" t="s">
        <v>434</v>
      </c>
      <c r="M1196" s="4"/>
      <c r="N1196" s="4"/>
      <c r="O1196" s="4"/>
      <c r="P1196" s="4"/>
      <c r="Q1196" s="4"/>
      <c r="R1196" s="4"/>
      <c r="S1196" s="256">
        <v>1000</v>
      </c>
      <c r="T1196" s="256"/>
      <c r="U1196" s="256"/>
      <c r="AH1196" s="27"/>
      <c r="AI1196" s="27"/>
      <c r="AJ1196" s="27"/>
      <c r="AK1196" s="27"/>
      <c r="AL1196" s="27"/>
      <c r="AM1196" s="27"/>
      <c r="AN1196" s="27"/>
      <c r="AV1196" s="4"/>
      <c r="BF1196" s="4"/>
      <c r="BG1196" s="4"/>
      <c r="BH1196" s="4"/>
      <c r="BI1196" s="4"/>
      <c r="BJ1196" s="4"/>
      <c r="BK1196" s="4"/>
      <c r="BL1196" s="4"/>
    </row>
    <row r="1197" spans="2:40" ht="19.5" customHeight="1">
      <c r="B1197" s="4"/>
      <c r="C1197" s="4"/>
      <c r="F1197" s="27" t="s">
        <v>841</v>
      </c>
      <c r="H1197" s="237">
        <f>IF(F1196=13,126.7,IF(F1196=16,198.6,IF(F1196=19,286.5,IF(F1196=22,387.1,IF(F1196=25,506.7,IF(F1196=29,642.4,"ERROR"))))))*1000/J1196</f>
        <v>1588.8</v>
      </c>
      <c r="I1197" s="237"/>
      <c r="J1197" s="237"/>
      <c r="K1197" s="27" t="s">
        <v>842</v>
      </c>
      <c r="M1197" s="4"/>
      <c r="N1197" s="4"/>
      <c r="O1197" s="4"/>
      <c r="P1197" s="4"/>
      <c r="Q1197" s="4"/>
      <c r="R1197" s="4"/>
      <c r="S1197" s="4"/>
      <c r="U1197" s="27" t="s">
        <v>127</v>
      </c>
      <c r="AA1197" s="301">
        <f>Z1191</f>
        <v>19</v>
      </c>
      <c r="AB1197" s="301"/>
      <c r="AH1197" s="27"/>
      <c r="AI1197" s="27"/>
      <c r="AJ1197" s="27"/>
      <c r="AK1197" s="27"/>
      <c r="AL1197" s="27"/>
      <c r="AM1197" s="27"/>
      <c r="AN1197" s="27"/>
    </row>
    <row r="1198" spans="2:40" ht="19.5" customHeight="1">
      <c r="B1198" s="4"/>
      <c r="C1198" s="4"/>
      <c r="M1198" s="4"/>
      <c r="N1198" s="4"/>
      <c r="O1198" s="4"/>
      <c r="P1198" s="4"/>
      <c r="Q1198" s="4"/>
      <c r="R1198" s="4"/>
      <c r="S1198" s="4"/>
      <c r="AA1198" s="163"/>
      <c r="AB1198" s="163"/>
      <c r="AH1198" s="27"/>
      <c r="AI1198" s="27"/>
      <c r="AJ1198" s="27"/>
      <c r="AK1198" s="27"/>
      <c r="AL1198" s="27"/>
      <c r="AM1198" s="27"/>
      <c r="AN1198" s="27"/>
    </row>
    <row r="1199" spans="1:76" s="200" customFormat="1" ht="22.5" customHeight="1">
      <c r="A1199" s="341"/>
      <c r="B1199" s="341"/>
      <c r="C1199" s="341"/>
      <c r="D1199" s="341" t="s">
        <v>846</v>
      </c>
      <c r="E1199" s="341"/>
      <c r="F1199" s="341"/>
      <c r="G1199" s="341"/>
      <c r="H1199" s="341"/>
      <c r="I1199" s="341"/>
      <c r="J1199" s="341"/>
      <c r="K1199" s="383"/>
      <c r="L1199" s="383"/>
      <c r="M1199" s="383"/>
      <c r="N1199" s="341"/>
      <c r="O1199" s="341"/>
      <c r="P1199" s="341"/>
      <c r="Q1199" s="341"/>
      <c r="R1199" s="341"/>
      <c r="S1199" s="341"/>
      <c r="T1199" s="341"/>
      <c r="U1199" s="341"/>
      <c r="V1199" s="341"/>
      <c r="W1199" s="341"/>
      <c r="X1199" s="341"/>
      <c r="Y1199" s="341"/>
      <c r="Z1199" s="341"/>
      <c r="AA1199" s="341"/>
      <c r="AB1199" s="341"/>
      <c r="AC1199" s="341"/>
      <c r="AD1199" s="341"/>
      <c r="AE1199" s="341"/>
      <c r="AF1199" s="341"/>
      <c r="AG1199" s="341"/>
      <c r="AH1199" s="341"/>
      <c r="AI1199" s="341"/>
      <c r="AJ1199" s="341"/>
      <c r="AK1199" s="341"/>
      <c r="AL1199" s="341"/>
      <c r="AM1199" s="341"/>
      <c r="AN1199" s="341"/>
      <c r="AO1199" s="341"/>
      <c r="AP1199" s="341"/>
      <c r="AQ1199" s="341"/>
      <c r="AR1199" s="341"/>
      <c r="AS1199" s="341"/>
      <c r="AT1199" s="341"/>
      <c r="AU1199" s="341"/>
      <c r="AV1199" s="341"/>
      <c r="AW1199" s="341"/>
      <c r="AX1199" s="341"/>
      <c r="AY1199" s="341"/>
      <c r="AZ1199" s="341"/>
      <c r="BA1199" s="341"/>
      <c r="BB1199" s="341"/>
      <c r="BC1199" s="341"/>
      <c r="BD1199" s="341"/>
      <c r="BE1199" s="341"/>
      <c r="BF1199" s="341"/>
      <c r="BG1199" s="341"/>
      <c r="BH1199" s="341"/>
      <c r="BI1199" s="341"/>
      <c r="BJ1199" s="341"/>
      <c r="BK1199" s="341"/>
      <c r="BL1199" s="341"/>
      <c r="BM1199" s="341"/>
      <c r="BN1199" s="341"/>
      <c r="BO1199" s="341"/>
      <c r="BP1199" s="341"/>
      <c r="BQ1199" s="341"/>
      <c r="BR1199" s="341"/>
      <c r="BS1199" s="341"/>
      <c r="BT1199" s="341"/>
      <c r="BU1199" s="341"/>
      <c r="BV1199" s="341"/>
      <c r="BW1199" s="341"/>
      <c r="BX1199" s="341"/>
    </row>
    <row r="1200" spans="1:76" s="200" customFormat="1" ht="22.5" customHeight="1">
      <c r="A1200" s="341"/>
      <c r="B1200" s="341"/>
      <c r="C1200" s="341"/>
      <c r="D1200" s="341"/>
      <c r="E1200" s="341" t="s">
        <v>847</v>
      </c>
      <c r="F1200" s="341"/>
      <c r="G1200" s="341"/>
      <c r="H1200" s="341"/>
      <c r="I1200" s="341"/>
      <c r="J1200" s="341"/>
      <c r="K1200" s="383"/>
      <c r="L1200" s="383"/>
      <c r="M1200" s="383"/>
      <c r="N1200" s="341"/>
      <c r="O1200" s="341"/>
      <c r="P1200" s="341"/>
      <c r="Q1200" s="341"/>
      <c r="R1200" s="341"/>
      <c r="S1200" s="341"/>
      <c r="T1200" s="341"/>
      <c r="U1200" s="341"/>
      <c r="V1200" s="341"/>
      <c r="W1200" s="341"/>
      <c r="X1200" s="341"/>
      <c r="Y1200" s="341"/>
      <c r="Z1200" s="341"/>
      <c r="AA1200" s="341"/>
      <c r="AB1200" s="341"/>
      <c r="AC1200" s="341"/>
      <c r="AD1200" s="341"/>
      <c r="AE1200" s="341"/>
      <c r="AF1200" s="341"/>
      <c r="AG1200" s="341"/>
      <c r="AH1200" s="341"/>
      <c r="AI1200" s="341"/>
      <c r="AJ1200" s="341"/>
      <c r="AK1200" s="341"/>
      <c r="AL1200" s="341"/>
      <c r="AM1200" s="341"/>
      <c r="AN1200" s="341"/>
      <c r="AO1200" s="341"/>
      <c r="AP1200" s="341"/>
      <c r="AQ1200" s="341"/>
      <c r="AR1200" s="341"/>
      <c r="AS1200" s="341"/>
      <c r="AT1200" s="341"/>
      <c r="AU1200" s="341"/>
      <c r="AV1200" s="341"/>
      <c r="AW1200" s="341"/>
      <c r="AX1200" s="341"/>
      <c r="AY1200" s="341"/>
      <c r="AZ1200" s="341"/>
      <c r="BA1200" s="341"/>
      <c r="BB1200" s="341"/>
      <c r="BC1200" s="341"/>
      <c r="BD1200" s="341"/>
      <c r="BE1200" s="341"/>
      <c r="BF1200" s="341"/>
      <c r="BG1200" s="341"/>
      <c r="BH1200" s="341"/>
      <c r="BI1200" s="341"/>
      <c r="BJ1200" s="341"/>
      <c r="BK1200" s="341"/>
      <c r="BL1200" s="341"/>
      <c r="BM1200" s="341"/>
      <c r="BN1200" s="341"/>
      <c r="BO1200" s="341"/>
      <c r="BP1200" s="341"/>
      <c r="BQ1200" s="341"/>
      <c r="BR1200" s="341"/>
      <c r="BS1200" s="341"/>
      <c r="BT1200" s="341"/>
      <c r="BU1200" s="341"/>
      <c r="BV1200" s="341"/>
      <c r="BW1200" s="341"/>
      <c r="BX1200" s="341"/>
    </row>
    <row r="1201" spans="1:76" s="200" customFormat="1" ht="22.5" customHeight="1">
      <c r="A1201" s="341"/>
      <c r="B1201" s="341"/>
      <c r="C1201" s="341"/>
      <c r="D1201" s="341" t="s">
        <v>128</v>
      </c>
      <c r="E1201" s="341"/>
      <c r="F1201" s="341"/>
      <c r="G1201" s="341"/>
      <c r="H1201" s="341"/>
      <c r="I1201" s="341"/>
      <c r="J1201" s="341"/>
      <c r="K1201" s="383"/>
      <c r="L1201" s="383"/>
      <c r="M1201" s="383"/>
      <c r="N1201" s="341"/>
      <c r="O1201" s="341"/>
      <c r="P1201" s="341"/>
      <c r="Q1201" s="341"/>
      <c r="R1201" s="341"/>
      <c r="S1201" s="341"/>
      <c r="T1201" s="341"/>
      <c r="U1201" s="341"/>
      <c r="V1201" s="341"/>
      <c r="W1201" s="341"/>
      <c r="X1201" s="341"/>
      <c r="Y1201" s="341"/>
      <c r="Z1201" s="341"/>
      <c r="AA1201" s="341"/>
      <c r="AB1201" s="341"/>
      <c r="AC1201" s="341"/>
      <c r="AD1201" s="341"/>
      <c r="AE1201" s="341"/>
      <c r="AF1201" s="341"/>
      <c r="AG1201" s="341"/>
      <c r="AH1201" s="341"/>
      <c r="AI1201" s="341"/>
      <c r="AJ1201" s="341"/>
      <c r="AK1201" s="341"/>
      <c r="AL1201" s="341"/>
      <c r="AM1201" s="341"/>
      <c r="AN1201" s="341"/>
      <c r="AO1201" s="341"/>
      <c r="AP1201" s="341"/>
      <c r="AQ1201" s="341"/>
      <c r="AR1201" s="341"/>
      <c r="AS1201" s="341"/>
      <c r="AT1201" s="341"/>
      <c r="AU1201" s="341"/>
      <c r="AV1201" s="341"/>
      <c r="AW1201" s="341"/>
      <c r="AX1201" s="341"/>
      <c r="AY1201" s="341"/>
      <c r="AZ1201" s="341"/>
      <c r="BA1201" s="341"/>
      <c r="BB1201" s="341"/>
      <c r="BC1201" s="341"/>
      <c r="BD1201" s="341"/>
      <c r="BE1201" s="341"/>
      <c r="BF1201" s="341"/>
      <c r="BG1201" s="341"/>
      <c r="BH1201" s="341"/>
      <c r="BI1201" s="341"/>
      <c r="BJ1201" s="341"/>
      <c r="BK1201" s="341"/>
      <c r="BL1201" s="341"/>
      <c r="BM1201" s="341"/>
      <c r="BN1201" s="341"/>
      <c r="BO1201" s="341"/>
      <c r="BP1201" s="341"/>
      <c r="BQ1201" s="341"/>
      <c r="BR1201" s="341"/>
      <c r="BS1201" s="341"/>
      <c r="BT1201" s="341"/>
      <c r="BU1201" s="341"/>
      <c r="BV1201" s="341"/>
      <c r="BW1201" s="341"/>
      <c r="BX1201" s="341"/>
    </row>
    <row r="1202" spans="1:76" s="200" customFormat="1" ht="22.5" customHeight="1">
      <c r="A1202" s="341"/>
      <c r="B1202" s="341"/>
      <c r="C1202" s="341"/>
      <c r="D1202" s="341"/>
      <c r="E1202" s="341" t="s">
        <v>848</v>
      </c>
      <c r="F1202" s="341"/>
      <c r="G1202" s="341"/>
      <c r="H1202" s="341"/>
      <c r="I1202" s="341"/>
      <c r="J1202" s="341"/>
      <c r="K1202" s="383"/>
      <c r="L1202" s="383"/>
      <c r="M1202" s="383"/>
      <c r="N1202" s="341"/>
      <c r="O1202" s="341"/>
      <c r="P1202" s="341"/>
      <c r="Q1202" s="341"/>
      <c r="R1202" s="341"/>
      <c r="S1202" s="341"/>
      <c r="T1202" s="341"/>
      <c r="U1202" s="341"/>
      <c r="V1202" s="341"/>
      <c r="W1202" s="341"/>
      <c r="X1202" s="341"/>
      <c r="Y1202" s="341"/>
      <c r="Z1202" s="341"/>
      <c r="AA1202" s="341"/>
      <c r="AB1202" s="341"/>
      <c r="AC1202" s="341"/>
      <c r="AD1202" s="341"/>
      <c r="AE1202" s="341"/>
      <c r="AF1202" s="341"/>
      <c r="AG1202" s="341"/>
      <c r="AH1202" s="341"/>
      <c r="AI1202" s="341"/>
      <c r="AJ1202" s="341"/>
      <c r="AK1202" s="341"/>
      <c r="AL1202" s="341"/>
      <c r="AM1202" s="341"/>
      <c r="AN1202" s="341"/>
      <c r="AO1202" s="341"/>
      <c r="AP1202" s="341"/>
      <c r="AQ1202" s="341"/>
      <c r="AR1202" s="341"/>
      <c r="AS1202" s="341"/>
      <c r="AT1202" s="341"/>
      <c r="AU1202" s="341"/>
      <c r="AV1202" s="341"/>
      <c r="AW1202" s="341"/>
      <c r="AX1202" s="341"/>
      <c r="AY1202" s="341"/>
      <c r="AZ1202" s="341"/>
      <c r="BA1202" s="341"/>
      <c r="BB1202" s="341"/>
      <c r="BC1202" s="341"/>
      <c r="BD1202" s="341"/>
      <c r="BE1202" s="341"/>
      <c r="BF1202" s="341"/>
      <c r="BG1202" s="341"/>
      <c r="BH1202" s="341"/>
      <c r="BI1202" s="341"/>
      <c r="BJ1202" s="341"/>
      <c r="BK1202" s="341"/>
      <c r="BL1202" s="341"/>
      <c r="BM1202" s="341"/>
      <c r="BN1202" s="341"/>
      <c r="BO1202" s="341"/>
      <c r="BP1202" s="341"/>
      <c r="BQ1202" s="341"/>
      <c r="BR1202" s="341"/>
      <c r="BS1202" s="341"/>
      <c r="BT1202" s="341"/>
      <c r="BU1202" s="341"/>
      <c r="BV1202" s="341"/>
      <c r="BW1202" s="341"/>
      <c r="BX1202" s="341"/>
    </row>
    <row r="1203" spans="1:76" s="200" customFormat="1" ht="22.5" customHeight="1">
      <c r="A1203" s="341"/>
      <c r="B1203" s="341"/>
      <c r="C1203" s="341"/>
      <c r="D1203" s="341" t="s">
        <v>129</v>
      </c>
      <c r="E1203" s="341"/>
      <c r="F1203" s="341"/>
      <c r="G1203" s="341"/>
      <c r="H1203" s="341"/>
      <c r="I1203" s="341"/>
      <c r="J1203" s="341"/>
      <c r="K1203" s="383"/>
      <c r="L1203" s="383"/>
      <c r="M1203" s="383"/>
      <c r="N1203" s="341"/>
      <c r="O1203" s="341"/>
      <c r="P1203" s="341"/>
      <c r="Q1203" s="341"/>
      <c r="R1203" s="341"/>
      <c r="S1203" s="341"/>
      <c r="T1203" s="341"/>
      <c r="U1203" s="341"/>
      <c r="V1203" s="341"/>
      <c r="W1203" s="341"/>
      <c r="X1203" s="341"/>
      <c r="Y1203" s="341"/>
      <c r="Z1203" s="341"/>
      <c r="AA1203" s="341"/>
      <c r="AB1203" s="341"/>
      <c r="AC1203" s="341"/>
      <c r="AD1203" s="341"/>
      <c r="AE1203" s="341"/>
      <c r="AF1203" s="341"/>
      <c r="AG1203" s="341"/>
      <c r="AH1203" s="341"/>
      <c r="AI1203" s="341"/>
      <c r="AJ1203" s="341"/>
      <c r="AK1203" s="341"/>
      <c r="AL1203" s="341"/>
      <c r="AM1203" s="341"/>
      <c r="AN1203" s="341"/>
      <c r="AO1203" s="341"/>
      <c r="AP1203" s="341"/>
      <c r="AQ1203" s="341"/>
      <c r="AR1203" s="341"/>
      <c r="AS1203" s="341"/>
      <c r="AT1203" s="341"/>
      <c r="AU1203" s="341"/>
      <c r="AV1203" s="341"/>
      <c r="AW1203" s="341"/>
      <c r="AX1203" s="341"/>
      <c r="AY1203" s="341"/>
      <c r="AZ1203" s="341"/>
      <c r="BA1203" s="341"/>
      <c r="BB1203" s="341"/>
      <c r="BC1203" s="341"/>
      <c r="BD1203" s="341"/>
      <c r="BE1203" s="341"/>
      <c r="BF1203" s="341"/>
      <c r="BG1203" s="341"/>
      <c r="BH1203" s="341"/>
      <c r="BI1203" s="341"/>
      <c r="BJ1203" s="341"/>
      <c r="BK1203" s="341"/>
      <c r="BL1203" s="341"/>
      <c r="BM1203" s="341"/>
      <c r="BN1203" s="341"/>
      <c r="BO1203" s="341"/>
      <c r="BP1203" s="341"/>
      <c r="BQ1203" s="341"/>
      <c r="BR1203" s="341"/>
      <c r="BS1203" s="341"/>
      <c r="BT1203" s="341"/>
      <c r="BU1203" s="341"/>
      <c r="BV1203" s="341"/>
      <c r="BW1203" s="341"/>
      <c r="BX1203" s="341"/>
    </row>
    <row r="1204" spans="1:76" s="200" customFormat="1" ht="22.5" customHeight="1">
      <c r="A1204" s="341"/>
      <c r="B1204" s="341"/>
      <c r="C1204" s="341"/>
      <c r="D1204" s="341"/>
      <c r="E1204" s="341" t="s">
        <v>849</v>
      </c>
      <c r="F1204" s="341"/>
      <c r="G1204" s="341"/>
      <c r="H1204" s="341"/>
      <c r="I1204" s="341"/>
      <c r="J1204" s="341"/>
      <c r="K1204" s="383"/>
      <c r="L1204" s="383"/>
      <c r="M1204" s="383"/>
      <c r="N1204" s="341"/>
      <c r="O1204" s="341"/>
      <c r="P1204" s="341"/>
      <c r="Q1204" s="341"/>
      <c r="R1204" s="341"/>
      <c r="S1204" s="341"/>
      <c r="T1204" s="341"/>
      <c r="U1204" s="341"/>
      <c r="V1204" s="341"/>
      <c r="W1204" s="341"/>
      <c r="X1204" s="341"/>
      <c r="Y1204" s="341"/>
      <c r="Z1204" s="341"/>
      <c r="AA1204" s="341"/>
      <c r="AB1204" s="341"/>
      <c r="AC1204" s="341"/>
      <c r="AD1204" s="341"/>
      <c r="AE1204" s="341"/>
      <c r="AF1204" s="341"/>
      <c r="AG1204" s="341"/>
      <c r="AH1204" s="341"/>
      <c r="AI1204" s="341"/>
      <c r="AJ1204" s="341"/>
      <c r="AK1204" s="341"/>
      <c r="AL1204" s="341"/>
      <c r="AM1204" s="341"/>
      <c r="AN1204" s="341"/>
      <c r="AO1204" s="341"/>
      <c r="AP1204" s="341"/>
      <c r="AQ1204" s="341"/>
      <c r="AR1204" s="341"/>
      <c r="AS1204" s="341"/>
      <c r="AT1204" s="341"/>
      <c r="AU1204" s="341"/>
      <c r="AV1204" s="341"/>
      <c r="AW1204" s="341"/>
      <c r="AX1204" s="341"/>
      <c r="AY1204" s="341"/>
      <c r="AZ1204" s="341"/>
      <c r="BA1204" s="341"/>
      <c r="BB1204" s="341"/>
      <c r="BC1204" s="341"/>
      <c r="BD1204" s="341"/>
      <c r="BE1204" s="341"/>
      <c r="BF1204" s="341"/>
      <c r="BG1204" s="341"/>
      <c r="BH1204" s="341"/>
      <c r="BI1204" s="341"/>
      <c r="BJ1204" s="341"/>
      <c r="BK1204" s="341"/>
      <c r="BL1204" s="341"/>
      <c r="BM1204" s="341"/>
      <c r="BN1204" s="341"/>
      <c r="BO1204" s="341"/>
      <c r="BP1204" s="341"/>
      <c r="BQ1204" s="341"/>
      <c r="BR1204" s="341"/>
      <c r="BS1204" s="341"/>
      <c r="BT1204" s="341"/>
      <c r="BU1204" s="341"/>
      <c r="BV1204" s="341"/>
      <c r="BW1204" s="341"/>
      <c r="BX1204" s="341"/>
    </row>
    <row r="1205" spans="1:76" s="200" customFormat="1" ht="22.5" customHeight="1">
      <c r="A1205" s="341"/>
      <c r="B1205" s="341"/>
      <c r="C1205" s="341"/>
      <c r="D1205" s="341"/>
      <c r="E1205" s="341" t="s">
        <v>850</v>
      </c>
      <c r="F1205" s="341"/>
      <c r="G1205" s="341"/>
      <c r="H1205" s="341"/>
      <c r="I1205" s="341"/>
      <c r="J1205" s="341"/>
      <c r="K1205" s="383"/>
      <c r="L1205" s="383"/>
      <c r="M1205" s="383"/>
      <c r="N1205" s="341"/>
      <c r="O1205" s="341"/>
      <c r="P1205" s="341"/>
      <c r="Q1205" s="341"/>
      <c r="R1205" s="341"/>
      <c r="S1205" s="341"/>
      <c r="T1205" s="341"/>
      <c r="U1205" s="341"/>
      <c r="V1205" s="341"/>
      <c r="W1205" s="341"/>
      <c r="X1205" s="341"/>
      <c r="Y1205" s="341"/>
      <c r="Z1205" s="341"/>
      <c r="AA1205" s="341"/>
      <c r="AB1205" s="341"/>
      <c r="AC1205" s="341"/>
      <c r="AD1205" s="341"/>
      <c r="AE1205" s="341"/>
      <c r="AF1205" s="341"/>
      <c r="AG1205" s="341"/>
      <c r="AH1205" s="341"/>
      <c r="AI1205" s="341"/>
      <c r="AJ1205" s="341"/>
      <c r="AK1205" s="341"/>
      <c r="AL1205" s="341"/>
      <c r="AM1205" s="341"/>
      <c r="AN1205" s="341"/>
      <c r="AO1205" s="341"/>
      <c r="AP1205" s="341"/>
      <c r="AQ1205" s="341"/>
      <c r="AR1205" s="341"/>
      <c r="AS1205" s="341"/>
      <c r="AT1205" s="341"/>
      <c r="AU1205" s="341"/>
      <c r="AV1205" s="341"/>
      <c r="AW1205" s="341"/>
      <c r="AX1205" s="341"/>
      <c r="AY1205" s="341"/>
      <c r="AZ1205" s="341"/>
      <c r="BA1205" s="341"/>
      <c r="BB1205" s="341"/>
      <c r="BC1205" s="341"/>
      <c r="BD1205" s="341"/>
      <c r="BE1205" s="341"/>
      <c r="BF1205" s="341"/>
      <c r="BG1205" s="341"/>
      <c r="BH1205" s="341"/>
      <c r="BI1205" s="341"/>
      <c r="BJ1205" s="341"/>
      <c r="BK1205" s="341"/>
      <c r="BL1205" s="341"/>
      <c r="BM1205" s="341"/>
      <c r="BN1205" s="341"/>
      <c r="BO1205" s="341"/>
      <c r="BP1205" s="341"/>
      <c r="BQ1205" s="341"/>
      <c r="BR1205" s="341"/>
      <c r="BS1205" s="341"/>
      <c r="BT1205" s="341"/>
      <c r="BU1205" s="341"/>
      <c r="BV1205" s="341"/>
      <c r="BW1205" s="341"/>
      <c r="BX1205" s="341"/>
    </row>
    <row r="1206" spans="1:76" s="200" customFormat="1" ht="22.5" customHeight="1">
      <c r="A1206" s="341"/>
      <c r="B1206" s="341"/>
      <c r="C1206" s="341"/>
      <c r="D1206" s="4" t="s">
        <v>851</v>
      </c>
      <c r="E1206" s="341"/>
      <c r="F1206" s="341"/>
      <c r="G1206" s="341"/>
      <c r="H1206" s="341"/>
      <c r="I1206" s="341"/>
      <c r="J1206" s="341"/>
      <c r="K1206" s="341"/>
      <c r="L1206" s="165" t="s">
        <v>852</v>
      </c>
      <c r="M1206" s="383"/>
      <c r="N1206" s="383"/>
      <c r="O1206" s="341"/>
      <c r="P1206" s="341"/>
      <c r="Q1206" s="341"/>
      <c r="R1206" s="341"/>
      <c r="S1206" s="341"/>
      <c r="T1206" s="341"/>
      <c r="U1206" s="341"/>
      <c r="V1206" s="341"/>
      <c r="W1206" s="341"/>
      <c r="X1206" s="384"/>
      <c r="Y1206" s="341"/>
      <c r="Z1206" s="341"/>
      <c r="AA1206" s="341"/>
      <c r="AB1206" s="341"/>
      <c r="AC1206" s="341"/>
      <c r="AD1206" s="341"/>
      <c r="AE1206" s="341"/>
      <c r="AF1206" s="341"/>
      <c r="AG1206" s="341"/>
      <c r="AH1206" s="341"/>
      <c r="AI1206" s="341"/>
      <c r="AJ1206" s="341"/>
      <c r="AK1206" s="341"/>
      <c r="AL1206" s="341"/>
      <c r="AM1206" s="341"/>
      <c r="AN1206" s="341"/>
      <c r="AO1206" s="341"/>
      <c r="AP1206" s="341"/>
      <c r="AQ1206" s="341"/>
      <c r="AR1206" s="341"/>
      <c r="AS1206" s="341"/>
      <c r="AT1206" s="341"/>
      <c r="AU1206" s="341"/>
      <c r="AV1206" s="341"/>
      <c r="AW1206" s="341"/>
      <c r="AX1206" s="341"/>
      <c r="AY1206" s="341"/>
      <c r="AZ1206" s="341"/>
      <c r="BA1206" s="341"/>
      <c r="BB1206" s="341"/>
      <c r="BC1206" s="341"/>
      <c r="BD1206" s="341"/>
      <c r="BE1206" s="341"/>
      <c r="BF1206" s="341"/>
      <c r="BG1206" s="341"/>
      <c r="BH1206" s="341"/>
      <c r="BI1206" s="341"/>
      <c r="BJ1206" s="341"/>
      <c r="BK1206" s="341"/>
      <c r="BL1206" s="341"/>
      <c r="BM1206" s="341"/>
      <c r="BN1206" s="341"/>
      <c r="BO1206" s="341"/>
      <c r="BP1206" s="341"/>
      <c r="BQ1206" s="341"/>
      <c r="BR1206" s="341"/>
      <c r="BS1206" s="341"/>
      <c r="BT1206" s="341"/>
      <c r="BU1206" s="341"/>
      <c r="BV1206" s="341"/>
      <c r="BW1206" s="341"/>
      <c r="BX1206" s="341"/>
    </row>
    <row r="1207" spans="1:76" s="200" customFormat="1" ht="22.5" customHeight="1">
      <c r="A1207" s="341"/>
      <c r="B1207" s="341"/>
      <c r="C1207" s="341"/>
      <c r="D1207" s="4" t="s">
        <v>853</v>
      </c>
      <c r="E1207" s="341"/>
      <c r="F1207" s="341"/>
      <c r="G1207" s="341"/>
      <c r="H1207" s="341"/>
      <c r="I1207" s="341"/>
      <c r="J1207" s="341"/>
      <c r="K1207" s="341"/>
      <c r="L1207" s="341" t="s">
        <v>854</v>
      </c>
      <c r="M1207" s="383"/>
      <c r="N1207" s="383"/>
      <c r="O1207" s="341"/>
      <c r="P1207" s="341"/>
      <c r="Q1207" s="341"/>
      <c r="R1207" s="341"/>
      <c r="S1207" s="341"/>
      <c r="T1207" s="341"/>
      <c r="U1207" s="341"/>
      <c r="V1207" s="341"/>
      <c r="W1207" s="341"/>
      <c r="X1207" s="341"/>
      <c r="Y1207" s="341"/>
      <c r="Z1207" s="341"/>
      <c r="AA1207" s="341"/>
      <c r="AB1207" s="341"/>
      <c r="AC1207" s="341"/>
      <c r="AD1207" s="341"/>
      <c r="AE1207" s="341"/>
      <c r="AF1207" s="341"/>
      <c r="AG1207" s="341"/>
      <c r="AH1207" s="341"/>
      <c r="AI1207" s="341"/>
      <c r="AJ1207" s="341"/>
      <c r="AK1207" s="341"/>
      <c r="AL1207" s="341"/>
      <c r="AM1207" s="341"/>
      <c r="AN1207" s="341"/>
      <c r="AO1207" s="341"/>
      <c r="AP1207" s="341"/>
      <c r="AQ1207" s="341"/>
      <c r="AR1207" s="341"/>
      <c r="AS1207" s="341"/>
      <c r="AT1207" s="341"/>
      <c r="AU1207" s="341"/>
      <c r="AV1207" s="341"/>
      <c r="AW1207" s="341"/>
      <c r="AX1207" s="341"/>
      <c r="AY1207" s="341"/>
      <c r="AZ1207" s="341"/>
      <c r="BA1207" s="341"/>
      <c r="BB1207" s="341"/>
      <c r="BC1207" s="341"/>
      <c r="BD1207" s="341"/>
      <c r="BE1207" s="341"/>
      <c r="BF1207" s="341"/>
      <c r="BG1207" s="341"/>
      <c r="BH1207" s="341"/>
      <c r="BI1207" s="341"/>
      <c r="BJ1207" s="341"/>
      <c r="BK1207" s="341"/>
      <c r="BL1207" s="341"/>
      <c r="BM1207" s="341"/>
      <c r="BN1207" s="341"/>
      <c r="BO1207" s="341"/>
      <c r="BP1207" s="341"/>
      <c r="BQ1207" s="341"/>
      <c r="BR1207" s="341"/>
      <c r="BS1207" s="341"/>
      <c r="BT1207" s="341"/>
      <c r="BU1207" s="341"/>
      <c r="BV1207" s="341"/>
      <c r="BW1207" s="341"/>
      <c r="BX1207" s="341"/>
    </row>
    <row r="1208" spans="1:76" s="200" customFormat="1" ht="22.5" customHeight="1">
      <c r="A1208" s="341"/>
      <c r="B1208" s="341"/>
      <c r="C1208" s="341"/>
      <c r="D1208" s="341"/>
      <c r="E1208" s="341"/>
      <c r="F1208" s="341"/>
      <c r="G1208" s="341"/>
      <c r="H1208" s="341"/>
      <c r="I1208" s="341"/>
      <c r="J1208" s="341"/>
      <c r="K1208" s="341"/>
      <c r="L1208" s="341" t="s">
        <v>855</v>
      </c>
      <c r="M1208" s="383"/>
      <c r="N1208" s="383"/>
      <c r="O1208" s="341"/>
      <c r="P1208" s="341"/>
      <c r="Q1208" s="341"/>
      <c r="R1208" s="341" t="s">
        <v>130</v>
      </c>
      <c r="S1208" s="341"/>
      <c r="T1208" s="341"/>
      <c r="U1208" s="341"/>
      <c r="V1208" s="341"/>
      <c r="W1208" s="341"/>
      <c r="X1208" s="341"/>
      <c r="Y1208" s="341"/>
      <c r="Z1208" s="341"/>
      <c r="AA1208" s="341"/>
      <c r="AB1208" s="341"/>
      <c r="AC1208" s="341"/>
      <c r="AD1208" s="341"/>
      <c r="AE1208" s="341"/>
      <c r="AF1208" s="341"/>
      <c r="AG1208" s="341"/>
      <c r="AH1208" s="341"/>
      <c r="AI1208" s="341"/>
      <c r="AJ1208" s="341"/>
      <c r="AK1208" s="341"/>
      <c r="AL1208" s="341"/>
      <c r="AM1208" s="341"/>
      <c r="AN1208" s="341"/>
      <c r="AO1208" s="341"/>
      <c r="AP1208" s="341"/>
      <c r="AQ1208" s="341"/>
      <c r="AR1208" s="341"/>
      <c r="AS1208" s="341"/>
      <c r="AT1208" s="341"/>
      <c r="AU1208" s="341"/>
      <c r="AV1208" s="341"/>
      <c r="AW1208" s="341"/>
      <c r="AX1208" s="341"/>
      <c r="AY1208" s="341"/>
      <c r="AZ1208" s="341"/>
      <c r="BA1208" s="341"/>
      <c r="BB1208" s="341"/>
      <c r="BC1208" s="341"/>
      <c r="BD1208" s="341"/>
      <c r="BE1208" s="341"/>
      <c r="BF1208" s="341"/>
      <c r="BG1208" s="341"/>
      <c r="BH1208" s="341"/>
      <c r="BI1208" s="341"/>
      <c r="BJ1208" s="341"/>
      <c r="BK1208" s="341"/>
      <c r="BL1208" s="341"/>
      <c r="BM1208" s="341"/>
      <c r="BN1208" s="341"/>
      <c r="BO1208" s="341"/>
      <c r="BP1208" s="341"/>
      <c r="BQ1208" s="341"/>
      <c r="BR1208" s="341"/>
      <c r="BS1208" s="341"/>
      <c r="BT1208" s="341"/>
      <c r="BU1208" s="341"/>
      <c r="BV1208" s="341"/>
      <c r="BW1208" s="341"/>
      <c r="BX1208" s="341"/>
    </row>
    <row r="1209" spans="2:43" ht="19.5" customHeight="1">
      <c r="B1209" s="4"/>
      <c r="C1209" s="4"/>
      <c r="D1209" s="4" t="s">
        <v>131</v>
      </c>
      <c r="E1209" s="4"/>
      <c r="F1209" s="4"/>
      <c r="G1209" s="4"/>
      <c r="H1209" s="4"/>
      <c r="I1209" s="4"/>
      <c r="J1209" s="4"/>
      <c r="K1209" s="4"/>
      <c r="L1209" s="4"/>
      <c r="M1209" s="4"/>
      <c r="AH1209" s="27"/>
      <c r="AQ1209" s="29"/>
    </row>
    <row r="1210" spans="2:42" ht="19.5" customHeight="1">
      <c r="B1210" s="4"/>
      <c r="C1210" s="4"/>
      <c r="D1210" s="183" t="s">
        <v>856</v>
      </c>
      <c r="E1210" s="183"/>
      <c r="F1210" s="183"/>
      <c r="G1210" s="183"/>
      <c r="H1210" s="183"/>
      <c r="I1210" s="183"/>
      <c r="J1210" s="183"/>
      <c r="K1210" s="183"/>
      <c r="L1210" s="183"/>
      <c r="M1210" s="183"/>
      <c r="N1210" s="183"/>
      <c r="O1210" s="183" t="s">
        <v>985</v>
      </c>
      <c r="P1210" s="183"/>
      <c r="Q1210" s="183"/>
      <c r="R1210" s="183"/>
      <c r="S1210" s="183"/>
      <c r="T1210" s="183"/>
      <c r="U1210" s="183" t="s">
        <v>132</v>
      </c>
      <c r="V1210" s="183"/>
      <c r="W1210" s="183"/>
      <c r="X1210" s="183"/>
      <c r="Y1210" s="183"/>
      <c r="Z1210" s="183"/>
      <c r="AP1210" s="27"/>
    </row>
    <row r="1211" spans="2:44" ht="19.5" customHeight="1">
      <c r="B1211" s="4"/>
      <c r="C1211" s="4"/>
      <c r="D1211" s="183" t="s">
        <v>133</v>
      </c>
      <c r="E1211" s="183"/>
      <c r="F1211" s="183"/>
      <c r="G1211" s="183"/>
      <c r="H1211" s="183"/>
      <c r="I1211" s="183"/>
      <c r="J1211" s="183"/>
      <c r="K1211" s="183"/>
      <c r="L1211" s="183"/>
      <c r="M1211" s="183"/>
      <c r="N1211" s="183"/>
      <c r="O1211" s="213">
        <f>AA1193</f>
        <v>300</v>
      </c>
      <c r="P1211" s="213"/>
      <c r="Q1211" s="213"/>
      <c r="R1211" s="213"/>
      <c r="S1211" s="213"/>
      <c r="T1211" s="213"/>
      <c r="U1211" s="227">
        <v>250</v>
      </c>
      <c r="V1211" s="228"/>
      <c r="W1211" s="228"/>
      <c r="X1211" s="228"/>
      <c r="Y1211" s="228"/>
      <c r="Z1211" s="229"/>
      <c r="AH1211" s="27"/>
      <c r="AI1211" s="27"/>
      <c r="AJ1211" s="27"/>
      <c r="AK1211" s="27"/>
      <c r="AL1211" s="27"/>
      <c r="AM1211" s="27"/>
      <c r="AN1211" s="27"/>
      <c r="AO1211" s="27"/>
      <c r="AP1211" s="27"/>
      <c r="AR1211" s="36"/>
    </row>
    <row r="1212" spans="2:42" ht="19.5" customHeight="1">
      <c r="B1212" s="4"/>
      <c r="C1212" s="4"/>
      <c r="D1212" s="183" t="s">
        <v>134</v>
      </c>
      <c r="E1212" s="183"/>
      <c r="F1212" s="183"/>
      <c r="G1212" s="183"/>
      <c r="H1212" s="183"/>
      <c r="I1212" s="183"/>
      <c r="J1212" s="183"/>
      <c r="K1212" s="183"/>
      <c r="L1212" s="183"/>
      <c r="M1212" s="183"/>
      <c r="N1212" s="183"/>
      <c r="O1212" s="238">
        <f>O1211-O1214</f>
        <v>242.5</v>
      </c>
      <c r="P1212" s="239"/>
      <c r="Q1212" s="239"/>
      <c r="R1212" s="239"/>
      <c r="S1212" s="239"/>
      <c r="T1212" s="240"/>
      <c r="U1212" s="213">
        <f>U1211-U1214</f>
        <v>192.5</v>
      </c>
      <c r="V1212" s="213"/>
      <c r="W1212" s="213"/>
      <c r="X1212" s="213"/>
      <c r="Y1212" s="213"/>
      <c r="Z1212" s="213"/>
      <c r="AH1212" s="27"/>
      <c r="AI1212" s="27"/>
      <c r="AJ1212" s="27"/>
      <c r="AK1212" s="27"/>
      <c r="AL1212" s="27"/>
      <c r="AM1212" s="27"/>
      <c r="AN1212" s="27"/>
      <c r="AO1212" s="27"/>
      <c r="AP1212" s="27"/>
    </row>
    <row r="1213" spans="2:42" ht="19.5" customHeight="1">
      <c r="B1213" s="4"/>
      <c r="C1213" s="4"/>
      <c r="D1213" s="221" t="s">
        <v>857</v>
      </c>
      <c r="E1213" s="222"/>
      <c r="F1213" s="222"/>
      <c r="G1213" s="222"/>
      <c r="H1213" s="222"/>
      <c r="I1213" s="223"/>
      <c r="J1213" s="183" t="s">
        <v>987</v>
      </c>
      <c r="K1213" s="183"/>
      <c r="L1213" s="183"/>
      <c r="M1213" s="183"/>
      <c r="N1213" s="183"/>
      <c r="O1213" s="238">
        <f>M1193+(Z1191+F1191)/2</f>
        <v>57.5</v>
      </c>
      <c r="P1213" s="239"/>
      <c r="Q1213" s="239"/>
      <c r="R1213" s="239"/>
      <c r="S1213" s="239"/>
      <c r="T1213" s="240"/>
      <c r="U1213" s="213">
        <f>O1213</f>
        <v>57.5</v>
      </c>
      <c r="V1213" s="213"/>
      <c r="W1213" s="213"/>
      <c r="X1213" s="213"/>
      <c r="Y1213" s="213"/>
      <c r="Z1213" s="213"/>
      <c r="AH1213" s="27"/>
      <c r="AI1213" s="27"/>
      <c r="AJ1213" s="27"/>
      <c r="AK1213" s="27"/>
      <c r="AL1213" s="27"/>
      <c r="AM1213" s="27"/>
      <c r="AN1213" s="27"/>
      <c r="AO1213" s="27"/>
      <c r="AP1213" s="27"/>
    </row>
    <row r="1214" spans="2:42" ht="19.5" customHeight="1">
      <c r="B1214" s="4"/>
      <c r="C1214" s="4"/>
      <c r="D1214" s="224" t="s">
        <v>858</v>
      </c>
      <c r="E1214" s="225"/>
      <c r="F1214" s="225"/>
      <c r="G1214" s="225"/>
      <c r="H1214" s="225"/>
      <c r="I1214" s="226"/>
      <c r="J1214" s="183" t="s">
        <v>878</v>
      </c>
      <c r="K1214" s="183"/>
      <c r="L1214" s="183"/>
      <c r="M1214" s="183"/>
      <c r="N1214" s="183"/>
      <c r="O1214" s="238">
        <f>M1195+(AA1197+F1196)/2</f>
        <v>57.5</v>
      </c>
      <c r="P1214" s="239"/>
      <c r="Q1214" s="239"/>
      <c r="R1214" s="239"/>
      <c r="S1214" s="239"/>
      <c r="T1214" s="240"/>
      <c r="U1214" s="213">
        <f>O1214</f>
        <v>57.5</v>
      </c>
      <c r="V1214" s="213"/>
      <c r="W1214" s="213"/>
      <c r="X1214" s="213"/>
      <c r="Y1214" s="213"/>
      <c r="Z1214" s="213"/>
      <c r="AH1214" s="27"/>
      <c r="AI1214" s="27"/>
      <c r="AJ1214" s="27"/>
      <c r="AK1214" s="27"/>
      <c r="AL1214" s="27"/>
      <c r="AM1214" s="27"/>
      <c r="AN1214" s="27"/>
      <c r="AO1214" s="27"/>
      <c r="AP1214" s="27"/>
    </row>
    <row r="1215" spans="2:42" ht="19.5" customHeight="1">
      <c r="B1215" s="4"/>
      <c r="C1215" s="4"/>
      <c r="D1215" s="217" t="s">
        <v>1127</v>
      </c>
      <c r="E1215" s="218"/>
      <c r="F1215" s="218"/>
      <c r="G1215" s="218"/>
      <c r="H1215" s="218"/>
      <c r="I1215" s="219"/>
      <c r="J1215" s="183" t="s">
        <v>988</v>
      </c>
      <c r="K1215" s="183"/>
      <c r="L1215" s="183"/>
      <c r="M1215" s="183"/>
      <c r="N1215" s="183"/>
      <c r="O1215" s="213">
        <f>H1192</f>
        <v>794.4</v>
      </c>
      <c r="P1215" s="213"/>
      <c r="Q1215" s="213"/>
      <c r="R1215" s="213"/>
      <c r="S1215" s="213"/>
      <c r="T1215" s="213"/>
      <c r="U1215" s="213">
        <f>H1192</f>
        <v>794.4</v>
      </c>
      <c r="V1215" s="213"/>
      <c r="W1215" s="213"/>
      <c r="X1215" s="213"/>
      <c r="Y1215" s="213"/>
      <c r="Z1215" s="213"/>
      <c r="AH1215" s="27"/>
      <c r="AI1215" s="27"/>
      <c r="AJ1215" s="27"/>
      <c r="AK1215" s="27"/>
      <c r="AL1215" s="27"/>
      <c r="AM1215" s="27"/>
      <c r="AN1215" s="27"/>
      <c r="AO1215" s="27"/>
      <c r="AP1215" s="27"/>
    </row>
    <row r="1216" spans="2:42" ht="19.5" customHeight="1">
      <c r="B1216" s="4"/>
      <c r="C1216" s="4"/>
      <c r="D1216" s="217" t="s">
        <v>723</v>
      </c>
      <c r="E1216" s="218"/>
      <c r="F1216" s="218"/>
      <c r="G1216" s="218"/>
      <c r="H1216" s="218"/>
      <c r="I1216" s="219"/>
      <c r="J1216" s="220" t="s">
        <v>879</v>
      </c>
      <c r="K1216" s="220"/>
      <c r="L1216" s="220"/>
      <c r="M1216" s="220"/>
      <c r="N1216" s="220"/>
      <c r="O1216" s="213">
        <f>H1197</f>
        <v>1588.8</v>
      </c>
      <c r="P1216" s="213"/>
      <c r="Q1216" s="213"/>
      <c r="R1216" s="213"/>
      <c r="S1216" s="213"/>
      <c r="T1216" s="213"/>
      <c r="U1216" s="213">
        <f>H1197</f>
        <v>1588.8</v>
      </c>
      <c r="V1216" s="213"/>
      <c r="W1216" s="213"/>
      <c r="X1216" s="213"/>
      <c r="Y1216" s="213"/>
      <c r="Z1216" s="213"/>
      <c r="AH1216" s="27"/>
      <c r="AI1216" s="27"/>
      <c r="AJ1216" s="27"/>
      <c r="AK1216" s="27"/>
      <c r="AL1216" s="27"/>
      <c r="AM1216" s="27"/>
      <c r="AN1216" s="27"/>
      <c r="AO1216" s="27"/>
      <c r="AP1216" s="27"/>
    </row>
    <row r="1217" spans="2:42" ht="19.5" customHeight="1">
      <c r="B1217" s="4"/>
      <c r="C1217" s="4"/>
      <c r="D1217" s="231" t="s">
        <v>859</v>
      </c>
      <c r="E1217" s="232"/>
      <c r="F1217" s="232"/>
      <c r="G1217" s="232"/>
      <c r="H1217" s="232"/>
      <c r="I1217" s="232"/>
      <c r="J1217" s="232"/>
      <c r="K1217" s="232"/>
      <c r="L1217" s="232"/>
      <c r="M1217" s="232"/>
      <c r="N1217" s="233"/>
      <c r="O1217" s="208">
        <f>-$S$1188*(O1216+O1215)/1000+SQRT(($S$1188*(O1216+O1215)/1000)^2+2*$S$1188*(O1212*O1216+O1213*O1215)/1000)</f>
        <v>83.44419565055424</v>
      </c>
      <c r="P1217" s="208"/>
      <c r="Q1217" s="208"/>
      <c r="R1217" s="208"/>
      <c r="S1217" s="208"/>
      <c r="T1217" s="208"/>
      <c r="U1217" s="208">
        <f>-$S$1188*(U1216+U1215)/1000+SQRT(($S$1188*(U1216+U1215)/1000)^2+2*$S$1188*(U1212*U1216+U1213*U1215)/1000)</f>
        <v>72.98828421092932</v>
      </c>
      <c r="V1217" s="208"/>
      <c r="W1217" s="208"/>
      <c r="X1217" s="208"/>
      <c r="Y1217" s="208"/>
      <c r="Z1217" s="208"/>
      <c r="AH1217" s="27"/>
      <c r="AI1217" s="27"/>
      <c r="AJ1217" s="27"/>
      <c r="AK1217" s="27"/>
      <c r="AL1217" s="27"/>
      <c r="AM1217" s="27"/>
      <c r="AN1217" s="27"/>
      <c r="AO1217" s="27"/>
      <c r="AP1217" s="27"/>
    </row>
    <row r="1218" spans="2:42" ht="19.5" customHeight="1">
      <c r="B1218" s="4"/>
      <c r="C1218" s="4"/>
      <c r="D1218" s="214" t="s">
        <v>135</v>
      </c>
      <c r="E1218" s="215"/>
      <c r="F1218" s="215"/>
      <c r="G1218" s="215"/>
      <c r="H1218" s="215"/>
      <c r="I1218" s="216"/>
      <c r="J1218" s="234" t="s">
        <v>860</v>
      </c>
      <c r="K1218" s="234"/>
      <c r="L1218" s="234"/>
      <c r="M1218" s="234"/>
      <c r="N1218" s="234"/>
      <c r="O1218" s="213">
        <f>(1000*ROUND(O1217,2)/2)*(O1212-ROUND(O1217,2)/3)+$S$1188*O1215*(ROUND(O1217,2)-O1213)/ROUND(O1217,2)*(O1212-O1213)</f>
        <v>9642054.823457973</v>
      </c>
      <c r="P1218" s="213"/>
      <c r="Q1218" s="213"/>
      <c r="R1218" s="213"/>
      <c r="S1218" s="213"/>
      <c r="T1218" s="213"/>
      <c r="U1218" s="213">
        <f>(1000*ROUND(U1217,2)/2)*(U1212-ROUND(U1217,2)/3)+$S$1188*U1215*(ROUND(U1217,2)-U1213)/ROUND(U1217,2)*(U1212-U1213)</f>
        <v>6478755.346054254</v>
      </c>
      <c r="V1218" s="213"/>
      <c r="W1218" s="213"/>
      <c r="X1218" s="213"/>
      <c r="Y1218" s="213"/>
      <c r="Z1218" s="213"/>
      <c r="AH1218" s="27"/>
      <c r="AI1218" s="27"/>
      <c r="AJ1218" s="27"/>
      <c r="AK1218" s="27"/>
      <c r="AL1218" s="27"/>
      <c r="AM1218" s="27"/>
      <c r="AN1218" s="27"/>
      <c r="AO1218" s="27"/>
      <c r="AP1218" s="27"/>
    </row>
    <row r="1219" spans="2:42" ht="19.5" customHeight="1">
      <c r="B1219" s="4"/>
      <c r="C1219" s="4"/>
      <c r="D1219" s="214" t="s">
        <v>861</v>
      </c>
      <c r="E1219" s="215"/>
      <c r="F1219" s="215"/>
      <c r="G1219" s="215"/>
      <c r="H1219" s="215"/>
      <c r="I1219" s="216"/>
      <c r="J1219" s="385" t="s">
        <v>862</v>
      </c>
      <c r="K1219" s="385"/>
      <c r="L1219" s="385"/>
      <c r="M1219" s="385"/>
      <c r="N1219" s="385"/>
      <c r="O1219" s="213">
        <f>-1/$S$1188*(ROUND(O1217,2)/(ROUND(O1217,2)-O1213))*ROUND(O1218,1)</f>
        <v>-2067676.824754562</v>
      </c>
      <c r="P1219" s="213"/>
      <c r="Q1219" s="213"/>
      <c r="R1219" s="213"/>
      <c r="S1219" s="213"/>
      <c r="T1219" s="213"/>
      <c r="U1219" s="213">
        <f>-1/$S$1188*(ROUND(U1217,2)/(ROUND(U1217,2)-U1213))*ROUND(U1218,1)</f>
        <v>-2035224.2278760497</v>
      </c>
      <c r="V1219" s="213"/>
      <c r="W1219" s="213"/>
      <c r="X1219" s="213"/>
      <c r="Y1219" s="213"/>
      <c r="Z1219" s="213"/>
      <c r="AH1219" s="27"/>
      <c r="AI1219" s="27"/>
      <c r="AJ1219" s="27"/>
      <c r="AK1219" s="27"/>
      <c r="AL1219" s="27"/>
      <c r="AM1219" s="27"/>
      <c r="AN1219" s="27"/>
      <c r="AO1219" s="27"/>
      <c r="AP1219" s="27"/>
    </row>
    <row r="1220" spans="2:42" ht="19.5" customHeight="1">
      <c r="B1220" s="4"/>
      <c r="C1220" s="4"/>
      <c r="D1220" s="217"/>
      <c r="E1220" s="218"/>
      <c r="F1220" s="218"/>
      <c r="G1220" s="218"/>
      <c r="H1220" s="218"/>
      <c r="I1220" s="219"/>
      <c r="J1220" s="386" t="s">
        <v>863</v>
      </c>
      <c r="K1220" s="386"/>
      <c r="L1220" s="386"/>
      <c r="M1220" s="386"/>
      <c r="N1220" s="386"/>
      <c r="O1220" s="213">
        <f>1/$S$1188*(ROUND(O1217,2)/(O1212-ROUND(O1217,2)))*ROUND(O1218,1)</f>
        <v>337203.17385975947</v>
      </c>
      <c r="P1220" s="213"/>
      <c r="Q1220" s="213"/>
      <c r="R1220" s="213"/>
      <c r="S1220" s="213"/>
      <c r="T1220" s="213"/>
      <c r="U1220" s="213">
        <f>1/$S$1188*(ROUND(U1217,2)/(U1212-ROUND(U1217,2)))*ROUND(U1218,1)</f>
        <v>263790.6726617019</v>
      </c>
      <c r="V1220" s="213"/>
      <c r="W1220" s="213"/>
      <c r="X1220" s="213"/>
      <c r="Y1220" s="213"/>
      <c r="Z1220" s="213"/>
      <c r="AH1220" s="27"/>
      <c r="AI1220" s="27"/>
      <c r="AJ1220" s="27"/>
      <c r="AK1220" s="27"/>
      <c r="AL1220" s="27"/>
      <c r="AM1220" s="27"/>
      <c r="AN1220" s="27"/>
      <c r="AO1220" s="27"/>
      <c r="AP1220" s="27"/>
    </row>
    <row r="1221" spans="2:42" ht="19.5" customHeight="1">
      <c r="B1221" s="4"/>
      <c r="C1221" s="4"/>
      <c r="D1221" s="231" t="s">
        <v>136</v>
      </c>
      <c r="E1221" s="232"/>
      <c r="F1221" s="232"/>
      <c r="G1221" s="232"/>
      <c r="H1221" s="232"/>
      <c r="I1221" s="232"/>
      <c r="J1221" s="232"/>
      <c r="K1221" s="232"/>
      <c r="L1221" s="232"/>
      <c r="M1221" s="232"/>
      <c r="N1221" s="233"/>
      <c r="O1221" s="227">
        <f>G1178</f>
        <v>54</v>
      </c>
      <c r="P1221" s="228"/>
      <c r="Q1221" s="228"/>
      <c r="R1221" s="228"/>
      <c r="S1221" s="228"/>
      <c r="T1221" s="229"/>
      <c r="U1221" s="227">
        <f>G1183</f>
        <v>36.205</v>
      </c>
      <c r="V1221" s="228"/>
      <c r="W1221" s="228"/>
      <c r="X1221" s="228"/>
      <c r="Y1221" s="228"/>
      <c r="Z1221" s="229"/>
      <c r="AH1221" s="27"/>
      <c r="AI1221" s="27"/>
      <c r="AJ1221" s="27"/>
      <c r="AK1221" s="27"/>
      <c r="AL1221" s="27"/>
      <c r="AM1221" s="27"/>
      <c r="AN1221" s="27"/>
      <c r="AO1221" s="27"/>
      <c r="AP1221" s="27"/>
    </row>
    <row r="1222" spans="2:42" ht="19.5" customHeight="1">
      <c r="B1222" s="4"/>
      <c r="C1222" s="4"/>
      <c r="D1222" s="221" t="s">
        <v>864</v>
      </c>
      <c r="E1222" s="222"/>
      <c r="F1222" s="222"/>
      <c r="G1222" s="222"/>
      <c r="H1222" s="222"/>
      <c r="I1222" s="223"/>
      <c r="J1222" s="230" t="s">
        <v>138</v>
      </c>
      <c r="K1222" s="230"/>
      <c r="L1222" s="230"/>
      <c r="M1222" s="230"/>
      <c r="N1222" s="230"/>
      <c r="O1222" s="213">
        <f>O1221/O1218*10^6</f>
        <v>5.600465978333209</v>
      </c>
      <c r="P1222" s="213"/>
      <c r="Q1222" s="213"/>
      <c r="R1222" s="213"/>
      <c r="S1222" s="213"/>
      <c r="T1222" s="213"/>
      <c r="U1222" s="213">
        <f>U1221/U1218*10^6</f>
        <v>5.588264730825169</v>
      </c>
      <c r="V1222" s="213"/>
      <c r="W1222" s="213"/>
      <c r="X1222" s="213"/>
      <c r="Y1222" s="213"/>
      <c r="Z1222" s="213"/>
      <c r="AH1222" s="27"/>
      <c r="AI1222" s="27"/>
      <c r="AJ1222" s="27"/>
      <c r="AK1222" s="27"/>
      <c r="AL1222" s="27"/>
      <c r="AM1222" s="27"/>
      <c r="AN1222" s="27"/>
      <c r="AO1222" s="27"/>
      <c r="AP1222" s="27"/>
    </row>
    <row r="1223" spans="2:42" ht="19.5" customHeight="1">
      <c r="B1223" s="4" t="s">
        <v>222</v>
      </c>
      <c r="C1223" s="4"/>
      <c r="D1223" s="217" t="s">
        <v>137</v>
      </c>
      <c r="E1223" s="218"/>
      <c r="F1223" s="218"/>
      <c r="G1223" s="218"/>
      <c r="H1223" s="218"/>
      <c r="I1223" s="219"/>
      <c r="J1223" s="230" t="s">
        <v>139</v>
      </c>
      <c r="K1223" s="230"/>
      <c r="L1223" s="230"/>
      <c r="M1223" s="230"/>
      <c r="N1223" s="230"/>
      <c r="O1223" s="213">
        <f>AD1189</f>
        <v>13.333333333333334</v>
      </c>
      <c r="P1223" s="213"/>
      <c r="Q1223" s="213"/>
      <c r="R1223" s="213"/>
      <c r="S1223" s="213"/>
      <c r="T1223" s="213"/>
      <c r="U1223" s="213">
        <f>AD1189</f>
        <v>13.333333333333334</v>
      </c>
      <c r="V1223" s="213"/>
      <c r="W1223" s="213"/>
      <c r="X1223" s="213"/>
      <c r="Y1223" s="213"/>
      <c r="Z1223" s="213"/>
      <c r="AH1223" s="27"/>
      <c r="AI1223" s="27"/>
      <c r="AJ1223" s="27"/>
      <c r="AK1223" s="27"/>
      <c r="AL1223" s="27"/>
      <c r="AM1223" s="27"/>
      <c r="AN1223" s="27"/>
      <c r="AO1223" s="27"/>
      <c r="AP1223" s="27"/>
    </row>
    <row r="1224" spans="2:42" ht="19.5" customHeight="1">
      <c r="B1224" s="4"/>
      <c r="C1224" s="4"/>
      <c r="D1224" s="224" t="s">
        <v>1123</v>
      </c>
      <c r="E1224" s="225"/>
      <c r="F1224" s="225"/>
      <c r="G1224" s="225"/>
      <c r="H1224" s="225"/>
      <c r="I1224" s="226"/>
      <c r="J1224" s="385" t="s">
        <v>144</v>
      </c>
      <c r="K1224" s="385"/>
      <c r="L1224" s="385"/>
      <c r="M1224" s="385"/>
      <c r="N1224" s="385"/>
      <c r="O1224" s="213" t="str">
        <f>IF(O1223&gt;=ABS(O1222),"O.K.","N.G.")</f>
        <v>O.K.</v>
      </c>
      <c r="P1224" s="213"/>
      <c r="Q1224" s="213"/>
      <c r="R1224" s="213"/>
      <c r="S1224" s="213"/>
      <c r="T1224" s="213"/>
      <c r="U1224" s="213" t="str">
        <f>IF(U1223&gt;=ABS(U1222),"O.K.","N.G.")</f>
        <v>O.K.</v>
      </c>
      <c r="V1224" s="213"/>
      <c r="W1224" s="213"/>
      <c r="X1224" s="213"/>
      <c r="Y1224" s="213"/>
      <c r="Z1224" s="213"/>
      <c r="AH1224" s="27"/>
      <c r="AI1224" s="27"/>
      <c r="AJ1224" s="27"/>
      <c r="AK1224" s="27"/>
      <c r="AL1224" s="27"/>
      <c r="AM1224" s="27"/>
      <c r="AN1224" s="27"/>
      <c r="AO1224" s="27"/>
      <c r="AP1224" s="27"/>
    </row>
    <row r="1225" spans="2:42" ht="19.5" customHeight="1">
      <c r="B1225" s="4"/>
      <c r="C1225" s="4"/>
      <c r="D1225" s="217" t="s">
        <v>143</v>
      </c>
      <c r="E1225" s="218"/>
      <c r="F1225" s="218"/>
      <c r="G1225" s="218"/>
      <c r="H1225" s="218"/>
      <c r="I1225" s="219"/>
      <c r="J1225" s="385" t="s">
        <v>140</v>
      </c>
      <c r="K1225" s="385"/>
      <c r="L1225" s="385"/>
      <c r="M1225" s="385"/>
      <c r="N1225" s="385"/>
      <c r="O1225" s="213">
        <f>O1221/O1219*10^6</f>
        <v>-26.116266987908</v>
      </c>
      <c r="P1225" s="213"/>
      <c r="Q1225" s="213"/>
      <c r="R1225" s="213"/>
      <c r="S1225" s="213"/>
      <c r="T1225" s="213"/>
      <c r="U1225" s="213">
        <f>U1221/U1219*10^6</f>
        <v>-17.78919467649192</v>
      </c>
      <c r="V1225" s="213"/>
      <c r="W1225" s="213"/>
      <c r="X1225" s="213"/>
      <c r="Y1225" s="213"/>
      <c r="Z1225" s="213"/>
      <c r="AD1225" s="376"/>
      <c r="AE1225" s="376"/>
      <c r="AF1225" s="376"/>
      <c r="AG1225" s="376"/>
      <c r="AH1225" s="27"/>
      <c r="AI1225" s="27"/>
      <c r="AJ1225" s="27"/>
      <c r="AK1225" s="27"/>
      <c r="AL1225" s="27"/>
      <c r="AM1225" s="27"/>
      <c r="AN1225" s="27"/>
      <c r="AO1225" s="27"/>
      <c r="AP1225" s="27"/>
    </row>
    <row r="1226" spans="2:44" ht="19.5" customHeight="1">
      <c r="B1226" s="4"/>
      <c r="C1226" s="4"/>
      <c r="D1226" s="217" t="s">
        <v>137</v>
      </c>
      <c r="E1226" s="218"/>
      <c r="F1226" s="218"/>
      <c r="G1226" s="218"/>
      <c r="H1226" s="218"/>
      <c r="I1226" s="219"/>
      <c r="J1226" s="385" t="s">
        <v>141</v>
      </c>
      <c r="K1226" s="385"/>
      <c r="L1226" s="385"/>
      <c r="M1226" s="385"/>
      <c r="N1226" s="385"/>
      <c r="O1226" s="227">
        <v>120</v>
      </c>
      <c r="P1226" s="228"/>
      <c r="Q1226" s="228"/>
      <c r="R1226" s="228"/>
      <c r="S1226" s="228"/>
      <c r="T1226" s="229"/>
      <c r="U1226" s="213">
        <f>O1226</f>
        <v>120</v>
      </c>
      <c r="V1226" s="213"/>
      <c r="W1226" s="213"/>
      <c r="X1226" s="213"/>
      <c r="Y1226" s="213"/>
      <c r="Z1226" s="213"/>
      <c r="AD1226" s="376"/>
      <c r="AE1226" s="376"/>
      <c r="AF1226" s="376"/>
      <c r="AG1226" s="376"/>
      <c r="AH1226" s="27"/>
      <c r="AI1226" s="27"/>
      <c r="AJ1226" s="27"/>
      <c r="AK1226" s="27"/>
      <c r="AL1226" s="27"/>
      <c r="AM1226" s="27"/>
      <c r="AN1226" s="27"/>
      <c r="AO1226" s="27"/>
      <c r="AP1226" s="27"/>
      <c r="AR1226" s="36"/>
    </row>
    <row r="1227" spans="2:44" ht="19.5" customHeight="1">
      <c r="B1227" s="4"/>
      <c r="C1227" s="4"/>
      <c r="D1227" s="224" t="s">
        <v>1123</v>
      </c>
      <c r="E1227" s="225"/>
      <c r="F1227" s="225"/>
      <c r="G1227" s="225"/>
      <c r="H1227" s="225"/>
      <c r="I1227" s="226"/>
      <c r="J1227" s="385" t="s">
        <v>144</v>
      </c>
      <c r="K1227" s="385"/>
      <c r="L1227" s="385"/>
      <c r="M1227" s="385"/>
      <c r="N1227" s="385"/>
      <c r="O1227" s="213" t="str">
        <f>IF(O1226&gt;=ABS(O1225),"O.K.","N.G.")</f>
        <v>O.K.</v>
      </c>
      <c r="P1227" s="213"/>
      <c r="Q1227" s="213"/>
      <c r="R1227" s="213"/>
      <c r="S1227" s="213"/>
      <c r="T1227" s="213"/>
      <c r="U1227" s="213" t="str">
        <f>IF(U1226&gt;=ABS(U1225),"O.K.","N.G.")</f>
        <v>O.K.</v>
      </c>
      <c r="V1227" s="213"/>
      <c r="W1227" s="213"/>
      <c r="X1227" s="213"/>
      <c r="Y1227" s="213"/>
      <c r="Z1227" s="213"/>
      <c r="AD1227" s="376"/>
      <c r="AE1227" s="376"/>
      <c r="AF1227" s="376"/>
      <c r="AG1227" s="376"/>
      <c r="AH1227" s="27"/>
      <c r="AI1227" s="27"/>
      <c r="AJ1227" s="27"/>
      <c r="AK1227" s="27"/>
      <c r="AL1227" s="27"/>
      <c r="AM1227" s="27"/>
      <c r="AN1227" s="27"/>
      <c r="AO1227" s="27"/>
      <c r="AP1227" s="27"/>
      <c r="AR1227" s="92"/>
    </row>
    <row r="1228" spans="2:42" ht="19.5" customHeight="1">
      <c r="B1228" s="4"/>
      <c r="C1228" s="4"/>
      <c r="D1228" s="221" t="s">
        <v>142</v>
      </c>
      <c r="E1228" s="222"/>
      <c r="F1228" s="222"/>
      <c r="G1228" s="222"/>
      <c r="H1228" s="222"/>
      <c r="I1228" s="223"/>
      <c r="J1228" s="385" t="s">
        <v>1403</v>
      </c>
      <c r="K1228" s="385"/>
      <c r="L1228" s="385"/>
      <c r="M1228" s="385"/>
      <c r="N1228" s="385"/>
      <c r="O1228" s="213">
        <f>O1221/O1220*10^6</f>
        <v>160.1408414455145</v>
      </c>
      <c r="P1228" s="213"/>
      <c r="Q1228" s="213"/>
      <c r="R1228" s="213"/>
      <c r="S1228" s="213"/>
      <c r="T1228" s="213"/>
      <c r="U1228" s="213">
        <f>U1221/U1220*10^6</f>
        <v>137.24897713283087</v>
      </c>
      <c r="V1228" s="213"/>
      <c r="W1228" s="213"/>
      <c r="X1228" s="213"/>
      <c r="Y1228" s="213"/>
      <c r="Z1228" s="213"/>
      <c r="AD1228" s="376"/>
      <c r="AE1228" s="376"/>
      <c r="AF1228" s="376"/>
      <c r="AG1228" s="376"/>
      <c r="AH1228" s="27"/>
      <c r="AI1228" s="27"/>
      <c r="AJ1228" s="27"/>
      <c r="AK1228" s="27"/>
      <c r="AL1228" s="27"/>
      <c r="AM1228" s="27"/>
      <c r="AN1228" s="27"/>
      <c r="AO1228" s="27"/>
      <c r="AP1228" s="27"/>
    </row>
    <row r="1229" spans="2:42" ht="19.5" customHeight="1">
      <c r="B1229" s="4"/>
      <c r="C1229" s="4"/>
      <c r="D1229" s="217" t="s">
        <v>137</v>
      </c>
      <c r="E1229" s="218"/>
      <c r="F1229" s="218"/>
      <c r="G1229" s="218"/>
      <c r="H1229" s="218"/>
      <c r="I1229" s="219"/>
      <c r="J1229" s="385" t="s">
        <v>1404</v>
      </c>
      <c r="K1229" s="385"/>
      <c r="L1229" s="385"/>
      <c r="M1229" s="385"/>
      <c r="N1229" s="385"/>
      <c r="O1229" s="213">
        <f>O1226</f>
        <v>120</v>
      </c>
      <c r="P1229" s="213"/>
      <c r="Q1229" s="213"/>
      <c r="R1229" s="213"/>
      <c r="S1229" s="213"/>
      <c r="T1229" s="213"/>
      <c r="U1229" s="213">
        <f>U1226</f>
        <v>120</v>
      </c>
      <c r="V1229" s="213"/>
      <c r="W1229" s="213"/>
      <c r="X1229" s="213"/>
      <c r="Y1229" s="213"/>
      <c r="Z1229" s="213"/>
      <c r="AD1229" s="376"/>
      <c r="AE1229" s="376"/>
      <c r="AF1229" s="376"/>
      <c r="AG1229" s="376"/>
      <c r="AH1229" s="27"/>
      <c r="AI1229" s="27"/>
      <c r="AJ1229" s="27"/>
      <c r="AK1229" s="27"/>
      <c r="AL1229" s="27"/>
      <c r="AM1229" s="27"/>
      <c r="AN1229" s="27"/>
      <c r="AO1229" s="27"/>
      <c r="AP1229" s="27"/>
    </row>
    <row r="1230" spans="2:42" ht="19.5" customHeight="1">
      <c r="B1230" s="4"/>
      <c r="C1230" s="4"/>
      <c r="D1230" s="224" t="s">
        <v>1123</v>
      </c>
      <c r="E1230" s="225"/>
      <c r="F1230" s="225"/>
      <c r="G1230" s="225"/>
      <c r="H1230" s="225"/>
      <c r="I1230" s="226"/>
      <c r="J1230" s="385" t="s">
        <v>144</v>
      </c>
      <c r="K1230" s="385"/>
      <c r="L1230" s="385"/>
      <c r="M1230" s="385"/>
      <c r="N1230" s="385"/>
      <c r="O1230" s="213" t="str">
        <f>IF(O1229&gt;=ABS(O1228),"O.K.","N.G.")</f>
        <v>N.G.</v>
      </c>
      <c r="P1230" s="213"/>
      <c r="Q1230" s="213"/>
      <c r="R1230" s="213"/>
      <c r="S1230" s="213"/>
      <c r="T1230" s="213"/>
      <c r="U1230" s="213" t="str">
        <f>IF(U1229&gt;=ABS(U1228),"O.K.","N.G.")</f>
        <v>N.G.</v>
      </c>
      <c r="V1230" s="213"/>
      <c r="W1230" s="213"/>
      <c r="X1230" s="213"/>
      <c r="Y1230" s="213"/>
      <c r="Z1230" s="213"/>
      <c r="AD1230" s="376"/>
      <c r="AE1230" s="376"/>
      <c r="AF1230" s="376"/>
      <c r="AG1230" s="376"/>
      <c r="AH1230" s="27"/>
      <c r="AI1230" s="27"/>
      <c r="AJ1230" s="27"/>
      <c r="AK1230" s="27"/>
      <c r="AL1230" s="27"/>
      <c r="AM1230" s="27"/>
      <c r="AN1230" s="27"/>
      <c r="AO1230" s="27"/>
      <c r="AP1230" s="27"/>
    </row>
    <row r="1231" spans="3:44" ht="19.5" customHeight="1">
      <c r="C1231" s="4"/>
      <c r="D1231" s="4"/>
      <c r="E1231" s="49"/>
      <c r="F1231" s="49"/>
      <c r="G1231" s="49"/>
      <c r="H1231" s="49"/>
      <c r="I1231" s="49"/>
      <c r="J1231" s="376"/>
      <c r="K1231" s="376"/>
      <c r="L1231" s="376"/>
      <c r="M1231" s="376"/>
      <c r="N1231" s="49"/>
      <c r="O1231" s="49"/>
      <c r="P1231" s="49"/>
      <c r="Q1231" s="49"/>
      <c r="R1231" s="49"/>
      <c r="S1231" s="49"/>
      <c r="T1231" s="49"/>
      <c r="U1231" s="49"/>
      <c r="V1231" s="49"/>
      <c r="W1231" s="49"/>
      <c r="X1231" s="49"/>
      <c r="Y1231" s="49"/>
      <c r="AE1231" s="376"/>
      <c r="AF1231" s="376"/>
      <c r="AG1231" s="376"/>
      <c r="AH1231" s="376"/>
      <c r="AI1231" s="27"/>
      <c r="AQ1231" s="29"/>
      <c r="AR1231" s="29"/>
    </row>
    <row r="1232" spans="1:12" ht="19.5" customHeight="1">
      <c r="A1232" s="4"/>
      <c r="B1232" s="4"/>
      <c r="C1232" s="4"/>
      <c r="D1232" s="4"/>
      <c r="E1232" s="4"/>
      <c r="F1232" s="4"/>
      <c r="G1232" s="4"/>
      <c r="H1232" s="4"/>
      <c r="I1232" s="4"/>
      <c r="J1232" s="4"/>
      <c r="K1232" s="4"/>
      <c r="L1232" s="4"/>
    </row>
    <row r="1233" spans="1:12" ht="19.5" customHeight="1">
      <c r="A1233" s="4"/>
      <c r="B1233" s="4"/>
      <c r="C1233" s="4"/>
      <c r="D1233" s="4"/>
      <c r="E1233" s="4"/>
      <c r="F1233" s="4"/>
      <c r="G1233" s="4"/>
      <c r="H1233" s="4"/>
      <c r="I1233" s="4"/>
      <c r="J1233" s="4"/>
      <c r="K1233" s="4"/>
      <c r="L1233" s="4"/>
    </row>
    <row r="1234" spans="1:12" ht="19.5" customHeight="1">
      <c r="A1234" s="4"/>
      <c r="B1234" s="4"/>
      <c r="C1234" s="4"/>
      <c r="D1234" s="4"/>
      <c r="E1234" s="4"/>
      <c r="F1234" s="4"/>
      <c r="G1234" s="4"/>
      <c r="H1234" s="4"/>
      <c r="I1234" s="4"/>
      <c r="J1234" s="4"/>
      <c r="K1234" s="4"/>
      <c r="L1234" s="4"/>
    </row>
    <row r="1235" spans="1:12" ht="19.5" customHeight="1">
      <c r="A1235" s="4"/>
      <c r="B1235" s="4"/>
      <c r="C1235" s="4"/>
      <c r="D1235" s="4"/>
      <c r="E1235" s="4"/>
      <c r="F1235" s="4"/>
      <c r="G1235" s="4"/>
      <c r="H1235" s="4"/>
      <c r="I1235" s="4"/>
      <c r="J1235" s="4"/>
      <c r="K1235" s="4"/>
      <c r="L1235" s="4"/>
    </row>
    <row r="1236" spans="1:12" ht="19.5" customHeight="1">
      <c r="A1236" s="4"/>
      <c r="B1236" s="4"/>
      <c r="C1236" s="4"/>
      <c r="D1236" s="4"/>
      <c r="E1236" s="4"/>
      <c r="F1236" s="4"/>
      <c r="G1236" s="4"/>
      <c r="H1236" s="4"/>
      <c r="I1236" s="4"/>
      <c r="J1236" s="4"/>
      <c r="K1236" s="4"/>
      <c r="L1236" s="4"/>
    </row>
    <row r="1237" spans="1:12" ht="19.5" customHeight="1">
      <c r="A1237" s="4"/>
      <c r="B1237" s="4"/>
      <c r="C1237" s="4"/>
      <c r="D1237" s="4"/>
      <c r="E1237" s="4"/>
      <c r="F1237" s="4"/>
      <c r="G1237" s="4"/>
      <c r="H1237" s="4"/>
      <c r="I1237" s="4"/>
      <c r="J1237" s="4"/>
      <c r="K1237" s="4"/>
      <c r="L1237" s="4"/>
    </row>
    <row r="1238" spans="1:12" ht="19.5" customHeight="1">
      <c r="A1238" s="4"/>
      <c r="B1238" s="4"/>
      <c r="C1238" s="4"/>
      <c r="D1238" s="4"/>
      <c r="E1238" s="4"/>
      <c r="F1238" s="4"/>
      <c r="G1238" s="4"/>
      <c r="H1238" s="4"/>
      <c r="I1238" s="4"/>
      <c r="J1238" s="4"/>
      <c r="K1238" s="4"/>
      <c r="L1238" s="4"/>
    </row>
    <row r="1239" spans="1:12" ht="19.5" customHeight="1">
      <c r="A1239" s="4"/>
      <c r="B1239" s="4"/>
      <c r="C1239" s="4"/>
      <c r="D1239" s="4"/>
      <c r="E1239" s="4"/>
      <c r="F1239" s="4"/>
      <c r="G1239" s="4"/>
      <c r="H1239" s="4"/>
      <c r="I1239" s="4"/>
      <c r="J1239" s="4"/>
      <c r="K1239" s="4"/>
      <c r="L1239" s="4"/>
    </row>
    <row r="1240" spans="1:12" ht="19.5" customHeight="1">
      <c r="A1240" s="4"/>
      <c r="B1240" s="4"/>
      <c r="C1240" s="4"/>
      <c r="D1240" s="4"/>
      <c r="E1240" s="4"/>
      <c r="F1240" s="4"/>
      <c r="G1240" s="4"/>
      <c r="H1240" s="4"/>
      <c r="I1240" s="4"/>
      <c r="J1240" s="4"/>
      <c r="K1240" s="4"/>
      <c r="L1240" s="4"/>
    </row>
    <row r="1241" spans="1:12" ht="19.5" customHeight="1">
      <c r="A1241" s="4"/>
      <c r="B1241" s="4"/>
      <c r="C1241" s="4"/>
      <c r="D1241" s="4"/>
      <c r="E1241" s="4"/>
      <c r="F1241" s="4"/>
      <c r="G1241" s="4"/>
      <c r="H1241" s="4"/>
      <c r="I1241" s="4"/>
      <c r="J1241" s="4"/>
      <c r="K1241" s="4"/>
      <c r="L1241" s="4"/>
    </row>
    <row r="1242" spans="1:12" ht="19.5" customHeight="1">
      <c r="A1242" s="4"/>
      <c r="B1242" s="4"/>
      <c r="C1242" s="4"/>
      <c r="D1242" s="4"/>
      <c r="E1242" s="4"/>
      <c r="F1242" s="4"/>
      <c r="G1242" s="4"/>
      <c r="H1242" s="4"/>
      <c r="I1242" s="4"/>
      <c r="J1242" s="4"/>
      <c r="K1242" s="4"/>
      <c r="L1242" s="4"/>
    </row>
    <row r="1243" spans="1:12" ht="19.5" customHeight="1">
      <c r="A1243" s="4"/>
      <c r="B1243" s="4"/>
      <c r="C1243" s="4"/>
      <c r="D1243" s="4"/>
      <c r="E1243" s="4"/>
      <c r="F1243" s="4"/>
      <c r="G1243" s="4"/>
      <c r="H1243" s="4"/>
      <c r="I1243" s="4"/>
      <c r="J1243" s="4"/>
      <c r="K1243" s="4"/>
      <c r="L1243" s="4"/>
    </row>
    <row r="1244" spans="1:12" ht="19.5" customHeight="1">
      <c r="A1244" s="4"/>
      <c r="B1244" s="4"/>
      <c r="C1244" s="4"/>
      <c r="D1244" s="4"/>
      <c r="E1244" s="4"/>
      <c r="F1244" s="4"/>
      <c r="G1244" s="4"/>
      <c r="H1244" s="4"/>
      <c r="I1244" s="4"/>
      <c r="J1244" s="4"/>
      <c r="K1244" s="4"/>
      <c r="L1244" s="4"/>
    </row>
    <row r="1245" spans="1:12" ht="19.5" customHeight="1">
      <c r="A1245" s="4"/>
      <c r="B1245" s="4"/>
      <c r="C1245" s="4"/>
      <c r="D1245" s="4"/>
      <c r="E1245" s="4"/>
      <c r="F1245" s="4"/>
      <c r="G1245" s="4"/>
      <c r="H1245" s="4"/>
      <c r="I1245" s="4"/>
      <c r="J1245" s="4"/>
      <c r="K1245" s="4"/>
      <c r="L1245" s="4"/>
    </row>
    <row r="1246" spans="1:12" ht="19.5" customHeight="1">
      <c r="A1246" s="4"/>
      <c r="B1246" s="4"/>
      <c r="C1246" s="4"/>
      <c r="D1246" s="4"/>
      <c r="E1246" s="4"/>
      <c r="F1246" s="4"/>
      <c r="G1246" s="4"/>
      <c r="H1246" s="4"/>
      <c r="I1246" s="4"/>
      <c r="J1246" s="4"/>
      <c r="K1246" s="4"/>
      <c r="L1246" s="4"/>
    </row>
    <row r="1247" spans="1:12" ht="19.5" customHeight="1">
      <c r="A1247" s="4"/>
      <c r="B1247" s="4"/>
      <c r="C1247" s="4"/>
      <c r="D1247" s="4"/>
      <c r="E1247" s="4"/>
      <c r="F1247" s="4"/>
      <c r="G1247" s="4"/>
      <c r="H1247" s="4"/>
      <c r="I1247" s="4"/>
      <c r="J1247" s="4"/>
      <c r="K1247" s="4"/>
      <c r="L1247" s="4"/>
    </row>
    <row r="1248" spans="1:12" ht="19.5" customHeight="1">
      <c r="A1248" s="4"/>
      <c r="B1248" s="4"/>
      <c r="C1248" s="4"/>
      <c r="D1248" s="4"/>
      <c r="E1248" s="4"/>
      <c r="F1248" s="4"/>
      <c r="G1248" s="4"/>
      <c r="H1248" s="4"/>
      <c r="I1248" s="4"/>
      <c r="J1248" s="4"/>
      <c r="K1248" s="4"/>
      <c r="L1248" s="4"/>
    </row>
    <row r="1249" spans="1:12" ht="19.5" customHeight="1">
      <c r="A1249" s="4"/>
      <c r="B1249" s="4"/>
      <c r="C1249" s="4"/>
      <c r="D1249" s="4"/>
      <c r="E1249" s="4"/>
      <c r="F1249" s="4"/>
      <c r="G1249" s="4"/>
      <c r="H1249" s="4"/>
      <c r="I1249" s="4"/>
      <c r="J1249" s="4"/>
      <c r="K1249" s="4"/>
      <c r="L1249" s="4"/>
    </row>
    <row r="1250" spans="1:12" ht="19.5" customHeight="1">
      <c r="A1250" s="4"/>
      <c r="B1250" s="4"/>
      <c r="C1250" s="4"/>
      <c r="D1250" s="4"/>
      <c r="E1250" s="4"/>
      <c r="F1250" s="4"/>
      <c r="G1250" s="4"/>
      <c r="H1250" s="4"/>
      <c r="I1250" s="4"/>
      <c r="J1250" s="4"/>
      <c r="K1250" s="4"/>
      <c r="L1250" s="4"/>
    </row>
    <row r="1251" spans="1:12" ht="19.5" customHeight="1">
      <c r="A1251" s="4"/>
      <c r="B1251" s="4"/>
      <c r="C1251" s="4"/>
      <c r="D1251" s="4"/>
      <c r="E1251" s="4"/>
      <c r="F1251" s="4"/>
      <c r="G1251" s="4"/>
      <c r="H1251" s="4"/>
      <c r="I1251" s="4"/>
      <c r="J1251" s="4"/>
      <c r="K1251" s="4"/>
      <c r="L1251" s="4"/>
    </row>
    <row r="1252" spans="1:12" ht="19.5" customHeight="1">
      <c r="A1252" s="4"/>
      <c r="B1252" s="4"/>
      <c r="C1252" s="4"/>
      <c r="D1252" s="4"/>
      <c r="E1252" s="4"/>
      <c r="F1252" s="4"/>
      <c r="G1252" s="4"/>
      <c r="H1252" s="4"/>
      <c r="I1252" s="4"/>
      <c r="J1252" s="4"/>
      <c r="K1252" s="4"/>
      <c r="L1252" s="4"/>
    </row>
    <row r="1253" spans="1:12" ht="19.5" customHeight="1">
      <c r="A1253" s="4"/>
      <c r="B1253" s="4"/>
      <c r="C1253" s="4"/>
      <c r="D1253" s="4"/>
      <c r="E1253" s="4"/>
      <c r="F1253" s="4"/>
      <c r="G1253" s="4"/>
      <c r="H1253" s="4"/>
      <c r="I1253" s="4"/>
      <c r="J1253" s="4"/>
      <c r="K1253" s="4"/>
      <c r="L1253" s="4"/>
    </row>
    <row r="1254" spans="1:12" ht="19.5" customHeight="1">
      <c r="A1254" s="4"/>
      <c r="B1254" s="4"/>
      <c r="C1254" s="4"/>
      <c r="D1254" s="4"/>
      <c r="E1254" s="4"/>
      <c r="F1254" s="4"/>
      <c r="G1254" s="4"/>
      <c r="H1254" s="4"/>
      <c r="I1254" s="4"/>
      <c r="J1254" s="4"/>
      <c r="K1254" s="4"/>
      <c r="L1254" s="4"/>
    </row>
    <row r="1255" spans="1:12" ht="19.5" customHeight="1">
      <c r="A1255" s="4"/>
      <c r="B1255" s="4"/>
      <c r="C1255" s="4"/>
      <c r="D1255" s="4"/>
      <c r="E1255" s="4"/>
      <c r="F1255" s="4"/>
      <c r="G1255" s="4"/>
      <c r="H1255" s="4"/>
      <c r="I1255" s="4"/>
      <c r="J1255" s="4"/>
      <c r="K1255" s="4"/>
      <c r="L1255" s="4"/>
    </row>
    <row r="1256" spans="1:12" ht="19.5" customHeight="1">
      <c r="A1256" s="4"/>
      <c r="B1256" s="4"/>
      <c r="C1256" s="4"/>
      <c r="D1256" s="4"/>
      <c r="E1256" s="4"/>
      <c r="F1256" s="4"/>
      <c r="G1256" s="4"/>
      <c r="H1256" s="4"/>
      <c r="I1256" s="4"/>
      <c r="J1256" s="4"/>
      <c r="K1256" s="4"/>
      <c r="L1256" s="4"/>
    </row>
    <row r="1257" spans="1:12" ht="19.5" customHeight="1">
      <c r="A1257" s="4"/>
      <c r="B1257" s="4"/>
      <c r="C1257" s="4"/>
      <c r="D1257" s="4"/>
      <c r="E1257" s="4"/>
      <c r="F1257" s="4"/>
      <c r="G1257" s="4"/>
      <c r="H1257" s="4"/>
      <c r="I1257" s="4"/>
      <c r="J1257" s="4"/>
      <c r="K1257" s="4"/>
      <c r="L1257" s="4"/>
    </row>
    <row r="1258" spans="1:12" ht="19.5" customHeight="1">
      <c r="A1258" s="4"/>
      <c r="B1258" s="4"/>
      <c r="C1258" s="4"/>
      <c r="D1258" s="4"/>
      <c r="E1258" s="4"/>
      <c r="F1258" s="4"/>
      <c r="G1258" s="4"/>
      <c r="H1258" s="4"/>
      <c r="I1258" s="4"/>
      <c r="J1258" s="4"/>
      <c r="K1258" s="4"/>
      <c r="L1258" s="4"/>
    </row>
    <row r="1259" spans="1:12" ht="19.5" customHeight="1">
      <c r="A1259" s="4"/>
      <c r="B1259" s="4"/>
      <c r="C1259" s="4"/>
      <c r="D1259" s="4"/>
      <c r="E1259" s="4"/>
      <c r="F1259" s="4"/>
      <c r="G1259" s="4"/>
      <c r="H1259" s="4"/>
      <c r="I1259" s="4"/>
      <c r="J1259" s="4"/>
      <c r="K1259" s="4"/>
      <c r="L1259" s="4"/>
    </row>
    <row r="1260" spans="1:12" ht="19.5" customHeight="1">
      <c r="A1260" s="4"/>
      <c r="B1260" s="4"/>
      <c r="C1260" s="4"/>
      <c r="D1260" s="4"/>
      <c r="E1260" s="4"/>
      <c r="F1260" s="4"/>
      <c r="G1260" s="4"/>
      <c r="H1260" s="4"/>
      <c r="I1260" s="4"/>
      <c r="J1260" s="4"/>
      <c r="K1260" s="4"/>
      <c r="L1260" s="4"/>
    </row>
    <row r="1261" ht="19.5" customHeight="1">
      <c r="A1261" s="4"/>
    </row>
  </sheetData>
  <mergeCells count="2942">
    <mergeCell ref="P1052:S1052"/>
    <mergeCell ref="P1108:S1108"/>
    <mergeCell ref="P1051:S1051"/>
    <mergeCell ref="S91:V91"/>
    <mergeCell ref="S828:U828"/>
    <mergeCell ref="Q818:R818"/>
    <mergeCell ref="T818:U818"/>
    <mergeCell ref="P810:Q810"/>
    <mergeCell ref="T810:V810"/>
    <mergeCell ref="Q986:T986"/>
    <mergeCell ref="X91:AA91"/>
    <mergeCell ref="AB91:AD91"/>
    <mergeCell ref="G91:I91"/>
    <mergeCell ref="J91:M91"/>
    <mergeCell ref="N91:O91"/>
    <mergeCell ref="P91:R91"/>
    <mergeCell ref="S89:V89"/>
    <mergeCell ref="X89:AA89"/>
    <mergeCell ref="AB89:AD89"/>
    <mergeCell ref="G90:I90"/>
    <mergeCell ref="J90:M90"/>
    <mergeCell ref="N90:O90"/>
    <mergeCell ref="P90:R90"/>
    <mergeCell ref="S90:V90"/>
    <mergeCell ref="X90:AA90"/>
    <mergeCell ref="AB90:AD90"/>
    <mergeCell ref="G89:I89"/>
    <mergeCell ref="J89:M89"/>
    <mergeCell ref="N89:O89"/>
    <mergeCell ref="P89:R89"/>
    <mergeCell ref="G195:J195"/>
    <mergeCell ref="AE810:AG810"/>
    <mergeCell ref="AF814:AH814"/>
    <mergeCell ref="W800:Y800"/>
    <mergeCell ref="AA800:AD800"/>
    <mergeCell ref="H806:K806"/>
    <mergeCell ref="N806:O806"/>
    <mergeCell ref="S806:V806"/>
    <mergeCell ref="N801:P801"/>
    <mergeCell ref="S801:U801"/>
    <mergeCell ref="Y830:Y831"/>
    <mergeCell ref="Z830:Z831"/>
    <mergeCell ref="AA830:AA831"/>
    <mergeCell ref="AK830:AK831"/>
    <mergeCell ref="AJ830:AJ831"/>
    <mergeCell ref="AI830:AI831"/>
    <mergeCell ref="Z820:AA820"/>
    <mergeCell ref="AG820:AH820"/>
    <mergeCell ref="AA826:AB826"/>
    <mergeCell ref="AE827:AF827"/>
    <mergeCell ref="Y818:AA818"/>
    <mergeCell ref="AB810:AC810"/>
    <mergeCell ref="Z811:AB811"/>
    <mergeCell ref="X810:Y810"/>
    <mergeCell ref="Y817:AA817"/>
    <mergeCell ref="AJ804:AK804"/>
    <mergeCell ref="K805:N805"/>
    <mergeCell ref="Q805:S805"/>
    <mergeCell ref="U805:V805"/>
    <mergeCell ref="Y805:Z805"/>
    <mergeCell ref="R804:T804"/>
    <mergeCell ref="Y804:AA804"/>
    <mergeCell ref="AC804:AD804"/>
    <mergeCell ref="AG804:AH804"/>
    <mergeCell ref="W801:Y801"/>
    <mergeCell ref="AA801:AD801"/>
    <mergeCell ref="E1168:K1168"/>
    <mergeCell ref="L1168:O1168"/>
    <mergeCell ref="P1168:S1168"/>
    <mergeCell ref="T1168:W1168"/>
    <mergeCell ref="T1166:W1166"/>
    <mergeCell ref="E1167:G1167"/>
    <mergeCell ref="H1167:K1167"/>
    <mergeCell ref="L1167:O1167"/>
    <mergeCell ref="P1167:S1167"/>
    <mergeCell ref="T1167:W1167"/>
    <mergeCell ref="E1166:G1166"/>
    <mergeCell ref="H1166:K1166"/>
    <mergeCell ref="L1166:O1166"/>
    <mergeCell ref="P1166:S1166"/>
    <mergeCell ref="T1164:W1164"/>
    <mergeCell ref="E1165:G1165"/>
    <mergeCell ref="H1165:K1165"/>
    <mergeCell ref="L1165:O1165"/>
    <mergeCell ref="P1165:S1165"/>
    <mergeCell ref="T1165:W1165"/>
    <mergeCell ref="E1164:G1164"/>
    <mergeCell ref="H1164:K1164"/>
    <mergeCell ref="L1164:O1164"/>
    <mergeCell ref="P1164:S1164"/>
    <mergeCell ref="T1162:W1162"/>
    <mergeCell ref="E1163:G1163"/>
    <mergeCell ref="H1163:K1163"/>
    <mergeCell ref="L1163:O1163"/>
    <mergeCell ref="P1163:S1163"/>
    <mergeCell ref="T1163:W1163"/>
    <mergeCell ref="E1162:G1162"/>
    <mergeCell ref="H1162:K1162"/>
    <mergeCell ref="L1162:O1162"/>
    <mergeCell ref="P1162:S1162"/>
    <mergeCell ref="T1160:W1160"/>
    <mergeCell ref="E1161:G1161"/>
    <mergeCell ref="H1161:K1161"/>
    <mergeCell ref="L1161:O1161"/>
    <mergeCell ref="P1161:S1161"/>
    <mergeCell ref="T1161:W1161"/>
    <mergeCell ref="E1160:G1160"/>
    <mergeCell ref="H1160:K1160"/>
    <mergeCell ref="L1160:O1160"/>
    <mergeCell ref="P1160:S1160"/>
    <mergeCell ref="T1158:W1158"/>
    <mergeCell ref="E1159:G1159"/>
    <mergeCell ref="H1159:K1159"/>
    <mergeCell ref="L1159:O1159"/>
    <mergeCell ref="P1159:S1159"/>
    <mergeCell ref="T1159:W1159"/>
    <mergeCell ref="E1158:G1158"/>
    <mergeCell ref="H1158:K1158"/>
    <mergeCell ref="L1158:O1158"/>
    <mergeCell ref="P1158:S1158"/>
    <mergeCell ref="T1156:W1156"/>
    <mergeCell ref="E1157:G1157"/>
    <mergeCell ref="H1157:K1157"/>
    <mergeCell ref="L1157:O1157"/>
    <mergeCell ref="P1157:S1157"/>
    <mergeCell ref="T1157:W1157"/>
    <mergeCell ref="E1156:G1156"/>
    <mergeCell ref="H1156:K1156"/>
    <mergeCell ref="L1156:O1156"/>
    <mergeCell ref="P1156:S1156"/>
    <mergeCell ref="T1154:W1154"/>
    <mergeCell ref="E1155:G1155"/>
    <mergeCell ref="H1155:K1155"/>
    <mergeCell ref="L1155:O1155"/>
    <mergeCell ref="P1155:S1155"/>
    <mergeCell ref="T1155:W1155"/>
    <mergeCell ref="E1154:G1154"/>
    <mergeCell ref="H1154:K1154"/>
    <mergeCell ref="L1154:O1154"/>
    <mergeCell ref="P1154:S1154"/>
    <mergeCell ref="T1138:W1138"/>
    <mergeCell ref="E1153:K1153"/>
    <mergeCell ref="L1153:O1153"/>
    <mergeCell ref="P1153:S1153"/>
    <mergeCell ref="T1153:W1153"/>
    <mergeCell ref="T1150:W1150"/>
    <mergeCell ref="L1151:O1151"/>
    <mergeCell ref="P1151:S1151"/>
    <mergeCell ref="T1151:W1151"/>
    <mergeCell ref="E1151:K1151"/>
    <mergeCell ref="E1150:G1150"/>
    <mergeCell ref="H1150:K1150"/>
    <mergeCell ref="L1150:O1150"/>
    <mergeCell ref="P1150:S1150"/>
    <mergeCell ref="T1148:W1148"/>
    <mergeCell ref="E1149:G1149"/>
    <mergeCell ref="H1149:K1149"/>
    <mergeCell ref="L1149:O1149"/>
    <mergeCell ref="P1149:S1149"/>
    <mergeCell ref="T1149:W1149"/>
    <mergeCell ref="E1148:G1148"/>
    <mergeCell ref="H1148:K1148"/>
    <mergeCell ref="L1148:O1148"/>
    <mergeCell ref="P1148:S1148"/>
    <mergeCell ref="T1146:W1146"/>
    <mergeCell ref="E1147:G1147"/>
    <mergeCell ref="H1147:K1147"/>
    <mergeCell ref="L1147:O1147"/>
    <mergeCell ref="P1147:S1147"/>
    <mergeCell ref="T1147:W1147"/>
    <mergeCell ref="E1146:G1146"/>
    <mergeCell ref="H1146:K1146"/>
    <mergeCell ref="L1146:O1146"/>
    <mergeCell ref="P1146:S1146"/>
    <mergeCell ref="T1144:W1144"/>
    <mergeCell ref="E1145:G1145"/>
    <mergeCell ref="H1145:K1145"/>
    <mergeCell ref="L1145:O1145"/>
    <mergeCell ref="P1145:S1145"/>
    <mergeCell ref="T1145:W1145"/>
    <mergeCell ref="E1144:G1144"/>
    <mergeCell ref="H1144:K1144"/>
    <mergeCell ref="L1144:O1144"/>
    <mergeCell ref="P1144:S1144"/>
    <mergeCell ref="T1142:W1142"/>
    <mergeCell ref="E1143:G1143"/>
    <mergeCell ref="H1143:K1143"/>
    <mergeCell ref="L1143:O1143"/>
    <mergeCell ref="P1143:S1143"/>
    <mergeCell ref="T1143:W1143"/>
    <mergeCell ref="E1142:G1142"/>
    <mergeCell ref="H1142:K1142"/>
    <mergeCell ref="L1142:O1142"/>
    <mergeCell ref="P1142:S1142"/>
    <mergeCell ref="T1140:W1140"/>
    <mergeCell ref="E1141:G1141"/>
    <mergeCell ref="H1141:K1141"/>
    <mergeCell ref="L1141:O1141"/>
    <mergeCell ref="P1141:S1141"/>
    <mergeCell ref="T1141:W1141"/>
    <mergeCell ref="E1140:G1140"/>
    <mergeCell ref="H1140:K1140"/>
    <mergeCell ref="L1140:O1140"/>
    <mergeCell ref="P1140:S1140"/>
    <mergeCell ref="T1137:W1137"/>
    <mergeCell ref="E1139:G1139"/>
    <mergeCell ref="H1139:K1139"/>
    <mergeCell ref="L1139:O1139"/>
    <mergeCell ref="P1139:S1139"/>
    <mergeCell ref="T1139:W1139"/>
    <mergeCell ref="E1138:G1138"/>
    <mergeCell ref="H1138:K1138"/>
    <mergeCell ref="L1138:O1138"/>
    <mergeCell ref="P1138:S1138"/>
    <mergeCell ref="E1137:G1137"/>
    <mergeCell ref="H1137:K1137"/>
    <mergeCell ref="L1137:O1137"/>
    <mergeCell ref="P1137:S1137"/>
    <mergeCell ref="E1136:K1136"/>
    <mergeCell ref="L1136:O1136"/>
    <mergeCell ref="P1136:S1136"/>
    <mergeCell ref="T1136:W1136"/>
    <mergeCell ref="AE1121:AG1121"/>
    <mergeCell ref="AI1121:AK1121"/>
    <mergeCell ref="AM1121:AO1121"/>
    <mergeCell ref="H1122:J1122"/>
    <mergeCell ref="X1120:Z1120"/>
    <mergeCell ref="H1121:J1121"/>
    <mergeCell ref="M1121:O1121"/>
    <mergeCell ref="Q1121:S1121"/>
    <mergeCell ref="U1121:W1121"/>
    <mergeCell ref="Z1121:AB1121"/>
    <mergeCell ref="J1108:L1108"/>
    <mergeCell ref="M1120:O1120"/>
    <mergeCell ref="P1109:S1109"/>
    <mergeCell ref="I1105:K1105"/>
    <mergeCell ref="Z1105:AB1105"/>
    <mergeCell ref="AG1105:AI1105"/>
    <mergeCell ref="J1107:L1107"/>
    <mergeCell ref="N1107:P1107"/>
    <mergeCell ref="S1107:U1107"/>
    <mergeCell ref="W1107:Y1107"/>
    <mergeCell ref="AB1107:AD1107"/>
    <mergeCell ref="AF1107:AH1107"/>
    <mergeCell ref="I1104:K1104"/>
    <mergeCell ref="M1104:O1104"/>
    <mergeCell ref="R1104:T1104"/>
    <mergeCell ref="V1104:X1104"/>
    <mergeCell ref="J1099:L1099"/>
    <mergeCell ref="AT1099:AV1099"/>
    <mergeCell ref="BE1099:BG1099"/>
    <mergeCell ref="H1101:J1101"/>
    <mergeCell ref="E1097:H1097"/>
    <mergeCell ref="AW1097:BA1097"/>
    <mergeCell ref="BD1097:BH1097"/>
    <mergeCell ref="J1098:L1098"/>
    <mergeCell ref="BJ1095:BM1095"/>
    <mergeCell ref="AX1096:BB1096"/>
    <mergeCell ref="BD1096:BG1096"/>
    <mergeCell ref="BM1096:BP1096"/>
    <mergeCell ref="BA1095:BD1095"/>
    <mergeCell ref="H1095:J1095"/>
    <mergeCell ref="O1095:Q1095"/>
    <mergeCell ref="V1095:Y1095"/>
    <mergeCell ref="AV1095:AY1095"/>
    <mergeCell ref="H1086:J1086"/>
    <mergeCell ref="AG1086:AI1086"/>
    <mergeCell ref="Y1087:AA1087"/>
    <mergeCell ref="BB1094:BE1094"/>
    <mergeCell ref="H1094:J1094"/>
    <mergeCell ref="M1094:O1094"/>
    <mergeCell ref="Q1094:S1094"/>
    <mergeCell ref="AU1094:AX1094"/>
    <mergeCell ref="AF1076:AH1076"/>
    <mergeCell ref="H1078:J1078"/>
    <mergeCell ref="L1078:N1078"/>
    <mergeCell ref="Q1078:S1078"/>
    <mergeCell ref="U1078:W1078"/>
    <mergeCell ref="Z1078:AB1078"/>
    <mergeCell ref="AD1078:AF1078"/>
    <mergeCell ref="Y990:AB990"/>
    <mergeCell ref="J991:P991"/>
    <mergeCell ref="Q991:T991"/>
    <mergeCell ref="U991:X991"/>
    <mergeCell ref="Y991:AB991"/>
    <mergeCell ref="J990:L990"/>
    <mergeCell ref="M990:P990"/>
    <mergeCell ref="Q990:T990"/>
    <mergeCell ref="U990:X990"/>
    <mergeCell ref="Y988:AB988"/>
    <mergeCell ref="J989:L989"/>
    <mergeCell ref="M989:P989"/>
    <mergeCell ref="Q989:T989"/>
    <mergeCell ref="U989:X989"/>
    <mergeCell ref="Y989:AB989"/>
    <mergeCell ref="J988:L988"/>
    <mergeCell ref="M988:P988"/>
    <mergeCell ref="Q988:T988"/>
    <mergeCell ref="U988:X988"/>
    <mergeCell ref="U986:X986"/>
    <mergeCell ref="Y986:AB986"/>
    <mergeCell ref="J987:L987"/>
    <mergeCell ref="M987:P987"/>
    <mergeCell ref="Q987:T987"/>
    <mergeCell ref="U987:X987"/>
    <mergeCell ref="Y987:AB987"/>
    <mergeCell ref="E985:I985"/>
    <mergeCell ref="J985:L985"/>
    <mergeCell ref="M985:P985"/>
    <mergeCell ref="J986:L986"/>
    <mergeCell ref="M986:P986"/>
    <mergeCell ref="E978:I978"/>
    <mergeCell ref="J979:L979"/>
    <mergeCell ref="M979:P979"/>
    <mergeCell ref="J984:P984"/>
    <mergeCell ref="J983:L983"/>
    <mergeCell ref="J982:L982"/>
    <mergeCell ref="J978:L978"/>
    <mergeCell ref="M978:P978"/>
    <mergeCell ref="Y964:AB964"/>
    <mergeCell ref="E969:P969"/>
    <mergeCell ref="E970:L970"/>
    <mergeCell ref="E971:I971"/>
    <mergeCell ref="Q971:T971"/>
    <mergeCell ref="U971:X971"/>
    <mergeCell ref="Y969:AB969"/>
    <mergeCell ref="M970:P970"/>
    <mergeCell ref="Q970:T970"/>
    <mergeCell ref="U970:X970"/>
    <mergeCell ref="Y950:AB950"/>
    <mergeCell ref="Q957:T957"/>
    <mergeCell ref="U957:X957"/>
    <mergeCell ref="Y957:AB957"/>
    <mergeCell ref="Y956:AB956"/>
    <mergeCell ref="Y954:AB954"/>
    <mergeCell ref="Y955:AB955"/>
    <mergeCell ref="Q953:T953"/>
    <mergeCell ref="U955:X955"/>
    <mergeCell ref="Q954:T954"/>
    <mergeCell ref="Q985:T985"/>
    <mergeCell ref="U985:X985"/>
    <mergeCell ref="Y985:AB985"/>
    <mergeCell ref="Q984:T984"/>
    <mergeCell ref="U984:X984"/>
    <mergeCell ref="Q1055:Q1056"/>
    <mergeCell ref="R1055:R1056"/>
    <mergeCell ref="Y982:AB982"/>
    <mergeCell ref="M983:P983"/>
    <mergeCell ref="Q983:T983"/>
    <mergeCell ref="U983:X983"/>
    <mergeCell ref="Y983:AB983"/>
    <mergeCell ref="M982:P982"/>
    <mergeCell ref="Q982:T982"/>
    <mergeCell ref="Y984:AB984"/>
    <mergeCell ref="Y980:AB980"/>
    <mergeCell ref="J981:L981"/>
    <mergeCell ref="M981:P981"/>
    <mergeCell ref="Q981:T981"/>
    <mergeCell ref="U981:X981"/>
    <mergeCell ref="Y981:AB981"/>
    <mergeCell ref="J980:L980"/>
    <mergeCell ref="M980:P980"/>
    <mergeCell ref="Q979:T979"/>
    <mergeCell ref="U979:X979"/>
    <mergeCell ref="Y979:AB979"/>
    <mergeCell ref="Q978:T978"/>
    <mergeCell ref="U978:X978"/>
    <mergeCell ref="J974:L974"/>
    <mergeCell ref="M974:P974"/>
    <mergeCell ref="Q974:T974"/>
    <mergeCell ref="J977:P977"/>
    <mergeCell ref="J976:L976"/>
    <mergeCell ref="M976:P976"/>
    <mergeCell ref="Q976:T976"/>
    <mergeCell ref="Q977:T977"/>
    <mergeCell ref="J975:L975"/>
    <mergeCell ref="M975:P975"/>
    <mergeCell ref="Q975:T975"/>
    <mergeCell ref="U975:X975"/>
    <mergeCell ref="T1063:V1063"/>
    <mergeCell ref="Q973:T973"/>
    <mergeCell ref="U973:X973"/>
    <mergeCell ref="O1009:Q1009"/>
    <mergeCell ref="U976:X976"/>
    <mergeCell ref="Q980:T980"/>
    <mergeCell ref="W1062:Y1062"/>
    <mergeCell ref="Y978:AB978"/>
    <mergeCell ref="Y973:AB973"/>
    <mergeCell ref="Y1019:AA1019"/>
    <mergeCell ref="U974:X974"/>
    <mergeCell ref="Y974:AB974"/>
    <mergeCell ref="Y975:AB975"/>
    <mergeCell ref="Y976:AB976"/>
    <mergeCell ref="U977:X977"/>
    <mergeCell ref="Y977:AB977"/>
    <mergeCell ref="U982:X982"/>
    <mergeCell ref="U980:X980"/>
    <mergeCell ref="J973:L973"/>
    <mergeCell ref="M973:P973"/>
    <mergeCell ref="Y971:AB971"/>
    <mergeCell ref="J972:L972"/>
    <mergeCell ref="M972:P972"/>
    <mergeCell ref="Q972:T972"/>
    <mergeCell ref="U972:X972"/>
    <mergeCell ref="Y972:AB972"/>
    <mergeCell ref="J971:L971"/>
    <mergeCell ref="M971:P971"/>
    <mergeCell ref="Y970:AB970"/>
    <mergeCell ref="Q969:T969"/>
    <mergeCell ref="U969:X969"/>
    <mergeCell ref="AE1063:AG1063"/>
    <mergeCell ref="R998:R999"/>
    <mergeCell ref="W1005:Y1005"/>
    <mergeCell ref="T1006:V1006"/>
    <mergeCell ref="AE1006:AG1006"/>
    <mergeCell ref="R1012:T1012"/>
    <mergeCell ref="Q997:Q998"/>
    <mergeCell ref="R1069:T1069"/>
    <mergeCell ref="J1070:L1070"/>
    <mergeCell ref="H1066:J1066"/>
    <mergeCell ref="L1066:M1066"/>
    <mergeCell ref="O1066:Q1066"/>
    <mergeCell ref="E1068:H1068"/>
    <mergeCell ref="E1072:F1072"/>
    <mergeCell ref="G1072:G1073"/>
    <mergeCell ref="H1072:K1072"/>
    <mergeCell ref="L1072:L1073"/>
    <mergeCell ref="E1073:F1073"/>
    <mergeCell ref="H1073:K1073"/>
    <mergeCell ref="Y966:AB966"/>
    <mergeCell ref="J967:P967"/>
    <mergeCell ref="Q967:T967"/>
    <mergeCell ref="U967:X967"/>
    <mergeCell ref="Y967:AB967"/>
    <mergeCell ref="J966:L966"/>
    <mergeCell ref="M966:P966"/>
    <mergeCell ref="Q966:T966"/>
    <mergeCell ref="U966:X966"/>
    <mergeCell ref="Y963:AB963"/>
    <mergeCell ref="J965:L965"/>
    <mergeCell ref="M965:P965"/>
    <mergeCell ref="Q965:T965"/>
    <mergeCell ref="U965:X965"/>
    <mergeCell ref="Y965:AB965"/>
    <mergeCell ref="J964:L964"/>
    <mergeCell ref="M964:P964"/>
    <mergeCell ref="Q964:T964"/>
    <mergeCell ref="U964:X964"/>
    <mergeCell ref="J963:L963"/>
    <mergeCell ref="M963:P963"/>
    <mergeCell ref="Q963:T963"/>
    <mergeCell ref="U963:X963"/>
    <mergeCell ref="U961:X961"/>
    <mergeCell ref="Y961:AB961"/>
    <mergeCell ref="J962:L962"/>
    <mergeCell ref="M962:P962"/>
    <mergeCell ref="Q962:T962"/>
    <mergeCell ref="U962:X962"/>
    <mergeCell ref="Y962:AB962"/>
    <mergeCell ref="E961:I961"/>
    <mergeCell ref="J961:L961"/>
    <mergeCell ref="M961:P961"/>
    <mergeCell ref="Q961:T961"/>
    <mergeCell ref="U958:X958"/>
    <mergeCell ref="Y959:AB959"/>
    <mergeCell ref="J960:P960"/>
    <mergeCell ref="Q960:T960"/>
    <mergeCell ref="U960:X960"/>
    <mergeCell ref="Y960:AB960"/>
    <mergeCell ref="J959:L959"/>
    <mergeCell ref="M959:P959"/>
    <mergeCell ref="Q959:T959"/>
    <mergeCell ref="U959:X959"/>
    <mergeCell ref="Y958:AB958"/>
    <mergeCell ref="J957:L957"/>
    <mergeCell ref="M957:P957"/>
    <mergeCell ref="J956:L956"/>
    <mergeCell ref="M956:P956"/>
    <mergeCell ref="Q956:T956"/>
    <mergeCell ref="U956:X956"/>
    <mergeCell ref="J958:L958"/>
    <mergeCell ref="M958:P958"/>
    <mergeCell ref="Q958:T958"/>
    <mergeCell ref="Q955:T955"/>
    <mergeCell ref="Q950:T950"/>
    <mergeCell ref="N800:P800"/>
    <mergeCell ref="S800:U800"/>
    <mergeCell ref="N804:P804"/>
    <mergeCell ref="R824:S824"/>
    <mergeCell ref="Q817:R817"/>
    <mergeCell ref="T817:U817"/>
    <mergeCell ref="J953:P953"/>
    <mergeCell ref="M951:P951"/>
    <mergeCell ref="AH841:AJ841"/>
    <mergeCell ref="W827:X827"/>
    <mergeCell ref="J950:L950"/>
    <mergeCell ref="M950:P950"/>
    <mergeCell ref="U950:X950"/>
    <mergeCell ref="V917:Y917"/>
    <mergeCell ref="E916:M916"/>
    <mergeCell ref="N916:Q916"/>
    <mergeCell ref="R916:U916"/>
    <mergeCell ref="V916:Y916"/>
    <mergeCell ref="M952:P952"/>
    <mergeCell ref="J951:L951"/>
    <mergeCell ref="H647:K647"/>
    <mergeCell ref="L647:O647"/>
    <mergeCell ref="P647:S647"/>
    <mergeCell ref="E917:M917"/>
    <mergeCell ref="N917:Q917"/>
    <mergeCell ref="R917:U917"/>
    <mergeCell ref="E915:M915"/>
    <mergeCell ref="E647:G647"/>
    <mergeCell ref="H804:I804"/>
    <mergeCell ref="K804:L804"/>
    <mergeCell ref="T645:W645"/>
    <mergeCell ref="T646:W646"/>
    <mergeCell ref="T647:W647"/>
    <mergeCell ref="P783:R783"/>
    <mergeCell ref="S783:V783"/>
    <mergeCell ref="W783:Z783"/>
    <mergeCell ref="W731:Z731"/>
    <mergeCell ref="W705:Z705"/>
    <mergeCell ref="P643:S643"/>
    <mergeCell ref="P645:S645"/>
    <mergeCell ref="E646:G646"/>
    <mergeCell ref="H646:K646"/>
    <mergeCell ref="L646:O646"/>
    <mergeCell ref="P646:S646"/>
    <mergeCell ref="P641:S641"/>
    <mergeCell ref="T643:W643"/>
    <mergeCell ref="E644:G644"/>
    <mergeCell ref="H644:K644"/>
    <mergeCell ref="L644:O644"/>
    <mergeCell ref="P644:S644"/>
    <mergeCell ref="T644:W644"/>
    <mergeCell ref="E643:G643"/>
    <mergeCell ref="H643:K643"/>
    <mergeCell ref="L643:O643"/>
    <mergeCell ref="T638:W638"/>
    <mergeCell ref="T641:W641"/>
    <mergeCell ref="E642:G642"/>
    <mergeCell ref="H642:K642"/>
    <mergeCell ref="L642:O642"/>
    <mergeCell ref="P642:S642"/>
    <mergeCell ref="T642:W642"/>
    <mergeCell ref="E641:G641"/>
    <mergeCell ref="H641:K641"/>
    <mergeCell ref="L641:O641"/>
    <mergeCell ref="P621:S621"/>
    <mergeCell ref="T623:W623"/>
    <mergeCell ref="E640:K640"/>
    <mergeCell ref="L640:O640"/>
    <mergeCell ref="P640:S640"/>
    <mergeCell ref="T640:W640"/>
    <mergeCell ref="E623:G623"/>
    <mergeCell ref="H623:K623"/>
    <mergeCell ref="L623:O623"/>
    <mergeCell ref="P623:S623"/>
    <mergeCell ref="P619:S619"/>
    <mergeCell ref="T621:W621"/>
    <mergeCell ref="E622:G622"/>
    <mergeCell ref="H622:K622"/>
    <mergeCell ref="L622:O622"/>
    <mergeCell ref="P622:S622"/>
    <mergeCell ref="T622:W622"/>
    <mergeCell ref="E621:G621"/>
    <mergeCell ref="H621:K621"/>
    <mergeCell ref="L621:O621"/>
    <mergeCell ref="T613:W613"/>
    <mergeCell ref="T619:W619"/>
    <mergeCell ref="E620:G620"/>
    <mergeCell ref="H620:K620"/>
    <mergeCell ref="L620:O620"/>
    <mergeCell ref="P620:S620"/>
    <mergeCell ref="T620:W620"/>
    <mergeCell ref="E619:G619"/>
    <mergeCell ref="H619:K619"/>
    <mergeCell ref="L619:O619"/>
    <mergeCell ref="P600:S600"/>
    <mergeCell ref="T601:W601"/>
    <mergeCell ref="E618:K618"/>
    <mergeCell ref="L618:O618"/>
    <mergeCell ref="P618:S618"/>
    <mergeCell ref="T618:W618"/>
    <mergeCell ref="E601:G601"/>
    <mergeCell ref="H601:K601"/>
    <mergeCell ref="L601:O601"/>
    <mergeCell ref="P601:S601"/>
    <mergeCell ref="T598:W598"/>
    <mergeCell ref="T599:W599"/>
    <mergeCell ref="T600:W600"/>
    <mergeCell ref="E599:G599"/>
    <mergeCell ref="H599:K599"/>
    <mergeCell ref="L599:O599"/>
    <mergeCell ref="P599:S599"/>
    <mergeCell ref="E600:G600"/>
    <mergeCell ref="H600:K600"/>
    <mergeCell ref="L600:O600"/>
    <mergeCell ref="U582:X582"/>
    <mergeCell ref="F583:H583"/>
    <mergeCell ref="I583:L583"/>
    <mergeCell ref="M583:P583"/>
    <mergeCell ref="Q583:T583"/>
    <mergeCell ref="U583:X583"/>
    <mergeCell ref="F582:H582"/>
    <mergeCell ref="I582:L582"/>
    <mergeCell ref="M582:P582"/>
    <mergeCell ref="Q582:T582"/>
    <mergeCell ref="U580:X580"/>
    <mergeCell ref="F581:H581"/>
    <mergeCell ref="I581:L581"/>
    <mergeCell ref="M581:P581"/>
    <mergeCell ref="Q581:T581"/>
    <mergeCell ref="U581:X581"/>
    <mergeCell ref="F580:H580"/>
    <mergeCell ref="I580:L580"/>
    <mergeCell ref="M580:P580"/>
    <mergeCell ref="Q580:T580"/>
    <mergeCell ref="U578:X578"/>
    <mergeCell ref="F579:H579"/>
    <mergeCell ref="I579:L579"/>
    <mergeCell ref="M579:P579"/>
    <mergeCell ref="Q579:T579"/>
    <mergeCell ref="U579:X579"/>
    <mergeCell ref="F578:H578"/>
    <mergeCell ref="I578:L578"/>
    <mergeCell ref="M578:P578"/>
    <mergeCell ref="Q578:T578"/>
    <mergeCell ref="U576:X576"/>
    <mergeCell ref="F577:H577"/>
    <mergeCell ref="I577:L577"/>
    <mergeCell ref="M577:P577"/>
    <mergeCell ref="Q577:T577"/>
    <mergeCell ref="U577:X577"/>
    <mergeCell ref="F576:H576"/>
    <mergeCell ref="I576:L576"/>
    <mergeCell ref="M576:P576"/>
    <mergeCell ref="Q576:T576"/>
    <mergeCell ref="U574:X574"/>
    <mergeCell ref="F575:H575"/>
    <mergeCell ref="I575:L575"/>
    <mergeCell ref="M575:P575"/>
    <mergeCell ref="Q575:T575"/>
    <mergeCell ref="U575:X575"/>
    <mergeCell ref="F574:H574"/>
    <mergeCell ref="I574:L574"/>
    <mergeCell ref="M574:P574"/>
    <mergeCell ref="Q574:T574"/>
    <mergeCell ref="U572:X572"/>
    <mergeCell ref="F573:H573"/>
    <mergeCell ref="I573:L573"/>
    <mergeCell ref="M573:P573"/>
    <mergeCell ref="Q573:T573"/>
    <mergeCell ref="U573:X573"/>
    <mergeCell ref="F572:H572"/>
    <mergeCell ref="I572:L572"/>
    <mergeCell ref="M572:P572"/>
    <mergeCell ref="Q572:T572"/>
    <mergeCell ref="F571:L571"/>
    <mergeCell ref="M571:P571"/>
    <mergeCell ref="Q571:T571"/>
    <mergeCell ref="U571:X571"/>
    <mergeCell ref="U543:X543"/>
    <mergeCell ref="F544:H544"/>
    <mergeCell ref="I544:L544"/>
    <mergeCell ref="M544:P544"/>
    <mergeCell ref="Q544:T544"/>
    <mergeCell ref="U544:X544"/>
    <mergeCell ref="F543:H543"/>
    <mergeCell ref="I543:L543"/>
    <mergeCell ref="M543:P543"/>
    <mergeCell ref="Q543:T543"/>
    <mergeCell ref="F541:H541"/>
    <mergeCell ref="I541:L541"/>
    <mergeCell ref="M541:P541"/>
    <mergeCell ref="Q541:T541"/>
    <mergeCell ref="F542:H542"/>
    <mergeCell ref="I542:L542"/>
    <mergeCell ref="M542:P542"/>
    <mergeCell ref="Q542:T542"/>
    <mergeCell ref="F539:H539"/>
    <mergeCell ref="I539:L539"/>
    <mergeCell ref="M539:P539"/>
    <mergeCell ref="Q539:T539"/>
    <mergeCell ref="F540:H540"/>
    <mergeCell ref="I540:L540"/>
    <mergeCell ref="M540:P540"/>
    <mergeCell ref="Q540:T540"/>
    <mergeCell ref="F537:H537"/>
    <mergeCell ref="I537:L537"/>
    <mergeCell ref="M537:P537"/>
    <mergeCell ref="Q537:T537"/>
    <mergeCell ref="F538:H538"/>
    <mergeCell ref="I538:L538"/>
    <mergeCell ref="M538:P538"/>
    <mergeCell ref="Q538:T538"/>
    <mergeCell ref="T490:W490"/>
    <mergeCell ref="F536:L536"/>
    <mergeCell ref="M536:P536"/>
    <mergeCell ref="Q536:T536"/>
    <mergeCell ref="U536:X536"/>
    <mergeCell ref="E490:G490"/>
    <mergeCell ref="H490:K490"/>
    <mergeCell ref="L490:O490"/>
    <mergeCell ref="P490:S490"/>
    <mergeCell ref="M526:P526"/>
    <mergeCell ref="T488:W488"/>
    <mergeCell ref="E489:G489"/>
    <mergeCell ref="H489:K489"/>
    <mergeCell ref="L489:O489"/>
    <mergeCell ref="P489:S489"/>
    <mergeCell ref="T489:W489"/>
    <mergeCell ref="E488:G488"/>
    <mergeCell ref="H488:K488"/>
    <mergeCell ref="L488:O488"/>
    <mergeCell ref="P488:S488"/>
    <mergeCell ref="T486:W486"/>
    <mergeCell ref="E487:G487"/>
    <mergeCell ref="H487:K487"/>
    <mergeCell ref="L487:O487"/>
    <mergeCell ref="P487:S487"/>
    <mergeCell ref="T487:W487"/>
    <mergeCell ref="E486:G486"/>
    <mergeCell ref="H486:K486"/>
    <mergeCell ref="L486:O486"/>
    <mergeCell ref="P486:S486"/>
    <mergeCell ref="T484:W484"/>
    <mergeCell ref="E485:G485"/>
    <mergeCell ref="H485:K485"/>
    <mergeCell ref="L485:O485"/>
    <mergeCell ref="P485:S485"/>
    <mergeCell ref="T485:W485"/>
    <mergeCell ref="E484:G484"/>
    <mergeCell ref="H484:K484"/>
    <mergeCell ref="L484:O484"/>
    <mergeCell ref="P484:S484"/>
    <mergeCell ref="T482:W482"/>
    <mergeCell ref="E483:G483"/>
    <mergeCell ref="H483:K483"/>
    <mergeCell ref="L483:O483"/>
    <mergeCell ref="P483:S483"/>
    <mergeCell ref="T483:W483"/>
    <mergeCell ref="E482:G482"/>
    <mergeCell ref="H482:K482"/>
    <mergeCell ref="L482:O482"/>
    <mergeCell ref="P482:S482"/>
    <mergeCell ref="E481:G481"/>
    <mergeCell ref="H481:K481"/>
    <mergeCell ref="L481:O481"/>
    <mergeCell ref="P481:S481"/>
    <mergeCell ref="T442:W442"/>
    <mergeCell ref="E443:G443"/>
    <mergeCell ref="H443:K443"/>
    <mergeCell ref="L443:O443"/>
    <mergeCell ref="P443:S443"/>
    <mergeCell ref="T443:W443"/>
    <mergeCell ref="E442:G442"/>
    <mergeCell ref="H442:K442"/>
    <mergeCell ref="L442:O442"/>
    <mergeCell ref="P442:S442"/>
    <mergeCell ref="T440:W440"/>
    <mergeCell ref="E441:G441"/>
    <mergeCell ref="H441:K441"/>
    <mergeCell ref="L441:O441"/>
    <mergeCell ref="P441:S441"/>
    <mergeCell ref="T441:W441"/>
    <mergeCell ref="E440:G440"/>
    <mergeCell ref="H440:K440"/>
    <mergeCell ref="L440:O440"/>
    <mergeCell ref="P440:S440"/>
    <mergeCell ref="T438:W438"/>
    <mergeCell ref="E439:G439"/>
    <mergeCell ref="H439:K439"/>
    <mergeCell ref="L439:O439"/>
    <mergeCell ref="P439:S439"/>
    <mergeCell ref="T439:W439"/>
    <mergeCell ref="E438:G438"/>
    <mergeCell ref="H438:K438"/>
    <mergeCell ref="L438:O438"/>
    <mergeCell ref="P438:S438"/>
    <mergeCell ref="T436:W436"/>
    <mergeCell ref="E437:G437"/>
    <mergeCell ref="H437:K437"/>
    <mergeCell ref="L437:O437"/>
    <mergeCell ref="P437:S437"/>
    <mergeCell ref="T437:W437"/>
    <mergeCell ref="E436:G436"/>
    <mergeCell ref="H436:K436"/>
    <mergeCell ref="L436:O436"/>
    <mergeCell ref="P436:S436"/>
    <mergeCell ref="T434:W434"/>
    <mergeCell ref="E435:G435"/>
    <mergeCell ref="H435:K435"/>
    <mergeCell ref="L435:O435"/>
    <mergeCell ref="P435:S435"/>
    <mergeCell ref="T435:W435"/>
    <mergeCell ref="E434:G434"/>
    <mergeCell ref="H434:K434"/>
    <mergeCell ref="L434:O434"/>
    <mergeCell ref="P434:S434"/>
    <mergeCell ref="T432:W432"/>
    <mergeCell ref="E433:G433"/>
    <mergeCell ref="H433:K433"/>
    <mergeCell ref="L433:O433"/>
    <mergeCell ref="P433:S433"/>
    <mergeCell ref="T433:W433"/>
    <mergeCell ref="E432:G432"/>
    <mergeCell ref="H432:K432"/>
    <mergeCell ref="L432:O432"/>
    <mergeCell ref="P432:S432"/>
    <mergeCell ref="E431:K431"/>
    <mergeCell ref="L431:O431"/>
    <mergeCell ref="P431:S431"/>
    <mergeCell ref="T431:W431"/>
    <mergeCell ref="N915:Q915"/>
    <mergeCell ref="R915:U915"/>
    <mergeCell ref="V915:Y915"/>
    <mergeCell ref="E914:M914"/>
    <mergeCell ref="N914:Q914"/>
    <mergeCell ref="R914:U914"/>
    <mergeCell ref="V914:Y914"/>
    <mergeCell ref="E913:M913"/>
    <mergeCell ref="N913:Q913"/>
    <mergeCell ref="R913:U913"/>
    <mergeCell ref="V913:Y913"/>
    <mergeCell ref="E912:M912"/>
    <mergeCell ref="N912:Q912"/>
    <mergeCell ref="R912:U912"/>
    <mergeCell ref="V912:Y912"/>
    <mergeCell ref="N911:Q911"/>
    <mergeCell ref="R911:U911"/>
    <mergeCell ref="V911:Y911"/>
    <mergeCell ref="E899:E911"/>
    <mergeCell ref="F899:F911"/>
    <mergeCell ref="G911:M911"/>
    <mergeCell ref="G910:M910"/>
    <mergeCell ref="N910:Q910"/>
    <mergeCell ref="R910:U910"/>
    <mergeCell ref="V910:Y910"/>
    <mergeCell ref="G909:M909"/>
    <mergeCell ref="N909:Q909"/>
    <mergeCell ref="R909:U909"/>
    <mergeCell ref="V909:Y909"/>
    <mergeCell ref="G908:M908"/>
    <mergeCell ref="N908:Q908"/>
    <mergeCell ref="R908:U908"/>
    <mergeCell ref="V908:Y908"/>
    <mergeCell ref="G907:M907"/>
    <mergeCell ref="N907:Q907"/>
    <mergeCell ref="R907:U907"/>
    <mergeCell ref="V907:Y907"/>
    <mergeCell ref="G906:M906"/>
    <mergeCell ref="N906:Q906"/>
    <mergeCell ref="R906:U906"/>
    <mergeCell ref="V906:Y906"/>
    <mergeCell ref="G905:M905"/>
    <mergeCell ref="N905:Q905"/>
    <mergeCell ref="R905:U905"/>
    <mergeCell ref="V905:Y905"/>
    <mergeCell ref="G904:M904"/>
    <mergeCell ref="N904:Q904"/>
    <mergeCell ref="R904:U904"/>
    <mergeCell ref="V904:Y904"/>
    <mergeCell ref="V902:Y902"/>
    <mergeCell ref="G903:M903"/>
    <mergeCell ref="N903:Q903"/>
    <mergeCell ref="R903:U903"/>
    <mergeCell ref="V903:Y903"/>
    <mergeCell ref="V900:Y900"/>
    <mergeCell ref="G901:M901"/>
    <mergeCell ref="N901:Q901"/>
    <mergeCell ref="R901:U901"/>
    <mergeCell ref="V901:Y901"/>
    <mergeCell ref="T232:W232"/>
    <mergeCell ref="X232:AA232"/>
    <mergeCell ref="AB232:AE232"/>
    <mergeCell ref="D692:E711"/>
    <mergeCell ref="W388:AB388"/>
    <mergeCell ref="W378:AB379"/>
    <mergeCell ref="F706:O707"/>
    <mergeCell ref="P706:R706"/>
    <mergeCell ref="S706:V706"/>
    <mergeCell ref="W706:Z706"/>
    <mergeCell ref="T230:W230"/>
    <mergeCell ref="X230:AA230"/>
    <mergeCell ref="AB230:AE230"/>
    <mergeCell ref="T231:W231"/>
    <mergeCell ref="X231:AA231"/>
    <mergeCell ref="AB231:AE231"/>
    <mergeCell ref="X216:AA216"/>
    <mergeCell ref="AB216:AE216"/>
    <mergeCell ref="T215:W215"/>
    <mergeCell ref="X215:AA215"/>
    <mergeCell ref="AB215:AE215"/>
    <mergeCell ref="V888:Y888"/>
    <mergeCell ref="T213:W213"/>
    <mergeCell ref="X213:AA213"/>
    <mergeCell ref="AB213:AE213"/>
    <mergeCell ref="T214:W214"/>
    <mergeCell ref="X214:AA214"/>
    <mergeCell ref="AB214:AE214"/>
    <mergeCell ref="T217:W217"/>
    <mergeCell ref="X217:AA217"/>
    <mergeCell ref="AB217:AE217"/>
    <mergeCell ref="AA783:AD783"/>
    <mergeCell ref="AA757:AD757"/>
    <mergeCell ref="P782:R782"/>
    <mergeCell ref="S782:V782"/>
    <mergeCell ref="W782:Z782"/>
    <mergeCell ref="AA782:AD782"/>
    <mergeCell ref="P775:R775"/>
    <mergeCell ref="S775:V775"/>
    <mergeCell ref="W775:Z775"/>
    <mergeCell ref="AA775:AD775"/>
    <mergeCell ref="AA731:AD731"/>
    <mergeCell ref="W759:Z759"/>
    <mergeCell ref="AA759:AD759"/>
    <mergeCell ref="AB739:AD739"/>
    <mergeCell ref="AB735:AD735"/>
    <mergeCell ref="AA756:AD756"/>
    <mergeCell ref="AB738:AD738"/>
    <mergeCell ref="W758:Z758"/>
    <mergeCell ref="AA758:AD758"/>
    <mergeCell ref="AB736:AD736"/>
    <mergeCell ref="AA729:AD729"/>
    <mergeCell ref="D730:O730"/>
    <mergeCell ref="P730:R730"/>
    <mergeCell ref="S730:V730"/>
    <mergeCell ref="W730:Z730"/>
    <mergeCell ref="AA730:AD730"/>
    <mergeCell ref="D729:O729"/>
    <mergeCell ref="P729:R729"/>
    <mergeCell ref="S729:V729"/>
    <mergeCell ref="W729:Z729"/>
    <mergeCell ref="R386:V386"/>
    <mergeCell ref="R387:V387"/>
    <mergeCell ref="W380:AB380"/>
    <mergeCell ref="W381:AB381"/>
    <mergeCell ref="W382:AB382"/>
    <mergeCell ref="W383:AB383"/>
    <mergeCell ref="W384:AB384"/>
    <mergeCell ref="W385:AB385"/>
    <mergeCell ref="W386:AB386"/>
    <mergeCell ref="W387:AB387"/>
    <mergeCell ref="M385:Q385"/>
    <mergeCell ref="R380:V380"/>
    <mergeCell ref="R381:V381"/>
    <mergeCell ref="R382:V382"/>
    <mergeCell ref="R383:V383"/>
    <mergeCell ref="R384:V384"/>
    <mergeCell ref="R385:V385"/>
    <mergeCell ref="AF333:AJ335"/>
    <mergeCell ref="E334:G335"/>
    <mergeCell ref="E333:G333"/>
    <mergeCell ref="E379:G379"/>
    <mergeCell ref="E378:G378"/>
    <mergeCell ref="AF341:AJ341"/>
    <mergeCell ref="AF342:AJ342"/>
    <mergeCell ref="AF343:AJ343"/>
    <mergeCell ref="AF344:AJ344"/>
    <mergeCell ref="AF337:AJ337"/>
    <mergeCell ref="AF338:AJ338"/>
    <mergeCell ref="AF339:AJ339"/>
    <mergeCell ref="AF340:AJ340"/>
    <mergeCell ref="AA706:AD706"/>
    <mergeCell ref="S707:V707"/>
    <mergeCell ref="W707:Z707"/>
    <mergeCell ref="E386:G386"/>
    <mergeCell ref="E387:G387"/>
    <mergeCell ref="E388:G388"/>
    <mergeCell ref="H386:L386"/>
    <mergeCell ref="H387:L387"/>
    <mergeCell ref="H388:L388"/>
    <mergeCell ref="M386:Q386"/>
    <mergeCell ref="AC336:AE336"/>
    <mergeCell ref="W337:Y337"/>
    <mergeCell ref="AC337:AE337"/>
    <mergeCell ref="Z337:AB337"/>
    <mergeCell ref="T336:V336"/>
    <mergeCell ref="T337:V337"/>
    <mergeCell ref="T338:V338"/>
    <mergeCell ref="Z338:AB338"/>
    <mergeCell ref="W338:Y338"/>
    <mergeCell ref="T335:V335"/>
    <mergeCell ref="W335:Y335"/>
    <mergeCell ref="Z335:AB335"/>
    <mergeCell ref="AC335:AE335"/>
    <mergeCell ref="AC334:AE334"/>
    <mergeCell ref="T334:V334"/>
    <mergeCell ref="H333:S333"/>
    <mergeCell ref="T333:AE333"/>
    <mergeCell ref="N334:P334"/>
    <mergeCell ref="Q334:S334"/>
    <mergeCell ref="W334:Y334"/>
    <mergeCell ref="Z334:AB334"/>
    <mergeCell ref="K334:M334"/>
    <mergeCell ref="AB737:AD737"/>
    <mergeCell ref="F563:H563"/>
    <mergeCell ref="I563:L563"/>
    <mergeCell ref="M563:P563"/>
    <mergeCell ref="Q563:T563"/>
    <mergeCell ref="AA707:AD707"/>
    <mergeCell ref="S704:V704"/>
    <mergeCell ref="AA704:AD704"/>
    <mergeCell ref="U563:X563"/>
    <mergeCell ref="AA705:AD705"/>
    <mergeCell ref="K341:M341"/>
    <mergeCell ref="K342:M342"/>
    <mergeCell ref="H339:J339"/>
    <mergeCell ref="H340:J340"/>
    <mergeCell ref="H341:J341"/>
    <mergeCell ref="H342:J342"/>
    <mergeCell ref="H338:J338"/>
    <mergeCell ref="E344:G344"/>
    <mergeCell ref="H334:J334"/>
    <mergeCell ref="H335:J335"/>
    <mergeCell ref="E340:G340"/>
    <mergeCell ref="E341:G341"/>
    <mergeCell ref="E342:G342"/>
    <mergeCell ref="E343:G343"/>
    <mergeCell ref="E336:G336"/>
    <mergeCell ref="E337:G337"/>
    <mergeCell ref="N337:P337"/>
    <mergeCell ref="K336:M336"/>
    <mergeCell ref="K337:M337"/>
    <mergeCell ref="K340:M340"/>
    <mergeCell ref="N336:P336"/>
    <mergeCell ref="N339:P339"/>
    <mergeCell ref="E338:G338"/>
    <mergeCell ref="E339:G339"/>
    <mergeCell ref="AB791:AD791"/>
    <mergeCell ref="AF791:AH791"/>
    <mergeCell ref="Q790:S790"/>
    <mergeCell ref="AB790:AD790"/>
    <mergeCell ref="AF790:AH790"/>
    <mergeCell ref="AB788:AD788"/>
    <mergeCell ref="Q789:S789"/>
    <mergeCell ref="AB789:AD789"/>
    <mergeCell ref="AF789:AH789"/>
    <mergeCell ref="AF788:AH788"/>
    <mergeCell ref="AF737:AH737"/>
    <mergeCell ref="AF739:AH739"/>
    <mergeCell ref="Q787:S787"/>
    <mergeCell ref="AB787:AD787"/>
    <mergeCell ref="Q739:S739"/>
    <mergeCell ref="AF738:AH738"/>
    <mergeCell ref="P758:R758"/>
    <mergeCell ref="S758:V758"/>
    <mergeCell ref="P759:R759"/>
    <mergeCell ref="S759:V759"/>
    <mergeCell ref="P786:R786"/>
    <mergeCell ref="S786:V786"/>
    <mergeCell ref="S705:V705"/>
    <mergeCell ref="S731:V731"/>
    <mergeCell ref="Q736:S736"/>
    <mergeCell ref="F758:O759"/>
    <mergeCell ref="Q737:S737"/>
    <mergeCell ref="S724:V724"/>
    <mergeCell ref="F756:O757"/>
    <mergeCell ref="P756:R756"/>
    <mergeCell ref="S756:V756"/>
    <mergeCell ref="P755:R755"/>
    <mergeCell ref="F1196:G1196"/>
    <mergeCell ref="F1191:G1191"/>
    <mergeCell ref="S1188:T1188"/>
    <mergeCell ref="Q788:S788"/>
    <mergeCell ref="Q791:S791"/>
    <mergeCell ref="N900:Q900"/>
    <mergeCell ref="R900:U900"/>
    <mergeCell ref="G902:M902"/>
    <mergeCell ref="N902:Q902"/>
    <mergeCell ref="R902:U902"/>
    <mergeCell ref="W724:Z724"/>
    <mergeCell ref="Q669:R669"/>
    <mergeCell ref="U669:W669"/>
    <mergeCell ref="S702:V702"/>
    <mergeCell ref="P707:R707"/>
    <mergeCell ref="S722:V722"/>
    <mergeCell ref="W722:Z722"/>
    <mergeCell ref="S720:V720"/>
    <mergeCell ref="T683:V683"/>
    <mergeCell ref="W720:Z720"/>
    <mergeCell ref="AA724:AD724"/>
    <mergeCell ref="AG666:AJ667"/>
    <mergeCell ref="AD668:AF669"/>
    <mergeCell ref="AG668:AJ669"/>
    <mergeCell ref="Y669:AA669"/>
    <mergeCell ref="AC668:AC669"/>
    <mergeCell ref="AH682:AJ682"/>
    <mergeCell ref="AC666:AC667"/>
    <mergeCell ref="AD666:AF667"/>
    <mergeCell ref="W704:Z704"/>
    <mergeCell ref="P661:R661"/>
    <mergeCell ref="T677:U677"/>
    <mergeCell ref="K668:K669"/>
    <mergeCell ref="L668:L669"/>
    <mergeCell ref="M668:M669"/>
    <mergeCell ref="N669:O669"/>
    <mergeCell ref="L662:N662"/>
    <mergeCell ref="T661:V661"/>
    <mergeCell ref="P662:R662"/>
    <mergeCell ref="M666:M667"/>
    <mergeCell ref="U566:X566"/>
    <mergeCell ref="U569:X569"/>
    <mergeCell ref="F569:H569"/>
    <mergeCell ref="I569:L569"/>
    <mergeCell ref="M569:P569"/>
    <mergeCell ref="Q569:T569"/>
    <mergeCell ref="F566:H566"/>
    <mergeCell ref="I566:L566"/>
    <mergeCell ref="M566:P566"/>
    <mergeCell ref="Q566:T566"/>
    <mergeCell ref="X661:Z661"/>
    <mergeCell ref="Z682:AB682"/>
    <mergeCell ref="V673:X673"/>
    <mergeCell ref="S679:U679"/>
    <mergeCell ref="Y667:AA667"/>
    <mergeCell ref="S678:U678"/>
    <mergeCell ref="U676:W676"/>
    <mergeCell ref="T662:V662"/>
    <mergeCell ref="X662:Z662"/>
    <mergeCell ref="U667:W667"/>
    <mergeCell ref="S1196:U1196"/>
    <mergeCell ref="R896:U896"/>
    <mergeCell ref="V896:Y896"/>
    <mergeCell ref="N894:Q894"/>
    <mergeCell ref="R894:U894"/>
    <mergeCell ref="V894:Y894"/>
    <mergeCell ref="N895:Q895"/>
    <mergeCell ref="M1133:O1133"/>
    <mergeCell ref="Y1076:AA1076"/>
    <mergeCell ref="R895:U895"/>
    <mergeCell ref="AA1197:AB1197"/>
    <mergeCell ref="G1183:I1183"/>
    <mergeCell ref="U1117:W1117"/>
    <mergeCell ref="Q1117:S1117"/>
    <mergeCell ref="G1178:I1178"/>
    <mergeCell ref="Q1131:S1131"/>
    <mergeCell ref="Q1132:S1132"/>
    <mergeCell ref="Q1133:S1133"/>
    <mergeCell ref="M1131:O1131"/>
    <mergeCell ref="M1132:O1132"/>
    <mergeCell ref="AM1117:AO1117"/>
    <mergeCell ref="AA1193:AA1194"/>
    <mergeCell ref="Z1191:AA1191"/>
    <mergeCell ref="U1132:W1132"/>
    <mergeCell ref="U1133:W1133"/>
    <mergeCell ref="AA1131:AB1131"/>
    <mergeCell ref="AA1132:AB1132"/>
    <mergeCell ref="AA1133:AB1133"/>
    <mergeCell ref="U1131:W1131"/>
    <mergeCell ref="AI1117:AK1117"/>
    <mergeCell ref="AE1127:AG1127"/>
    <mergeCell ref="Q1128:R1128"/>
    <mergeCell ref="T1128:V1128"/>
    <mergeCell ref="X1128:Y1128"/>
    <mergeCell ref="AA1128:AC1128"/>
    <mergeCell ref="AE1128:AG1128"/>
    <mergeCell ref="Q1127:R1127"/>
    <mergeCell ref="T1127:V1127"/>
    <mergeCell ref="X1127:Y1127"/>
    <mergeCell ref="AA1127:AC1127"/>
    <mergeCell ref="AE1117:AG1117"/>
    <mergeCell ref="H1118:J1118"/>
    <mergeCell ref="Q1126:R1126"/>
    <mergeCell ref="X1126:Y1126"/>
    <mergeCell ref="T1126:V1126"/>
    <mergeCell ref="AA1126:AC1126"/>
    <mergeCell ref="AE1126:AG1126"/>
    <mergeCell ref="H1117:J1117"/>
    <mergeCell ref="M1117:O1117"/>
    <mergeCell ref="Z1117:AB1117"/>
    <mergeCell ref="J1051:L1051"/>
    <mergeCell ref="H1112:J1112"/>
    <mergeCell ref="H1076:J1076"/>
    <mergeCell ref="H1079:J1079"/>
    <mergeCell ref="H1075:J1075"/>
    <mergeCell ref="L1075:N1075"/>
    <mergeCell ref="J1069:L1069"/>
    <mergeCell ref="N1069:P1069"/>
    <mergeCell ref="P1055:P1056"/>
    <mergeCell ref="H1085:J1085"/>
    <mergeCell ref="N1079:P1079"/>
    <mergeCell ref="N1072:O1072"/>
    <mergeCell ref="R1072:AC1073"/>
    <mergeCell ref="M1073:P1073"/>
    <mergeCell ref="Q1075:S1075"/>
    <mergeCell ref="U1075:W1075"/>
    <mergeCell ref="I1048:K1048"/>
    <mergeCell ref="Z1048:AB1048"/>
    <mergeCell ref="AG1048:AI1048"/>
    <mergeCell ref="J1050:L1050"/>
    <mergeCell ref="N1050:P1050"/>
    <mergeCell ref="S1050:U1050"/>
    <mergeCell ref="W1050:Y1050"/>
    <mergeCell ref="AB1050:AD1050"/>
    <mergeCell ref="AF1050:AH1050"/>
    <mergeCell ref="I1047:K1047"/>
    <mergeCell ref="M1047:O1047"/>
    <mergeCell ref="R1047:T1047"/>
    <mergeCell ref="V1047:X1047"/>
    <mergeCell ref="E1016:F1016"/>
    <mergeCell ref="H1016:K1016"/>
    <mergeCell ref="H1015:K1015"/>
    <mergeCell ref="E1015:F1015"/>
    <mergeCell ref="G1015:G1016"/>
    <mergeCell ref="J1012:L1012"/>
    <mergeCell ref="N1012:P1012"/>
    <mergeCell ref="H1009:J1009"/>
    <mergeCell ref="N896:Q896"/>
    <mergeCell ref="M947:P947"/>
    <mergeCell ref="M948:P948"/>
    <mergeCell ref="J952:L952"/>
    <mergeCell ref="J949:L949"/>
    <mergeCell ref="E945:P945"/>
    <mergeCell ref="M949:P949"/>
    <mergeCell ref="I924:K924"/>
    <mergeCell ref="N898:Q898"/>
    <mergeCell ref="R898:U898"/>
    <mergeCell ref="V898:Y898"/>
    <mergeCell ref="E898:M898"/>
    <mergeCell ref="G899:M899"/>
    <mergeCell ref="N899:Q899"/>
    <mergeCell ref="R899:U899"/>
    <mergeCell ref="V899:Y899"/>
    <mergeCell ref="G900:M900"/>
    <mergeCell ref="V895:Y895"/>
    <mergeCell ref="N892:Q892"/>
    <mergeCell ref="R892:U892"/>
    <mergeCell ref="V892:Y892"/>
    <mergeCell ref="N893:Q893"/>
    <mergeCell ref="R893:U893"/>
    <mergeCell ref="V893:Y893"/>
    <mergeCell ref="R890:U890"/>
    <mergeCell ref="V890:Y890"/>
    <mergeCell ref="N891:Q891"/>
    <mergeCell ref="R891:U891"/>
    <mergeCell ref="V891:Y891"/>
    <mergeCell ref="R886:U886"/>
    <mergeCell ref="V886:Y886"/>
    <mergeCell ref="N889:Q889"/>
    <mergeCell ref="R889:U889"/>
    <mergeCell ref="V889:Y889"/>
    <mergeCell ref="N887:Q887"/>
    <mergeCell ref="N888:Q888"/>
    <mergeCell ref="R887:U887"/>
    <mergeCell ref="V887:Y887"/>
    <mergeCell ref="R888:U888"/>
    <mergeCell ref="R883:U883"/>
    <mergeCell ref="V883:Y883"/>
    <mergeCell ref="N885:Q885"/>
    <mergeCell ref="R885:U885"/>
    <mergeCell ref="V885:Y885"/>
    <mergeCell ref="N884:Q884"/>
    <mergeCell ref="R884:U884"/>
    <mergeCell ref="V884:Y884"/>
    <mergeCell ref="R881:U881"/>
    <mergeCell ref="V881:Y881"/>
    <mergeCell ref="N882:Q882"/>
    <mergeCell ref="R882:U882"/>
    <mergeCell ref="V882:Y882"/>
    <mergeCell ref="R879:U879"/>
    <mergeCell ref="V879:Y879"/>
    <mergeCell ref="N880:Q880"/>
    <mergeCell ref="R880:U880"/>
    <mergeCell ref="V880:Y880"/>
    <mergeCell ref="R877:U877"/>
    <mergeCell ref="V877:Y877"/>
    <mergeCell ref="N878:Q878"/>
    <mergeCell ref="R878:U878"/>
    <mergeCell ref="V878:Y878"/>
    <mergeCell ref="E894:M894"/>
    <mergeCell ref="E895:M895"/>
    <mergeCell ref="E896:M896"/>
    <mergeCell ref="N877:Q877"/>
    <mergeCell ref="E877:M877"/>
    <mergeCell ref="N879:Q879"/>
    <mergeCell ref="N881:Q881"/>
    <mergeCell ref="N883:Q883"/>
    <mergeCell ref="N886:Q886"/>
    <mergeCell ref="N890:Q890"/>
    <mergeCell ref="G890:M890"/>
    <mergeCell ref="E891:M891"/>
    <mergeCell ref="E892:M892"/>
    <mergeCell ref="E893:M893"/>
    <mergeCell ref="F878:F890"/>
    <mergeCell ref="G885:M885"/>
    <mergeCell ref="G878:M878"/>
    <mergeCell ref="G879:M879"/>
    <mergeCell ref="G880:M880"/>
    <mergeCell ref="G881:M881"/>
    <mergeCell ref="G882:M882"/>
    <mergeCell ref="G883:M883"/>
    <mergeCell ref="G886:M886"/>
    <mergeCell ref="G889:M889"/>
    <mergeCell ref="G887:M887"/>
    <mergeCell ref="G888:M888"/>
    <mergeCell ref="G884:M884"/>
    <mergeCell ref="AA874:AC874"/>
    <mergeCell ref="H874:J874"/>
    <mergeCell ref="L874:N874"/>
    <mergeCell ref="P874:R874"/>
    <mergeCell ref="X874:Z874"/>
    <mergeCell ref="H868:J868"/>
    <mergeCell ref="L870:N870"/>
    <mergeCell ref="P870:R870"/>
    <mergeCell ref="T870:V870"/>
    <mergeCell ref="W786:Z786"/>
    <mergeCell ref="AA786:AD786"/>
    <mergeCell ref="AA784:AD784"/>
    <mergeCell ref="P785:R785"/>
    <mergeCell ref="S785:V785"/>
    <mergeCell ref="W785:Z785"/>
    <mergeCell ref="AA785:AD785"/>
    <mergeCell ref="D784:O784"/>
    <mergeCell ref="P784:R784"/>
    <mergeCell ref="S784:V784"/>
    <mergeCell ref="W784:Z784"/>
    <mergeCell ref="AA773:AD773"/>
    <mergeCell ref="D774:O774"/>
    <mergeCell ref="P774:R774"/>
    <mergeCell ref="S774:V774"/>
    <mergeCell ref="W774:Z774"/>
    <mergeCell ref="AA774:AD774"/>
    <mergeCell ref="D773:O773"/>
    <mergeCell ref="P773:R773"/>
    <mergeCell ref="S773:V773"/>
    <mergeCell ref="W773:Z773"/>
    <mergeCell ref="P772:R772"/>
    <mergeCell ref="S772:V772"/>
    <mergeCell ref="W772:Z772"/>
    <mergeCell ref="AA772:AD772"/>
    <mergeCell ref="P771:R771"/>
    <mergeCell ref="S771:V771"/>
    <mergeCell ref="W771:Z771"/>
    <mergeCell ref="AA771:AD771"/>
    <mergeCell ref="AA769:AD769"/>
    <mergeCell ref="D770:O770"/>
    <mergeCell ref="P770:R770"/>
    <mergeCell ref="S770:V770"/>
    <mergeCell ref="W770:Z770"/>
    <mergeCell ref="AA770:AD770"/>
    <mergeCell ref="D769:O769"/>
    <mergeCell ref="P769:R769"/>
    <mergeCell ref="S769:V769"/>
    <mergeCell ref="W769:Z769"/>
    <mergeCell ref="P768:R768"/>
    <mergeCell ref="S768:V768"/>
    <mergeCell ref="W768:Z768"/>
    <mergeCell ref="AA768:AD768"/>
    <mergeCell ref="P767:R767"/>
    <mergeCell ref="S767:V767"/>
    <mergeCell ref="W767:Z767"/>
    <mergeCell ref="AA767:AD767"/>
    <mergeCell ref="AA765:AD765"/>
    <mergeCell ref="D766:O766"/>
    <mergeCell ref="P766:R766"/>
    <mergeCell ref="S766:V766"/>
    <mergeCell ref="W766:Z766"/>
    <mergeCell ref="AA766:AD766"/>
    <mergeCell ref="D765:O765"/>
    <mergeCell ref="P765:R765"/>
    <mergeCell ref="S765:V765"/>
    <mergeCell ref="W765:Z765"/>
    <mergeCell ref="P764:R764"/>
    <mergeCell ref="S764:V764"/>
    <mergeCell ref="W764:Z764"/>
    <mergeCell ref="AA764:AD764"/>
    <mergeCell ref="AA762:AD762"/>
    <mergeCell ref="P763:R763"/>
    <mergeCell ref="S763:V763"/>
    <mergeCell ref="W763:Z763"/>
    <mergeCell ref="AA763:AD763"/>
    <mergeCell ref="F762:O763"/>
    <mergeCell ref="P762:R762"/>
    <mergeCell ref="S762:V762"/>
    <mergeCell ref="W762:Z762"/>
    <mergeCell ref="F760:O761"/>
    <mergeCell ref="P760:R760"/>
    <mergeCell ref="S760:V760"/>
    <mergeCell ref="W760:Z760"/>
    <mergeCell ref="AA760:AD760"/>
    <mergeCell ref="P761:R761"/>
    <mergeCell ref="S761:V761"/>
    <mergeCell ref="W761:Z761"/>
    <mergeCell ref="AA761:AD761"/>
    <mergeCell ref="W756:Z756"/>
    <mergeCell ref="P757:R757"/>
    <mergeCell ref="S757:V757"/>
    <mergeCell ref="W757:Z757"/>
    <mergeCell ref="S755:V755"/>
    <mergeCell ref="W755:Z755"/>
    <mergeCell ref="AA755:AD755"/>
    <mergeCell ref="P754:R754"/>
    <mergeCell ref="S754:V754"/>
    <mergeCell ref="W754:Z754"/>
    <mergeCell ref="AA754:AD754"/>
    <mergeCell ref="P753:R753"/>
    <mergeCell ref="S753:V753"/>
    <mergeCell ref="W753:Z753"/>
    <mergeCell ref="AA753:AD753"/>
    <mergeCell ref="P752:R752"/>
    <mergeCell ref="S752:V752"/>
    <mergeCell ref="W752:Z752"/>
    <mergeCell ref="AA752:AD752"/>
    <mergeCell ref="P751:R751"/>
    <mergeCell ref="S751:V751"/>
    <mergeCell ref="W751:Z751"/>
    <mergeCell ref="AA751:AD751"/>
    <mergeCell ref="P750:R750"/>
    <mergeCell ref="S750:V750"/>
    <mergeCell ref="W750:Z750"/>
    <mergeCell ref="AA750:AD750"/>
    <mergeCell ref="P749:R749"/>
    <mergeCell ref="S749:V749"/>
    <mergeCell ref="W749:Z749"/>
    <mergeCell ref="AA749:AD749"/>
    <mergeCell ref="P748:R748"/>
    <mergeCell ref="S748:V748"/>
    <mergeCell ref="W748:Z748"/>
    <mergeCell ref="AA748:AD748"/>
    <mergeCell ref="P747:R747"/>
    <mergeCell ref="S747:V747"/>
    <mergeCell ref="W747:Z747"/>
    <mergeCell ref="AA747:AD747"/>
    <mergeCell ref="P746:R746"/>
    <mergeCell ref="S746:V746"/>
    <mergeCell ref="W746:Z746"/>
    <mergeCell ref="AA746:AD746"/>
    <mergeCell ref="P745:R745"/>
    <mergeCell ref="S745:V745"/>
    <mergeCell ref="W745:Z745"/>
    <mergeCell ref="AA745:AD745"/>
    <mergeCell ref="P744:R744"/>
    <mergeCell ref="S744:V744"/>
    <mergeCell ref="W744:Z744"/>
    <mergeCell ref="AA744:AD744"/>
    <mergeCell ref="W734:Z734"/>
    <mergeCell ref="AA734:AD734"/>
    <mergeCell ref="D743:R743"/>
    <mergeCell ref="S743:V743"/>
    <mergeCell ref="W743:Z743"/>
    <mergeCell ref="AA743:AD743"/>
    <mergeCell ref="P734:R734"/>
    <mergeCell ref="Q735:S735"/>
    <mergeCell ref="S734:V734"/>
    <mergeCell ref="Q738:S738"/>
    <mergeCell ref="S732:V732"/>
    <mergeCell ref="W732:Z732"/>
    <mergeCell ref="AA732:AD732"/>
    <mergeCell ref="S733:V733"/>
    <mergeCell ref="W733:Z733"/>
    <mergeCell ref="AA733:AD733"/>
    <mergeCell ref="AA722:AD722"/>
    <mergeCell ref="S723:V723"/>
    <mergeCell ref="W723:Z723"/>
    <mergeCell ref="AA723:AD723"/>
    <mergeCell ref="AA720:AD720"/>
    <mergeCell ref="S721:V721"/>
    <mergeCell ref="W721:Z721"/>
    <mergeCell ref="AA721:AD721"/>
    <mergeCell ref="S718:V718"/>
    <mergeCell ref="W718:Z718"/>
    <mergeCell ref="AA718:AD718"/>
    <mergeCell ref="S719:V719"/>
    <mergeCell ref="W719:Z719"/>
    <mergeCell ref="AA719:AD719"/>
    <mergeCell ref="S716:V716"/>
    <mergeCell ref="W716:Z716"/>
    <mergeCell ref="AA716:AD716"/>
    <mergeCell ref="S717:V717"/>
    <mergeCell ref="W717:Z717"/>
    <mergeCell ref="AA717:AD717"/>
    <mergeCell ref="S714:V714"/>
    <mergeCell ref="W714:Z714"/>
    <mergeCell ref="AA714:AD714"/>
    <mergeCell ref="S715:V715"/>
    <mergeCell ref="W715:Z715"/>
    <mergeCell ref="AA715:AD715"/>
    <mergeCell ref="S712:V712"/>
    <mergeCell ref="W712:Z712"/>
    <mergeCell ref="AA712:AD712"/>
    <mergeCell ref="S713:V713"/>
    <mergeCell ref="W713:Z713"/>
    <mergeCell ref="AA713:AD713"/>
    <mergeCell ref="S710:V710"/>
    <mergeCell ref="W710:Z710"/>
    <mergeCell ref="AA710:AD710"/>
    <mergeCell ref="S711:V711"/>
    <mergeCell ref="W711:Z711"/>
    <mergeCell ref="AA711:AD711"/>
    <mergeCell ref="S708:V708"/>
    <mergeCell ref="W708:Z708"/>
    <mergeCell ref="AA708:AD708"/>
    <mergeCell ref="S709:V709"/>
    <mergeCell ref="W709:Z709"/>
    <mergeCell ref="AA709:AD709"/>
    <mergeCell ref="W702:Z702"/>
    <mergeCell ref="AA702:AD702"/>
    <mergeCell ref="S703:V703"/>
    <mergeCell ref="W703:Z703"/>
    <mergeCell ref="AA703:AD703"/>
    <mergeCell ref="S700:V700"/>
    <mergeCell ref="W700:Z700"/>
    <mergeCell ref="AA700:AD700"/>
    <mergeCell ref="S701:V701"/>
    <mergeCell ref="W701:Z701"/>
    <mergeCell ref="AA701:AD701"/>
    <mergeCell ref="AA698:AD698"/>
    <mergeCell ref="S699:V699"/>
    <mergeCell ref="W699:Z699"/>
    <mergeCell ref="AA699:AD699"/>
    <mergeCell ref="S698:V698"/>
    <mergeCell ref="W698:Z698"/>
    <mergeCell ref="AA696:AD696"/>
    <mergeCell ref="S697:V697"/>
    <mergeCell ref="W697:Z697"/>
    <mergeCell ref="AA697:AD697"/>
    <mergeCell ref="S696:V696"/>
    <mergeCell ref="W696:Z696"/>
    <mergeCell ref="S695:V695"/>
    <mergeCell ref="W695:Z695"/>
    <mergeCell ref="AA695:AD695"/>
    <mergeCell ref="S694:V694"/>
    <mergeCell ref="W694:Z694"/>
    <mergeCell ref="S693:V693"/>
    <mergeCell ref="W693:Z693"/>
    <mergeCell ref="AA693:AD693"/>
    <mergeCell ref="AA694:AD694"/>
    <mergeCell ref="S691:V691"/>
    <mergeCell ref="W691:Z691"/>
    <mergeCell ref="AA691:AD691"/>
    <mergeCell ref="S692:V692"/>
    <mergeCell ref="W692:Z692"/>
    <mergeCell ref="AA692:AD692"/>
    <mergeCell ref="D718:O718"/>
    <mergeCell ref="D721:O721"/>
    <mergeCell ref="D722:O722"/>
    <mergeCell ref="D732:O732"/>
    <mergeCell ref="D726:O726"/>
    <mergeCell ref="P701:R701"/>
    <mergeCell ref="P702:R702"/>
    <mergeCell ref="P703:R703"/>
    <mergeCell ref="D717:O717"/>
    <mergeCell ref="P713:R713"/>
    <mergeCell ref="P704:R704"/>
    <mergeCell ref="P705:R705"/>
    <mergeCell ref="P708:R708"/>
    <mergeCell ref="P709:R709"/>
    <mergeCell ref="P712:R712"/>
    <mergeCell ref="P722:R722"/>
    <mergeCell ref="P723:R723"/>
    <mergeCell ref="P732:R732"/>
    <mergeCell ref="P714:R714"/>
    <mergeCell ref="P715:R715"/>
    <mergeCell ref="P716:R716"/>
    <mergeCell ref="P717:R717"/>
    <mergeCell ref="P724:R724"/>
    <mergeCell ref="P733:R733"/>
    <mergeCell ref="P718:R718"/>
    <mergeCell ref="P719:R719"/>
    <mergeCell ref="P720:R720"/>
    <mergeCell ref="P721:R721"/>
    <mergeCell ref="P725:R725"/>
    <mergeCell ref="P726:R726"/>
    <mergeCell ref="P727:R727"/>
    <mergeCell ref="P728:R728"/>
    <mergeCell ref="P731:R731"/>
    <mergeCell ref="P710:R710"/>
    <mergeCell ref="P711:R711"/>
    <mergeCell ref="P700:R700"/>
    <mergeCell ref="F698:O699"/>
    <mergeCell ref="F700:O701"/>
    <mergeCell ref="F710:O711"/>
    <mergeCell ref="P698:R698"/>
    <mergeCell ref="P699:R699"/>
    <mergeCell ref="F708:O709"/>
    <mergeCell ref="F702:O703"/>
    <mergeCell ref="Q667:R667"/>
    <mergeCell ref="F696:O697"/>
    <mergeCell ref="P695:R695"/>
    <mergeCell ref="P696:R696"/>
    <mergeCell ref="P697:R697"/>
    <mergeCell ref="K666:K667"/>
    <mergeCell ref="P692:R692"/>
    <mergeCell ref="P693:R693"/>
    <mergeCell ref="D691:R691"/>
    <mergeCell ref="L666:L667"/>
    <mergeCell ref="E638:G638"/>
    <mergeCell ref="H638:K638"/>
    <mergeCell ref="L638:O638"/>
    <mergeCell ref="N667:O667"/>
    <mergeCell ref="L661:N661"/>
    <mergeCell ref="E645:G645"/>
    <mergeCell ref="H645:K645"/>
    <mergeCell ref="L645:O645"/>
    <mergeCell ref="P638:S638"/>
    <mergeCell ref="T636:W636"/>
    <mergeCell ref="E637:G637"/>
    <mergeCell ref="H637:K637"/>
    <mergeCell ref="L637:O637"/>
    <mergeCell ref="P637:S637"/>
    <mergeCell ref="T637:W637"/>
    <mergeCell ref="E636:G636"/>
    <mergeCell ref="H636:K636"/>
    <mergeCell ref="L636:O636"/>
    <mergeCell ref="P636:S636"/>
    <mergeCell ref="T634:W634"/>
    <mergeCell ref="E635:G635"/>
    <mergeCell ref="H635:K635"/>
    <mergeCell ref="L635:O635"/>
    <mergeCell ref="P635:S635"/>
    <mergeCell ref="T635:W635"/>
    <mergeCell ref="E634:G634"/>
    <mergeCell ref="H634:K634"/>
    <mergeCell ref="L634:O634"/>
    <mergeCell ref="P634:S634"/>
    <mergeCell ref="T633:W633"/>
    <mergeCell ref="E632:G632"/>
    <mergeCell ref="H632:K632"/>
    <mergeCell ref="L632:O632"/>
    <mergeCell ref="P632:S632"/>
    <mergeCell ref="E633:G633"/>
    <mergeCell ref="H633:K633"/>
    <mergeCell ref="L633:O633"/>
    <mergeCell ref="P633:S633"/>
    <mergeCell ref="M627:O627"/>
    <mergeCell ref="M628:O628"/>
    <mergeCell ref="M629:O629"/>
    <mergeCell ref="T632:W632"/>
    <mergeCell ref="Q627:S627"/>
    <mergeCell ref="Q628:S628"/>
    <mergeCell ref="Q629:S629"/>
    <mergeCell ref="U627:W627"/>
    <mergeCell ref="U628:W628"/>
    <mergeCell ref="U629:W629"/>
    <mergeCell ref="E631:K631"/>
    <mergeCell ref="L631:O631"/>
    <mergeCell ref="P631:S631"/>
    <mergeCell ref="T631:W631"/>
    <mergeCell ref="T614:W614"/>
    <mergeCell ref="T615:W615"/>
    <mergeCell ref="T616:W616"/>
    <mergeCell ref="E614:G614"/>
    <mergeCell ref="H614:K614"/>
    <mergeCell ref="L614:O614"/>
    <mergeCell ref="P614:S614"/>
    <mergeCell ref="E616:G616"/>
    <mergeCell ref="H616:K616"/>
    <mergeCell ref="L616:O616"/>
    <mergeCell ref="E613:G613"/>
    <mergeCell ref="H613:K613"/>
    <mergeCell ref="L613:O613"/>
    <mergeCell ref="P613:S613"/>
    <mergeCell ref="P616:S616"/>
    <mergeCell ref="E615:G615"/>
    <mergeCell ref="H615:K615"/>
    <mergeCell ref="L615:O615"/>
    <mergeCell ref="P615:S615"/>
    <mergeCell ref="E598:K598"/>
    <mergeCell ref="T611:W611"/>
    <mergeCell ref="J606:L606"/>
    <mergeCell ref="R606:T606"/>
    <mergeCell ref="U606:W606"/>
    <mergeCell ref="K609:M609"/>
    <mergeCell ref="O609:Q609"/>
    <mergeCell ref="S609:U609"/>
    <mergeCell ref="L598:O598"/>
    <mergeCell ref="P598:S598"/>
    <mergeCell ref="E611:K611"/>
    <mergeCell ref="L611:O611"/>
    <mergeCell ref="P611:S611"/>
    <mergeCell ref="F604:H604"/>
    <mergeCell ref="J605:L605"/>
    <mergeCell ref="N605:P605"/>
    <mergeCell ref="R605:T605"/>
    <mergeCell ref="T596:W596"/>
    <mergeCell ref="E612:G612"/>
    <mergeCell ref="H612:K612"/>
    <mergeCell ref="L612:O612"/>
    <mergeCell ref="P612:S612"/>
    <mergeCell ref="T612:W612"/>
    <mergeCell ref="E596:G596"/>
    <mergeCell ref="H596:K596"/>
    <mergeCell ref="L596:O596"/>
    <mergeCell ref="P596:S596"/>
    <mergeCell ref="T594:W594"/>
    <mergeCell ref="E595:G595"/>
    <mergeCell ref="H595:K595"/>
    <mergeCell ref="L595:O595"/>
    <mergeCell ref="P595:S595"/>
    <mergeCell ref="T595:W595"/>
    <mergeCell ref="E594:G594"/>
    <mergeCell ref="H594:K594"/>
    <mergeCell ref="L594:O594"/>
    <mergeCell ref="P594:S594"/>
    <mergeCell ref="U565:X565"/>
    <mergeCell ref="F565:H565"/>
    <mergeCell ref="L587:N587"/>
    <mergeCell ref="P587:R587"/>
    <mergeCell ref="Q565:T565"/>
    <mergeCell ref="U567:X567"/>
    <mergeCell ref="F568:H568"/>
    <mergeCell ref="I568:L568"/>
    <mergeCell ref="M568:P568"/>
    <mergeCell ref="Q568:T568"/>
    <mergeCell ref="E593:K593"/>
    <mergeCell ref="L593:O593"/>
    <mergeCell ref="P593:S593"/>
    <mergeCell ref="T593:W593"/>
    <mergeCell ref="F564:H564"/>
    <mergeCell ref="I564:L564"/>
    <mergeCell ref="I565:L565"/>
    <mergeCell ref="U460:X460"/>
    <mergeCell ref="T475:W475"/>
    <mergeCell ref="T476:W476"/>
    <mergeCell ref="T477:W477"/>
    <mergeCell ref="E475:G475"/>
    <mergeCell ref="E472:G472"/>
    <mergeCell ref="E473:G473"/>
    <mergeCell ref="E425:G425"/>
    <mergeCell ref="H425:K425"/>
    <mergeCell ref="L425:O425"/>
    <mergeCell ref="P425:S425"/>
    <mergeCell ref="E426:G426"/>
    <mergeCell ref="H426:K426"/>
    <mergeCell ref="L426:O426"/>
    <mergeCell ref="P426:S426"/>
    <mergeCell ref="E423:G423"/>
    <mergeCell ref="H423:K423"/>
    <mergeCell ref="L423:O423"/>
    <mergeCell ref="P423:S423"/>
    <mergeCell ref="E424:G424"/>
    <mergeCell ref="H424:K424"/>
    <mergeCell ref="L424:O424"/>
    <mergeCell ref="P424:S424"/>
    <mergeCell ref="E421:G421"/>
    <mergeCell ref="H421:K421"/>
    <mergeCell ref="L421:O421"/>
    <mergeCell ref="P421:S421"/>
    <mergeCell ref="E422:G422"/>
    <mergeCell ref="H422:K422"/>
    <mergeCell ref="L422:O422"/>
    <mergeCell ref="P422:S422"/>
    <mergeCell ref="E419:G419"/>
    <mergeCell ref="H419:K419"/>
    <mergeCell ref="L419:O419"/>
    <mergeCell ref="P419:S419"/>
    <mergeCell ref="E420:G420"/>
    <mergeCell ref="H420:K420"/>
    <mergeCell ref="L420:O420"/>
    <mergeCell ref="P420:S420"/>
    <mergeCell ref="Y398:AA398"/>
    <mergeCell ref="AF398:AH398"/>
    <mergeCell ref="AA405:AC405"/>
    <mergeCell ref="W405:Y405"/>
    <mergeCell ref="AF402:AG402"/>
    <mergeCell ref="E417:G417"/>
    <mergeCell ref="H417:K417"/>
    <mergeCell ref="L417:O417"/>
    <mergeCell ref="AE405:AG405"/>
    <mergeCell ref="AA408:AD408"/>
    <mergeCell ref="Q408:T408"/>
    <mergeCell ref="T466:W466"/>
    <mergeCell ref="V411:X411"/>
    <mergeCell ref="P416:S416"/>
    <mergeCell ref="T423:W423"/>
    <mergeCell ref="T424:W424"/>
    <mergeCell ref="T425:W425"/>
    <mergeCell ref="T426:W426"/>
    <mergeCell ref="P427:S427"/>
    <mergeCell ref="W340:Y340"/>
    <mergeCell ref="W341:Y341"/>
    <mergeCell ref="N340:P340"/>
    <mergeCell ref="N341:P341"/>
    <mergeCell ref="T341:V341"/>
    <mergeCell ref="T340:V340"/>
    <mergeCell ref="E471:G471"/>
    <mergeCell ref="D204:S205"/>
    <mergeCell ref="D219:S220"/>
    <mergeCell ref="Q409:S409"/>
    <mergeCell ref="H336:J336"/>
    <mergeCell ref="H337:J337"/>
    <mergeCell ref="H471:K471"/>
    <mergeCell ref="N338:P338"/>
    <mergeCell ref="E427:G427"/>
    <mergeCell ref="E466:K466"/>
    <mergeCell ref="Q336:S336"/>
    <mergeCell ref="Q337:S337"/>
    <mergeCell ref="Q338:S338"/>
    <mergeCell ref="Q339:S339"/>
    <mergeCell ref="H343:J343"/>
    <mergeCell ref="K343:M343"/>
    <mergeCell ref="H344:J344"/>
    <mergeCell ref="H450:J450"/>
    <mergeCell ref="H427:K427"/>
    <mergeCell ref="L427:O427"/>
    <mergeCell ref="H378:L378"/>
    <mergeCell ref="H379:L379"/>
    <mergeCell ref="H380:L380"/>
    <mergeCell ref="H381:L381"/>
    <mergeCell ref="H472:K472"/>
    <mergeCell ref="T471:W471"/>
    <mergeCell ref="T472:W472"/>
    <mergeCell ref="P466:S466"/>
    <mergeCell ref="P467:S467"/>
    <mergeCell ref="T470:W470"/>
    <mergeCell ref="T469:W469"/>
    <mergeCell ref="AJ398:AL398"/>
    <mergeCell ref="V408:Y408"/>
    <mergeCell ref="AI408:AM408"/>
    <mergeCell ref="H469:K469"/>
    <mergeCell ref="E415:K415"/>
    <mergeCell ref="L415:O415"/>
    <mergeCell ref="P415:S415"/>
    <mergeCell ref="E467:G467"/>
    <mergeCell ref="H467:K467"/>
    <mergeCell ref="Z460:AC460"/>
    <mergeCell ref="U564:X564"/>
    <mergeCell ref="V514:X514"/>
    <mergeCell ref="T511:V511"/>
    <mergeCell ref="X511:Z511"/>
    <mergeCell ref="U537:X537"/>
    <mergeCell ref="U538:X538"/>
    <mergeCell ref="U539:X539"/>
    <mergeCell ref="U540:X540"/>
    <mergeCell ref="U541:X541"/>
    <mergeCell ref="U542:X542"/>
    <mergeCell ref="M565:P565"/>
    <mergeCell ref="L469:O469"/>
    <mergeCell ref="L470:O470"/>
    <mergeCell ref="L471:O471"/>
    <mergeCell ref="P475:S475"/>
    <mergeCell ref="L515:N515"/>
    <mergeCell ref="L519:M519"/>
    <mergeCell ref="M564:P564"/>
    <mergeCell ref="Q564:T564"/>
    <mergeCell ref="P519:R519"/>
    <mergeCell ref="E476:G476"/>
    <mergeCell ref="L472:O472"/>
    <mergeCell ref="L473:O473"/>
    <mergeCell ref="L474:O474"/>
    <mergeCell ref="L475:O475"/>
    <mergeCell ref="L476:O476"/>
    <mergeCell ref="H476:K476"/>
    <mergeCell ref="H474:K474"/>
    <mergeCell ref="E474:G474"/>
    <mergeCell ref="H475:K475"/>
    <mergeCell ref="AB509:AD509"/>
    <mergeCell ref="W506:X506"/>
    <mergeCell ref="W507:X507"/>
    <mergeCell ref="J500:L500"/>
    <mergeCell ref="N500:O500"/>
    <mergeCell ref="Q500:S500"/>
    <mergeCell ref="Q561:T561"/>
    <mergeCell ref="U561:X561"/>
    <mergeCell ref="E477:G477"/>
    <mergeCell ref="U509:W509"/>
    <mergeCell ref="H477:K477"/>
    <mergeCell ref="L477:O477"/>
    <mergeCell ref="T481:W481"/>
    <mergeCell ref="E480:G480"/>
    <mergeCell ref="H480:K480"/>
    <mergeCell ref="L480:O480"/>
    <mergeCell ref="AK519:AM519"/>
    <mergeCell ref="I500:I501"/>
    <mergeCell ref="J502:L502"/>
    <mergeCell ref="AD519:AF519"/>
    <mergeCell ref="AC514:AF514"/>
    <mergeCell ref="T519:U519"/>
    <mergeCell ref="W519:Y519"/>
    <mergeCell ref="AA500:AB500"/>
    <mergeCell ref="AI509:AK509"/>
    <mergeCell ref="T517:V517"/>
    <mergeCell ref="AH519:AI519"/>
    <mergeCell ref="P472:S472"/>
    <mergeCell ref="AA519:AB519"/>
    <mergeCell ref="P476:S476"/>
    <mergeCell ref="P477:S477"/>
    <mergeCell ref="T474:W474"/>
    <mergeCell ref="P517:R517"/>
    <mergeCell ref="X517:Z517"/>
    <mergeCell ref="P514:R514"/>
    <mergeCell ref="AG514:AJ514"/>
    <mergeCell ref="AB511:AD511"/>
    <mergeCell ref="P501:R501"/>
    <mergeCell ref="L514:N514"/>
    <mergeCell ref="H473:K473"/>
    <mergeCell ref="T473:W473"/>
    <mergeCell ref="P474:S474"/>
    <mergeCell ref="E479:K479"/>
    <mergeCell ref="L479:O479"/>
    <mergeCell ref="P479:S479"/>
    <mergeCell ref="T479:W479"/>
    <mergeCell ref="E470:G470"/>
    <mergeCell ref="H470:K470"/>
    <mergeCell ref="P468:S468"/>
    <mergeCell ref="E468:G468"/>
    <mergeCell ref="H468:K468"/>
    <mergeCell ref="P469:S469"/>
    <mergeCell ref="P470:S470"/>
    <mergeCell ref="L468:O468"/>
    <mergeCell ref="E469:G469"/>
    <mergeCell ref="W339:Y339"/>
    <mergeCell ref="O453:Q453"/>
    <mergeCell ref="V453:X453"/>
    <mergeCell ref="Q344:S344"/>
    <mergeCell ref="Q340:S340"/>
    <mergeCell ref="Q341:S341"/>
    <mergeCell ref="Q342:S342"/>
    <mergeCell ref="W358:Z358"/>
    <mergeCell ref="V450:X450"/>
    <mergeCell ref="U451:W451"/>
    <mergeCell ref="Z411:AB411"/>
    <mergeCell ref="T420:W420"/>
    <mergeCell ref="T421:W421"/>
    <mergeCell ref="T422:W422"/>
    <mergeCell ref="U559:X559"/>
    <mergeCell ref="F561:H561"/>
    <mergeCell ref="I560:L560"/>
    <mergeCell ref="M560:P560"/>
    <mergeCell ref="Q560:T560"/>
    <mergeCell ref="U560:X560"/>
    <mergeCell ref="F560:H560"/>
    <mergeCell ref="F559:H559"/>
    <mergeCell ref="I561:L561"/>
    <mergeCell ref="M561:P561"/>
    <mergeCell ref="N342:P342"/>
    <mergeCell ref="N343:P343"/>
    <mergeCell ref="M559:P559"/>
    <mergeCell ref="Q559:T559"/>
    <mergeCell ref="P398:R398"/>
    <mergeCell ref="T398:V398"/>
    <mergeCell ref="T427:W427"/>
    <mergeCell ref="R379:V379"/>
    <mergeCell ref="M382:Q382"/>
    <mergeCell ref="M383:Q383"/>
    <mergeCell ref="AC330:AF330"/>
    <mergeCell ref="E380:G380"/>
    <mergeCell ref="E381:G381"/>
    <mergeCell ref="E382:G382"/>
    <mergeCell ref="M378:Q378"/>
    <mergeCell ref="R378:V378"/>
    <mergeCell ref="W342:Y342"/>
    <mergeCell ref="W343:Y343"/>
    <mergeCell ref="W344:Y344"/>
    <mergeCell ref="Z336:AB336"/>
    <mergeCell ref="AC326:AF326"/>
    <mergeCell ref="AC328:AF328"/>
    <mergeCell ref="AC329:AF329"/>
    <mergeCell ref="AC327:AF327"/>
    <mergeCell ref="V51:X51"/>
    <mergeCell ref="Y51:AA51"/>
    <mergeCell ref="AB51:AD51"/>
    <mergeCell ref="AE51:AH51"/>
    <mergeCell ref="V52:X52"/>
    <mergeCell ref="Y52:AA52"/>
    <mergeCell ref="AB52:AD52"/>
    <mergeCell ref="AE52:AH52"/>
    <mergeCell ref="F52:H52"/>
    <mergeCell ref="I52:M52"/>
    <mergeCell ref="N52:R52"/>
    <mergeCell ref="F53:H53"/>
    <mergeCell ref="I53:M53"/>
    <mergeCell ref="N53:R53"/>
    <mergeCell ref="S88:V88"/>
    <mergeCell ref="X88:AA88"/>
    <mergeCell ref="AB88:AD88"/>
    <mergeCell ref="G88:I88"/>
    <mergeCell ref="J88:M88"/>
    <mergeCell ref="N88:O88"/>
    <mergeCell ref="P88:R88"/>
    <mergeCell ref="S86:V86"/>
    <mergeCell ref="X86:AA86"/>
    <mergeCell ref="AB86:AD86"/>
    <mergeCell ref="G87:I87"/>
    <mergeCell ref="J87:M87"/>
    <mergeCell ref="N87:O87"/>
    <mergeCell ref="P87:R87"/>
    <mergeCell ref="S87:V87"/>
    <mergeCell ref="X87:AA87"/>
    <mergeCell ref="AB87:AD87"/>
    <mergeCell ref="G86:I86"/>
    <mergeCell ref="J86:M86"/>
    <mergeCell ref="N86:O86"/>
    <mergeCell ref="P86:R86"/>
    <mergeCell ref="X84:AA84"/>
    <mergeCell ref="AB84:AD84"/>
    <mergeCell ref="G85:I85"/>
    <mergeCell ref="J85:M85"/>
    <mergeCell ref="N85:O85"/>
    <mergeCell ref="P85:R85"/>
    <mergeCell ref="S85:V85"/>
    <mergeCell ref="X85:AA85"/>
    <mergeCell ref="AB85:AD85"/>
    <mergeCell ref="G84:I84"/>
    <mergeCell ref="J84:M84"/>
    <mergeCell ref="N84:O84"/>
    <mergeCell ref="P84:R84"/>
    <mergeCell ref="AB82:AD82"/>
    <mergeCell ref="S83:V83"/>
    <mergeCell ref="X83:AA83"/>
    <mergeCell ref="AB83:AD83"/>
    <mergeCell ref="S82:V82"/>
    <mergeCell ref="X82:AA82"/>
    <mergeCell ref="S84:V84"/>
    <mergeCell ref="G83:I83"/>
    <mergeCell ref="J83:M83"/>
    <mergeCell ref="N83:O83"/>
    <mergeCell ref="P83:R83"/>
    <mergeCell ref="S80:V80"/>
    <mergeCell ref="X80:AA80"/>
    <mergeCell ref="G82:I82"/>
    <mergeCell ref="J82:M82"/>
    <mergeCell ref="N82:O82"/>
    <mergeCell ref="P82:R82"/>
    <mergeCell ref="J78:M78"/>
    <mergeCell ref="G78:I78"/>
    <mergeCell ref="AB80:AD80"/>
    <mergeCell ref="G81:I81"/>
    <mergeCell ref="J81:M81"/>
    <mergeCell ref="N81:O81"/>
    <mergeCell ref="P81:R81"/>
    <mergeCell ref="S81:V81"/>
    <mergeCell ref="X81:AA81"/>
    <mergeCell ref="AB81:AD81"/>
    <mergeCell ref="V113:X113"/>
    <mergeCell ref="AE127:AH127"/>
    <mergeCell ref="AB78:AD78"/>
    <mergeCell ref="G79:I79"/>
    <mergeCell ref="J79:M79"/>
    <mergeCell ref="N79:O79"/>
    <mergeCell ref="P79:R79"/>
    <mergeCell ref="S79:V79"/>
    <mergeCell ref="X79:AA79"/>
    <mergeCell ref="AB79:AD79"/>
    <mergeCell ref="AH113:AJ113"/>
    <mergeCell ref="AE140:AH140"/>
    <mergeCell ref="AI140:AN140"/>
    <mergeCell ref="AE126:AH126"/>
    <mergeCell ref="AI126:AN126"/>
    <mergeCell ref="G80:I80"/>
    <mergeCell ref="J80:M80"/>
    <mergeCell ref="N80:O80"/>
    <mergeCell ref="P80:R80"/>
    <mergeCell ref="M146:P146"/>
    <mergeCell ref="Q113:R113"/>
    <mergeCell ref="Q146:S146"/>
    <mergeCell ref="G77:I77"/>
    <mergeCell ref="J77:M77"/>
    <mergeCell ref="N77:O77"/>
    <mergeCell ref="P77:R77"/>
    <mergeCell ref="S77:V77"/>
    <mergeCell ref="S113:U113"/>
    <mergeCell ref="L113:O113"/>
    <mergeCell ref="X77:AA77"/>
    <mergeCell ref="AB77:AD77"/>
    <mergeCell ref="M145:P145"/>
    <mergeCell ref="Q145:S145"/>
    <mergeCell ref="N78:O78"/>
    <mergeCell ref="P78:R78"/>
    <mergeCell ref="S78:V78"/>
    <mergeCell ref="X78:AA78"/>
    <mergeCell ref="AD113:AG113"/>
    <mergeCell ref="M140:AD140"/>
    <mergeCell ref="V49:X49"/>
    <mergeCell ref="Y49:AA49"/>
    <mergeCell ref="AB49:AD49"/>
    <mergeCell ref="AE49:AH49"/>
    <mergeCell ref="V50:X50"/>
    <mergeCell ref="Y50:AA50"/>
    <mergeCell ref="AB50:AD50"/>
    <mergeCell ref="AE50:AH50"/>
    <mergeCell ref="V47:X47"/>
    <mergeCell ref="Y47:AA47"/>
    <mergeCell ref="AB47:AD47"/>
    <mergeCell ref="AE47:AH47"/>
    <mergeCell ref="V48:X48"/>
    <mergeCell ref="Y48:AA48"/>
    <mergeCell ref="AB48:AD48"/>
    <mergeCell ref="AE48:AH48"/>
    <mergeCell ref="V45:X45"/>
    <mergeCell ref="Y45:AA45"/>
    <mergeCell ref="AB45:AD45"/>
    <mergeCell ref="AE45:AH45"/>
    <mergeCell ref="V46:X46"/>
    <mergeCell ref="Y46:AA46"/>
    <mergeCell ref="AB46:AD46"/>
    <mergeCell ref="AE46:AH46"/>
    <mergeCell ref="V44:X44"/>
    <mergeCell ref="Y44:AA44"/>
    <mergeCell ref="AB44:AD44"/>
    <mergeCell ref="AE44:AH44"/>
    <mergeCell ref="AE40:AH40"/>
    <mergeCell ref="AE41:AH41"/>
    <mergeCell ref="AE43:AH43"/>
    <mergeCell ref="V41:X41"/>
    <mergeCell ref="Y41:AA41"/>
    <mergeCell ref="AB41:AD41"/>
    <mergeCell ref="AE42:AH42"/>
    <mergeCell ref="V43:X43"/>
    <mergeCell ref="Y43:AA43"/>
    <mergeCell ref="AB43:AD43"/>
    <mergeCell ref="AB39:AD39"/>
    <mergeCell ref="AB38:AD38"/>
    <mergeCell ref="V37:X37"/>
    <mergeCell ref="AE37:AH37"/>
    <mergeCell ref="AE38:AH38"/>
    <mergeCell ref="AE39:AH39"/>
    <mergeCell ref="F51:H51"/>
    <mergeCell ref="I51:M51"/>
    <mergeCell ref="N51:R51"/>
    <mergeCell ref="Y37:AD37"/>
    <mergeCell ref="V40:X40"/>
    <mergeCell ref="Y40:AA40"/>
    <mergeCell ref="AB40:AD40"/>
    <mergeCell ref="V42:X42"/>
    <mergeCell ref="Y42:AA42"/>
    <mergeCell ref="AB42:AD42"/>
    <mergeCell ref="F49:H49"/>
    <mergeCell ref="I49:M49"/>
    <mergeCell ref="N49:R49"/>
    <mergeCell ref="F50:H50"/>
    <mergeCell ref="I50:M50"/>
    <mergeCell ref="N50:R50"/>
    <mergeCell ref="F47:H47"/>
    <mergeCell ref="I47:M47"/>
    <mergeCell ref="N47:R47"/>
    <mergeCell ref="F48:H48"/>
    <mergeCell ref="I48:M48"/>
    <mergeCell ref="N48:R48"/>
    <mergeCell ref="F45:H45"/>
    <mergeCell ref="I45:M45"/>
    <mergeCell ref="N45:R45"/>
    <mergeCell ref="F46:H46"/>
    <mergeCell ref="I46:M46"/>
    <mergeCell ref="N46:R46"/>
    <mergeCell ref="F43:H43"/>
    <mergeCell ref="I43:M43"/>
    <mergeCell ref="N43:R43"/>
    <mergeCell ref="F44:H44"/>
    <mergeCell ref="I44:M44"/>
    <mergeCell ref="N44:R44"/>
    <mergeCell ref="F41:H41"/>
    <mergeCell ref="I41:M41"/>
    <mergeCell ref="N41:R41"/>
    <mergeCell ref="F42:H42"/>
    <mergeCell ref="I42:M42"/>
    <mergeCell ref="N42:R42"/>
    <mergeCell ref="N39:R39"/>
    <mergeCell ref="Y38:AA38"/>
    <mergeCell ref="V38:X38"/>
    <mergeCell ref="F40:H40"/>
    <mergeCell ref="I40:M40"/>
    <mergeCell ref="N40:R40"/>
    <mergeCell ref="F39:H39"/>
    <mergeCell ref="I39:M39"/>
    <mergeCell ref="V39:X39"/>
    <mergeCell ref="Y39:AA39"/>
    <mergeCell ref="F37:H37"/>
    <mergeCell ref="F38:H38"/>
    <mergeCell ref="I38:M38"/>
    <mergeCell ref="N38:R38"/>
    <mergeCell ref="I37:R37"/>
    <mergeCell ref="K673:M673"/>
    <mergeCell ref="P673:R673"/>
    <mergeCell ref="P694:R694"/>
    <mergeCell ref="F694:O695"/>
    <mergeCell ref="F692:O693"/>
    <mergeCell ref="H685:I685"/>
    <mergeCell ref="K676:M676"/>
    <mergeCell ref="P676:Q676"/>
    <mergeCell ref="F704:O705"/>
    <mergeCell ref="D713:O713"/>
    <mergeCell ref="D714:O714"/>
    <mergeCell ref="D744:E763"/>
    <mergeCell ref="F744:O745"/>
    <mergeCell ref="F746:O747"/>
    <mergeCell ref="F748:O749"/>
    <mergeCell ref="F750:O751"/>
    <mergeCell ref="F752:O753"/>
    <mergeCell ref="F754:O755"/>
    <mergeCell ref="E878:E890"/>
    <mergeCell ref="G200:J200"/>
    <mergeCell ref="M317:O317"/>
    <mergeCell ref="P316:S316"/>
    <mergeCell ref="J279:M279"/>
    <mergeCell ref="J272:M272"/>
    <mergeCell ref="J273:M273"/>
    <mergeCell ref="J274:M274"/>
    <mergeCell ref="J275:M275"/>
    <mergeCell ref="D275:I277"/>
    <mergeCell ref="G190:J190"/>
    <mergeCell ref="N278:Q278"/>
    <mergeCell ref="R278:U278"/>
    <mergeCell ref="V278:Y278"/>
    <mergeCell ref="N277:Q277"/>
    <mergeCell ref="R277:U277"/>
    <mergeCell ref="V277:Y277"/>
    <mergeCell ref="N272:Q272"/>
    <mergeCell ref="R272:U272"/>
    <mergeCell ref="T216:W216"/>
    <mergeCell ref="AH261:AL261"/>
    <mergeCell ref="AH248:AL248"/>
    <mergeCell ref="AH263:AL263"/>
    <mergeCell ref="V274:Y274"/>
    <mergeCell ref="AC255:AC256"/>
    <mergeCell ref="AL255:AM255"/>
    <mergeCell ref="V272:Y272"/>
    <mergeCell ref="AI259:AK259"/>
    <mergeCell ref="AE255:AF255"/>
    <mergeCell ref="AH255:AI255"/>
    <mergeCell ref="AB206:AE206"/>
    <mergeCell ref="T207:W207"/>
    <mergeCell ref="X207:AA207"/>
    <mergeCell ref="X206:AA206"/>
    <mergeCell ref="AB207:AE207"/>
    <mergeCell ref="T206:W206"/>
    <mergeCell ref="AB204:AE204"/>
    <mergeCell ref="T205:W205"/>
    <mergeCell ref="X205:AA205"/>
    <mergeCell ref="AB205:AE205"/>
    <mergeCell ref="T204:W204"/>
    <mergeCell ref="X204:AA204"/>
    <mergeCell ref="AB208:AE208"/>
    <mergeCell ref="T209:W209"/>
    <mergeCell ref="X209:AA209"/>
    <mergeCell ref="AB209:AE209"/>
    <mergeCell ref="T208:W208"/>
    <mergeCell ref="X208:AA208"/>
    <mergeCell ref="AB210:AE210"/>
    <mergeCell ref="T211:W211"/>
    <mergeCell ref="X211:AA211"/>
    <mergeCell ref="AB211:AE211"/>
    <mergeCell ref="T210:W210"/>
    <mergeCell ref="X210:AA210"/>
    <mergeCell ref="X212:AA212"/>
    <mergeCell ref="AB212:AE212"/>
    <mergeCell ref="T212:W212"/>
    <mergeCell ref="D777:O777"/>
    <mergeCell ref="P776:R776"/>
    <mergeCell ref="S776:V776"/>
    <mergeCell ref="W776:Z776"/>
    <mergeCell ref="AA776:AD776"/>
    <mergeCell ref="P777:R777"/>
    <mergeCell ref="S777:V777"/>
    <mergeCell ref="D778:O778"/>
    <mergeCell ref="D781:O781"/>
    <mergeCell ref="D782:O782"/>
    <mergeCell ref="W777:Z777"/>
    <mergeCell ref="P778:R778"/>
    <mergeCell ref="S778:V778"/>
    <mergeCell ref="W778:Z778"/>
    <mergeCell ref="P779:R779"/>
    <mergeCell ref="S779:V779"/>
    <mergeCell ref="W779:Z779"/>
    <mergeCell ref="T219:W219"/>
    <mergeCell ref="X219:AA219"/>
    <mergeCell ref="AB219:AE219"/>
    <mergeCell ref="AA777:AD777"/>
    <mergeCell ref="T228:W228"/>
    <mergeCell ref="X228:AA228"/>
    <mergeCell ref="AB228:AE228"/>
    <mergeCell ref="T229:W229"/>
    <mergeCell ref="X229:AA229"/>
    <mergeCell ref="AB229:AE229"/>
    <mergeCell ref="T220:W220"/>
    <mergeCell ref="X220:AA220"/>
    <mergeCell ref="AB220:AE220"/>
    <mergeCell ref="T221:W221"/>
    <mergeCell ref="X221:AA221"/>
    <mergeCell ref="AB221:AE221"/>
    <mergeCell ref="T222:W222"/>
    <mergeCell ref="X222:AA222"/>
    <mergeCell ref="AB222:AE222"/>
    <mergeCell ref="T223:W223"/>
    <mergeCell ref="X223:AA223"/>
    <mergeCell ref="AB223:AE223"/>
    <mergeCell ref="T224:W224"/>
    <mergeCell ref="X224:AA224"/>
    <mergeCell ref="AB224:AE224"/>
    <mergeCell ref="T225:W225"/>
    <mergeCell ref="X225:AA225"/>
    <mergeCell ref="AB225:AE225"/>
    <mergeCell ref="T226:W226"/>
    <mergeCell ref="X226:AA226"/>
    <mergeCell ref="AB226:AE226"/>
    <mergeCell ref="T227:W227"/>
    <mergeCell ref="X227:AA227"/>
    <mergeCell ref="AB227:AE227"/>
    <mergeCell ref="AA778:AD778"/>
    <mergeCell ref="AA779:AD779"/>
    <mergeCell ref="P780:R780"/>
    <mergeCell ref="S780:V780"/>
    <mergeCell ref="W780:Z780"/>
    <mergeCell ref="AA780:AD780"/>
    <mergeCell ref="P781:R781"/>
    <mergeCell ref="S781:V781"/>
    <mergeCell ref="W781:Z781"/>
    <mergeCell ref="AA781:AD781"/>
    <mergeCell ref="J283:M283"/>
    <mergeCell ref="AH246:AL246"/>
    <mergeCell ref="AC244:AD244"/>
    <mergeCell ref="AI244:AK244"/>
    <mergeCell ref="N276:Q276"/>
    <mergeCell ref="R276:U276"/>
    <mergeCell ref="V276:Y276"/>
    <mergeCell ref="N275:Q275"/>
    <mergeCell ref="R275:U275"/>
    <mergeCell ref="V275:Y275"/>
    <mergeCell ref="J276:M276"/>
    <mergeCell ref="J277:M277"/>
    <mergeCell ref="J278:M278"/>
    <mergeCell ref="D271:M271"/>
    <mergeCell ref="D278:I280"/>
    <mergeCell ref="J280:M280"/>
    <mergeCell ref="R273:U273"/>
    <mergeCell ref="V273:Y273"/>
    <mergeCell ref="D272:I274"/>
    <mergeCell ref="N271:Q271"/>
    <mergeCell ref="R271:U271"/>
    <mergeCell ref="V271:Y271"/>
    <mergeCell ref="N274:Q274"/>
    <mergeCell ref="R274:U274"/>
    <mergeCell ref="N273:Q273"/>
    <mergeCell ref="N279:Q279"/>
    <mergeCell ref="R279:U279"/>
    <mergeCell ref="V279:Y279"/>
    <mergeCell ref="N280:Q280"/>
    <mergeCell ref="R280:U280"/>
    <mergeCell ref="V280:Y280"/>
    <mergeCell ref="N281:Q281"/>
    <mergeCell ref="R281:U281"/>
    <mergeCell ref="V281:Y281"/>
    <mergeCell ref="N282:Q282"/>
    <mergeCell ref="R282:U282"/>
    <mergeCell ref="V282:Y282"/>
    <mergeCell ref="N283:Q283"/>
    <mergeCell ref="R283:U283"/>
    <mergeCell ref="V283:Y283"/>
    <mergeCell ref="D285:M285"/>
    <mergeCell ref="N285:Q285"/>
    <mergeCell ref="R285:U285"/>
    <mergeCell ref="V285:Y285"/>
    <mergeCell ref="D281:I283"/>
    <mergeCell ref="J281:M281"/>
    <mergeCell ref="J282:M282"/>
    <mergeCell ref="D286:I288"/>
    <mergeCell ref="J286:M286"/>
    <mergeCell ref="N286:Q286"/>
    <mergeCell ref="R286:U286"/>
    <mergeCell ref="J288:M288"/>
    <mergeCell ref="N288:Q288"/>
    <mergeCell ref="R288:U288"/>
    <mergeCell ref="V286:Y286"/>
    <mergeCell ref="J287:M287"/>
    <mergeCell ref="N287:Q287"/>
    <mergeCell ref="R287:U287"/>
    <mergeCell ref="V287:Y287"/>
    <mergeCell ref="V288:Y288"/>
    <mergeCell ref="D289:I291"/>
    <mergeCell ref="J289:M289"/>
    <mergeCell ref="N289:Q289"/>
    <mergeCell ref="R289:U289"/>
    <mergeCell ref="V289:Y289"/>
    <mergeCell ref="J290:M290"/>
    <mergeCell ref="N290:Q290"/>
    <mergeCell ref="R290:U290"/>
    <mergeCell ref="V290:Y290"/>
    <mergeCell ref="J291:M291"/>
    <mergeCell ref="N291:Q291"/>
    <mergeCell ref="R291:U291"/>
    <mergeCell ref="V291:Y291"/>
    <mergeCell ref="D292:I294"/>
    <mergeCell ref="J292:M292"/>
    <mergeCell ref="N292:Q292"/>
    <mergeCell ref="R292:U292"/>
    <mergeCell ref="J294:M294"/>
    <mergeCell ref="N294:Q294"/>
    <mergeCell ref="R294:U294"/>
    <mergeCell ref="V296:Y296"/>
    <mergeCell ref="V292:Y292"/>
    <mergeCell ref="J293:M293"/>
    <mergeCell ref="N293:Q293"/>
    <mergeCell ref="R293:U293"/>
    <mergeCell ref="V293:Y293"/>
    <mergeCell ref="D295:I297"/>
    <mergeCell ref="J295:M295"/>
    <mergeCell ref="N295:Q295"/>
    <mergeCell ref="R295:U295"/>
    <mergeCell ref="J296:M296"/>
    <mergeCell ref="N296:Q296"/>
    <mergeCell ref="R296:U296"/>
    <mergeCell ref="J297:M297"/>
    <mergeCell ref="N297:Q297"/>
    <mergeCell ref="R297:U297"/>
    <mergeCell ref="V297:Y297"/>
    <mergeCell ref="E384:G384"/>
    <mergeCell ref="E385:G385"/>
    <mergeCell ref="M379:Q379"/>
    <mergeCell ref="H385:L385"/>
    <mergeCell ref="H382:L382"/>
    <mergeCell ref="H383:L383"/>
    <mergeCell ref="H384:L384"/>
    <mergeCell ref="M380:Q380"/>
    <mergeCell ref="M381:Q381"/>
    <mergeCell ref="M384:Q384"/>
    <mergeCell ref="K338:M338"/>
    <mergeCell ref="K339:M339"/>
    <mergeCell ref="W336:Y336"/>
    <mergeCell ref="E383:G383"/>
    <mergeCell ref="T342:V342"/>
    <mergeCell ref="T343:V343"/>
    <mergeCell ref="T344:V344"/>
    <mergeCell ref="K344:M344"/>
    <mergeCell ref="Q343:S343"/>
    <mergeCell ref="N344:P344"/>
    <mergeCell ref="K322:N322"/>
    <mergeCell ref="Q335:S335"/>
    <mergeCell ref="K335:M335"/>
    <mergeCell ref="N335:P335"/>
    <mergeCell ref="AC344:AE344"/>
    <mergeCell ref="Z343:AB343"/>
    <mergeCell ref="Z344:AB344"/>
    <mergeCell ref="AC339:AE339"/>
    <mergeCell ref="AC340:AE340"/>
    <mergeCell ref="AC341:AE341"/>
    <mergeCell ref="AC342:AE342"/>
    <mergeCell ref="Z339:AB339"/>
    <mergeCell ref="Z340:AB340"/>
    <mergeCell ref="Z341:AB341"/>
    <mergeCell ref="AC338:AE338"/>
    <mergeCell ref="AF336:AJ336"/>
    <mergeCell ref="D725:O725"/>
    <mergeCell ref="S725:V725"/>
    <mergeCell ref="W725:Z725"/>
    <mergeCell ref="AA725:AD725"/>
    <mergeCell ref="M387:Q387"/>
    <mergeCell ref="M388:Q388"/>
    <mergeCell ref="R388:V388"/>
    <mergeCell ref="AC343:AE343"/>
    <mergeCell ref="S726:V726"/>
    <mergeCell ref="W726:Z726"/>
    <mergeCell ref="AA726:AD726"/>
    <mergeCell ref="S727:V727"/>
    <mergeCell ref="W727:Z727"/>
    <mergeCell ref="AA727:AD727"/>
    <mergeCell ref="S728:V728"/>
    <mergeCell ref="W728:Z728"/>
    <mergeCell ref="AA728:AD728"/>
    <mergeCell ref="AD411:AF411"/>
    <mergeCell ref="T417:W417"/>
    <mergeCell ref="T418:W418"/>
    <mergeCell ref="T419:W419"/>
    <mergeCell ref="Q526:T526"/>
    <mergeCell ref="U526:X526"/>
    <mergeCell ref="U528:X528"/>
    <mergeCell ref="O450:Q450"/>
    <mergeCell ref="H451:J451"/>
    <mergeCell ref="H453:J453"/>
    <mergeCell ref="H454:J454"/>
    <mergeCell ref="W501:X501"/>
    <mergeCell ref="U454:W454"/>
    <mergeCell ref="L466:O466"/>
    <mergeCell ref="L467:O467"/>
    <mergeCell ref="T467:W467"/>
    <mergeCell ref="T468:W468"/>
    <mergeCell ref="P473:S473"/>
    <mergeCell ref="P471:S471"/>
    <mergeCell ref="T480:W480"/>
    <mergeCell ref="P480:S480"/>
    <mergeCell ref="G254:H254"/>
    <mergeCell ref="K254:L254"/>
    <mergeCell ref="I255:K255"/>
    <mergeCell ref="L520:N520"/>
    <mergeCell ref="E416:G416"/>
    <mergeCell ref="H416:K416"/>
    <mergeCell ref="L416:O416"/>
    <mergeCell ref="E418:G418"/>
    <mergeCell ref="H418:K418"/>
    <mergeCell ref="L418:O418"/>
    <mergeCell ref="M398:N398"/>
    <mergeCell ref="H448:J448"/>
    <mergeCell ref="U448:W448"/>
    <mergeCell ref="T415:W415"/>
    <mergeCell ref="T416:W416"/>
    <mergeCell ref="H447:J447"/>
    <mergeCell ref="O447:Q447"/>
    <mergeCell ref="V447:X447"/>
    <mergeCell ref="P418:S418"/>
    <mergeCell ref="P417:S417"/>
    <mergeCell ref="F527:H527"/>
    <mergeCell ref="M527:P527"/>
    <mergeCell ref="Q527:T527"/>
    <mergeCell ref="F528:H528"/>
    <mergeCell ref="I528:L528"/>
    <mergeCell ref="M528:P528"/>
    <mergeCell ref="Q528:T528"/>
    <mergeCell ref="F529:H529"/>
    <mergeCell ref="I529:L529"/>
    <mergeCell ref="M529:P529"/>
    <mergeCell ref="Q529:T529"/>
    <mergeCell ref="U531:X531"/>
    <mergeCell ref="Q531:T531"/>
    <mergeCell ref="M532:P532"/>
    <mergeCell ref="F530:H530"/>
    <mergeCell ref="I530:L530"/>
    <mergeCell ref="M530:P530"/>
    <mergeCell ref="Q530:T530"/>
    <mergeCell ref="U533:X533"/>
    <mergeCell ref="I534:L534"/>
    <mergeCell ref="M534:P534"/>
    <mergeCell ref="Q534:T534"/>
    <mergeCell ref="U534:X534"/>
    <mergeCell ref="I533:L533"/>
    <mergeCell ref="M533:P533"/>
    <mergeCell ref="Q533:T533"/>
    <mergeCell ref="AC240:AC241"/>
    <mergeCell ref="AL240:AM240"/>
    <mergeCell ref="AG241:AI241"/>
    <mergeCell ref="AE240:AF240"/>
    <mergeCell ref="AH240:AI240"/>
    <mergeCell ref="I559:L559"/>
    <mergeCell ref="G239:H239"/>
    <mergeCell ref="K239:L239"/>
    <mergeCell ref="I240:K240"/>
    <mergeCell ref="F533:H533"/>
    <mergeCell ref="F532:H532"/>
    <mergeCell ref="I527:L527"/>
    <mergeCell ref="F526:L526"/>
    <mergeCell ref="I532:L532"/>
    <mergeCell ref="F531:H531"/>
    <mergeCell ref="AH555:AJ555"/>
    <mergeCell ref="AL555:AN555"/>
    <mergeCell ref="F558:H558"/>
    <mergeCell ref="I558:L558"/>
    <mergeCell ref="M558:P558"/>
    <mergeCell ref="Q558:T558"/>
    <mergeCell ref="U558:X558"/>
    <mergeCell ref="AA555:AC555"/>
    <mergeCell ref="AE555:AF555"/>
    <mergeCell ref="F557:L557"/>
    <mergeCell ref="M557:P557"/>
    <mergeCell ref="Q557:T557"/>
    <mergeCell ref="U557:X557"/>
    <mergeCell ref="F534:H534"/>
    <mergeCell ref="P555:Q555"/>
    <mergeCell ref="T555:V555"/>
    <mergeCell ref="X555:Y555"/>
    <mergeCell ref="M555:N555"/>
    <mergeCell ref="I553:K553"/>
    <mergeCell ref="M553:P553"/>
    <mergeCell ref="R553:U553"/>
    <mergeCell ref="AG256:AI256"/>
    <mergeCell ref="U258:W258"/>
    <mergeCell ref="Y259:Z259"/>
    <mergeCell ref="AC259:AD259"/>
    <mergeCell ref="Q532:T532"/>
    <mergeCell ref="U532:X532"/>
    <mergeCell ref="U529:X529"/>
    <mergeCell ref="U530:X530"/>
    <mergeCell ref="U527:X527"/>
    <mergeCell ref="I551:K551"/>
    <mergeCell ref="M551:O551"/>
    <mergeCell ref="Q551:T551"/>
    <mergeCell ref="AJ400:AL400"/>
    <mergeCell ref="X403:Y403"/>
    <mergeCell ref="AA403:AB403"/>
    <mergeCell ref="AD403:AF403"/>
    <mergeCell ref="L517:N517"/>
    <mergeCell ref="I531:L531"/>
    <mergeCell ref="M531:P531"/>
    <mergeCell ref="U562:X562"/>
    <mergeCell ref="I562:L562"/>
    <mergeCell ref="F562:H562"/>
    <mergeCell ref="M562:P562"/>
    <mergeCell ref="Q562:T562"/>
    <mergeCell ref="U568:X568"/>
    <mergeCell ref="F567:H567"/>
    <mergeCell ref="I567:L567"/>
    <mergeCell ref="M567:P567"/>
    <mergeCell ref="Q567:T567"/>
    <mergeCell ref="U945:X945"/>
    <mergeCell ref="Y945:AB945"/>
    <mergeCell ref="Q936:S936"/>
    <mergeCell ref="S942:U942"/>
    <mergeCell ref="V942:X942"/>
    <mergeCell ref="Q945:T945"/>
    <mergeCell ref="E947:I947"/>
    <mergeCell ref="E946:L946"/>
    <mergeCell ref="J947:L947"/>
    <mergeCell ref="J948:L948"/>
    <mergeCell ref="M946:P946"/>
    <mergeCell ref="Q946:T946"/>
    <mergeCell ref="U946:X946"/>
    <mergeCell ref="Y946:AB946"/>
    <mergeCell ref="Q947:T947"/>
    <mergeCell ref="U947:X947"/>
    <mergeCell ref="Y947:AB947"/>
    <mergeCell ref="Q948:T948"/>
    <mergeCell ref="U948:X948"/>
    <mergeCell ref="Y948:AB948"/>
    <mergeCell ref="Q949:T949"/>
    <mergeCell ref="U949:X949"/>
    <mergeCell ref="Y949:AB949"/>
    <mergeCell ref="U953:X953"/>
    <mergeCell ref="Y953:AB953"/>
    <mergeCell ref="Q951:T951"/>
    <mergeCell ref="U951:X951"/>
    <mergeCell ref="Y951:AB951"/>
    <mergeCell ref="Q952:T952"/>
    <mergeCell ref="U952:X952"/>
    <mergeCell ref="Y952:AB952"/>
    <mergeCell ref="P997:P998"/>
    <mergeCell ref="L1009:M1009"/>
    <mergeCell ref="E1011:H1011"/>
    <mergeCell ref="E954:I954"/>
    <mergeCell ref="J954:L954"/>
    <mergeCell ref="M954:P954"/>
    <mergeCell ref="U954:X954"/>
    <mergeCell ref="J955:L955"/>
    <mergeCell ref="M955:P955"/>
    <mergeCell ref="H1019:J1019"/>
    <mergeCell ref="L1015:L1016"/>
    <mergeCell ref="J1013:L1013"/>
    <mergeCell ref="H1018:J1018"/>
    <mergeCell ref="L1018:N1018"/>
    <mergeCell ref="M1016:P1016"/>
    <mergeCell ref="N1015:O1015"/>
    <mergeCell ref="H1021:J1021"/>
    <mergeCell ref="L1021:N1021"/>
    <mergeCell ref="Q1021:S1021"/>
    <mergeCell ref="U1021:W1021"/>
    <mergeCell ref="AG1029:AI1029"/>
    <mergeCell ref="R1015:AC1016"/>
    <mergeCell ref="Z1021:AB1021"/>
    <mergeCell ref="AD1021:AF1021"/>
    <mergeCell ref="AF1019:AH1019"/>
    <mergeCell ref="Q1018:S1018"/>
    <mergeCell ref="U1018:W1018"/>
    <mergeCell ref="H1028:J1028"/>
    <mergeCell ref="H1029:J1029"/>
    <mergeCell ref="Y1030:AA1030"/>
    <mergeCell ref="N1022:P1022"/>
    <mergeCell ref="H1022:J1022"/>
    <mergeCell ref="H1037:J1037"/>
    <mergeCell ref="M1037:O1037"/>
    <mergeCell ref="Q1037:S1037"/>
    <mergeCell ref="E1040:H1040"/>
    <mergeCell ref="H1038:J1038"/>
    <mergeCell ref="O1038:Q1038"/>
    <mergeCell ref="J1041:L1041"/>
    <mergeCell ref="J1042:L1042"/>
    <mergeCell ref="H1044:J1044"/>
    <mergeCell ref="BJ1038:BM1038"/>
    <mergeCell ref="BM1039:BP1039"/>
    <mergeCell ref="BD1039:BG1039"/>
    <mergeCell ref="AX1039:BB1039"/>
    <mergeCell ref="AW1040:BA1040"/>
    <mergeCell ref="V1038:Y1038"/>
    <mergeCell ref="BE1042:BG1042"/>
    <mergeCell ref="O1222:T1222"/>
    <mergeCell ref="O1221:T1221"/>
    <mergeCell ref="BD1040:BH1040"/>
    <mergeCell ref="AU1037:AX1037"/>
    <mergeCell ref="BB1037:BE1037"/>
    <mergeCell ref="AV1038:AY1038"/>
    <mergeCell ref="BA1038:BD1038"/>
    <mergeCell ref="AT1042:AV1042"/>
    <mergeCell ref="M1116:O1116"/>
    <mergeCell ref="X1116:Z1116"/>
    <mergeCell ref="D1218:I1218"/>
    <mergeCell ref="H1192:J1192"/>
    <mergeCell ref="AE654:AO656"/>
    <mergeCell ref="D652:H652"/>
    <mergeCell ref="AE657:AO657"/>
    <mergeCell ref="O682:Q682"/>
    <mergeCell ref="K672:M672"/>
    <mergeCell ref="P672:R672"/>
    <mergeCell ref="V672:X672"/>
    <mergeCell ref="AA841:AC841"/>
    <mergeCell ref="U1210:Z1210"/>
    <mergeCell ref="J1196:K1196"/>
    <mergeCell ref="H1197:J1197"/>
    <mergeCell ref="T654:AD656"/>
    <mergeCell ref="D653:H656"/>
    <mergeCell ref="T657:AD657"/>
    <mergeCell ref="U686:V686"/>
    <mergeCell ref="Z686:AB686"/>
    <mergeCell ref="H671:I671"/>
    <mergeCell ref="S687:T687"/>
    <mergeCell ref="U1215:Z1215"/>
    <mergeCell ref="O1216:T1216"/>
    <mergeCell ref="U1216:Z1216"/>
    <mergeCell ref="U1211:Z1211"/>
    <mergeCell ref="O1213:T1213"/>
    <mergeCell ref="O1214:T1214"/>
    <mergeCell ref="U1214:Z1214"/>
    <mergeCell ref="O1211:T1211"/>
    <mergeCell ref="O1212:T1212"/>
    <mergeCell ref="U1212:Z1212"/>
    <mergeCell ref="U1218:Z1218"/>
    <mergeCell ref="O1219:T1219"/>
    <mergeCell ref="U1219:Z1219"/>
    <mergeCell ref="O1220:T1220"/>
    <mergeCell ref="U1220:Z1220"/>
    <mergeCell ref="O1218:T1218"/>
    <mergeCell ref="O1223:T1223"/>
    <mergeCell ref="U1223:Z1223"/>
    <mergeCell ref="O1224:T1224"/>
    <mergeCell ref="U1224:Z1224"/>
    <mergeCell ref="J1191:K1191"/>
    <mergeCell ref="D657:H657"/>
    <mergeCell ref="I657:S657"/>
    <mergeCell ref="H664:I665"/>
    <mergeCell ref="K664:K665"/>
    <mergeCell ref="L664:L665"/>
    <mergeCell ref="M664:M665"/>
    <mergeCell ref="K686:L686"/>
    <mergeCell ref="O686:P686"/>
    <mergeCell ref="K682:M682"/>
    <mergeCell ref="J1223:N1223"/>
    <mergeCell ref="J1224:N1224"/>
    <mergeCell ref="D1223:I1223"/>
    <mergeCell ref="D1224:I1224"/>
    <mergeCell ref="J1225:N1225"/>
    <mergeCell ref="J1226:N1226"/>
    <mergeCell ref="D1225:I1225"/>
    <mergeCell ref="D1226:I1226"/>
    <mergeCell ref="O1225:T1225"/>
    <mergeCell ref="U1225:Z1225"/>
    <mergeCell ref="O1226:T1226"/>
    <mergeCell ref="U1226:Z1226"/>
    <mergeCell ref="O1227:T1227"/>
    <mergeCell ref="U1227:Z1227"/>
    <mergeCell ref="J1227:N1227"/>
    <mergeCell ref="D1227:I1227"/>
    <mergeCell ref="O1228:T1228"/>
    <mergeCell ref="U1228:Z1228"/>
    <mergeCell ref="J1228:N1228"/>
    <mergeCell ref="D1228:I1228"/>
    <mergeCell ref="O1229:T1229"/>
    <mergeCell ref="U1229:Z1229"/>
    <mergeCell ref="J1229:N1229"/>
    <mergeCell ref="D1229:I1229"/>
    <mergeCell ref="O1230:T1230"/>
    <mergeCell ref="U1230:Z1230"/>
    <mergeCell ref="J1230:N1230"/>
    <mergeCell ref="D1230:I1230"/>
    <mergeCell ref="U1221:Z1221"/>
    <mergeCell ref="U1213:Z1213"/>
    <mergeCell ref="J1222:N1222"/>
    <mergeCell ref="D1217:N1217"/>
    <mergeCell ref="J1218:N1218"/>
    <mergeCell ref="J1219:N1219"/>
    <mergeCell ref="J1220:N1220"/>
    <mergeCell ref="D1221:N1221"/>
    <mergeCell ref="D1222:I1222"/>
    <mergeCell ref="U1222:Z1222"/>
    <mergeCell ref="D1219:I1219"/>
    <mergeCell ref="D1220:I1220"/>
    <mergeCell ref="J1213:N1213"/>
    <mergeCell ref="J1214:N1214"/>
    <mergeCell ref="J1215:N1215"/>
    <mergeCell ref="J1216:N1216"/>
    <mergeCell ref="D1213:I1213"/>
    <mergeCell ref="D1214:I1214"/>
    <mergeCell ref="D1215:I1215"/>
    <mergeCell ref="D1216:I1216"/>
    <mergeCell ref="D1210:N1210"/>
    <mergeCell ref="D1211:N1211"/>
    <mergeCell ref="D1212:N1212"/>
    <mergeCell ref="O1217:T1217"/>
    <mergeCell ref="O1210:T1210"/>
    <mergeCell ref="O1215:T1215"/>
    <mergeCell ref="U1217:Z1217"/>
    <mergeCell ref="X1189:Z1189"/>
    <mergeCell ref="AD1189:AF1189"/>
    <mergeCell ref="I652:S652"/>
    <mergeCell ref="T652:AD652"/>
    <mergeCell ref="AE652:AO652"/>
    <mergeCell ref="I653:S653"/>
    <mergeCell ref="T653:AD653"/>
    <mergeCell ref="AE653:AO653"/>
    <mergeCell ref="I654:S656"/>
    <mergeCell ref="N845:Q845"/>
    <mergeCell ref="N846:Q846"/>
    <mergeCell ref="N849:Q849"/>
    <mergeCell ref="N847:Q847"/>
    <mergeCell ref="N848:Q848"/>
    <mergeCell ref="N850:Q850"/>
    <mergeCell ref="N851:Q851"/>
    <mergeCell ref="D852:Q852"/>
    <mergeCell ref="D848:M848"/>
    <mergeCell ref="D850:M850"/>
    <mergeCell ref="D851:M851"/>
    <mergeCell ref="D845:M845"/>
    <mergeCell ref="D846:M846"/>
    <mergeCell ref="D849:M849"/>
    <mergeCell ref="D847:M847"/>
    <mergeCell ref="D844:Q844"/>
    <mergeCell ref="R844:U844"/>
    <mergeCell ref="V844:Y844"/>
    <mergeCell ref="Z844:AC844"/>
    <mergeCell ref="R845:U845"/>
    <mergeCell ref="V845:Y845"/>
    <mergeCell ref="Z845:AC845"/>
    <mergeCell ref="R846:U846"/>
    <mergeCell ref="V846:Y846"/>
    <mergeCell ref="Z846:AC846"/>
    <mergeCell ref="R847:U847"/>
    <mergeCell ref="V847:Y847"/>
    <mergeCell ref="Z847:AC847"/>
    <mergeCell ref="R848:U848"/>
    <mergeCell ref="V848:Y848"/>
    <mergeCell ref="Z848:AC848"/>
    <mergeCell ref="R849:U849"/>
    <mergeCell ref="V849:Y849"/>
    <mergeCell ref="Z849:AC849"/>
    <mergeCell ref="R850:U850"/>
    <mergeCell ref="V850:Y850"/>
    <mergeCell ref="Z850:AC850"/>
    <mergeCell ref="R851:U851"/>
    <mergeCell ref="V851:Y851"/>
    <mergeCell ref="Z851:AC851"/>
    <mergeCell ref="R852:U852"/>
    <mergeCell ref="V852:Y852"/>
    <mergeCell ref="Z852:AC852"/>
    <mergeCell ref="D854:Q854"/>
    <mergeCell ref="R854:U854"/>
    <mergeCell ref="V854:Y854"/>
    <mergeCell ref="Z854:AC854"/>
    <mergeCell ref="D855:M855"/>
    <mergeCell ref="N855:Q855"/>
    <mergeCell ref="R855:U855"/>
    <mergeCell ref="V855:Y855"/>
    <mergeCell ref="D856:M856"/>
    <mergeCell ref="N856:Q856"/>
    <mergeCell ref="R856:U856"/>
    <mergeCell ref="V856:Y856"/>
    <mergeCell ref="D857:M857"/>
    <mergeCell ref="N857:Q857"/>
    <mergeCell ref="R857:U857"/>
    <mergeCell ref="V857:Y857"/>
    <mergeCell ref="D858:M858"/>
    <mergeCell ref="N858:Q858"/>
    <mergeCell ref="R858:U858"/>
    <mergeCell ref="V858:Y858"/>
    <mergeCell ref="N860:Q860"/>
    <mergeCell ref="R860:U860"/>
    <mergeCell ref="V860:Y860"/>
    <mergeCell ref="D859:M859"/>
    <mergeCell ref="N859:Q859"/>
    <mergeCell ref="R859:U859"/>
    <mergeCell ref="V859:Y859"/>
    <mergeCell ref="Z856:AC856"/>
    <mergeCell ref="D862:Q862"/>
    <mergeCell ref="R862:U862"/>
    <mergeCell ref="V862:Y862"/>
    <mergeCell ref="Z862:AC862"/>
    <mergeCell ref="D861:M861"/>
    <mergeCell ref="N861:Q861"/>
    <mergeCell ref="R861:U861"/>
    <mergeCell ref="V861:Y861"/>
    <mergeCell ref="D860:M860"/>
    <mergeCell ref="AI37:AO37"/>
    <mergeCell ref="AI38:AO38"/>
    <mergeCell ref="AI39:AO39"/>
    <mergeCell ref="AI40:AO40"/>
    <mergeCell ref="AI41:AO41"/>
    <mergeCell ref="AI42:AO42"/>
    <mergeCell ref="AI43:AO43"/>
    <mergeCell ref="AI44:AO44"/>
    <mergeCell ref="AI45:AO45"/>
    <mergeCell ref="AI46:AO46"/>
    <mergeCell ref="AI47:AO47"/>
    <mergeCell ref="AI48:AO48"/>
    <mergeCell ref="AI49:AO49"/>
    <mergeCell ref="AI50:AO50"/>
    <mergeCell ref="AI51:AO51"/>
    <mergeCell ref="AI52:AO52"/>
    <mergeCell ref="V129:W129"/>
    <mergeCell ref="AA129:AC129"/>
    <mergeCell ref="H140:L140"/>
    <mergeCell ref="H142:L142"/>
    <mergeCell ref="H141:L141"/>
    <mergeCell ref="H128:L128"/>
    <mergeCell ref="H127:L127"/>
    <mergeCell ref="M126:AD126"/>
    <mergeCell ref="H126:L126"/>
    <mergeCell ref="AA127:AD127"/>
    <mergeCell ref="AA141:AD141"/>
    <mergeCell ref="AE141:AH141"/>
    <mergeCell ref="V143:W143"/>
    <mergeCell ref="AA143:AC143"/>
    <mergeCell ref="AC145:AD145"/>
    <mergeCell ref="AH145:AJ145"/>
    <mergeCell ref="AC146:AD146"/>
    <mergeCell ref="AH146:AJ146"/>
    <mergeCell ref="Q151:S151"/>
    <mergeCell ref="U151:W151"/>
    <mergeCell ref="Q156:S156"/>
    <mergeCell ref="U156:W156"/>
    <mergeCell ref="P160:R160"/>
    <mergeCell ref="M161:O161"/>
    <mergeCell ref="Q161:S161"/>
    <mergeCell ref="U161:W161"/>
    <mergeCell ref="M162:O162"/>
    <mergeCell ref="P167:R167"/>
    <mergeCell ref="M168:O168"/>
    <mergeCell ref="Q168:S168"/>
    <mergeCell ref="U168:W168"/>
    <mergeCell ref="M169:O169"/>
    <mergeCell ref="M175:O175"/>
    <mergeCell ref="S175:U175"/>
    <mergeCell ref="W175:Y175"/>
    <mergeCell ref="M180:O180"/>
    <mergeCell ref="S180:U180"/>
    <mergeCell ref="W180:Y180"/>
    <mergeCell ref="Y186:AA186"/>
    <mergeCell ref="X185:Z185"/>
    <mergeCell ref="Y191:AA191"/>
    <mergeCell ref="Y196:AA196"/>
    <mergeCell ref="W359:X359"/>
    <mergeCell ref="W360:X360"/>
    <mergeCell ref="U243:W243"/>
    <mergeCell ref="Y244:Z244"/>
    <mergeCell ref="Z342:AB342"/>
    <mergeCell ref="T339:V339"/>
    <mergeCell ref="V294:Y294"/>
    <mergeCell ref="V295:Y295"/>
    <mergeCell ref="AH589:AI589"/>
    <mergeCell ref="Y822:Z822"/>
    <mergeCell ref="Q1005:R1005"/>
    <mergeCell ref="X1006:Z1006"/>
    <mergeCell ref="Z861:AC861"/>
    <mergeCell ref="Z859:AC859"/>
    <mergeCell ref="Z860:AC860"/>
    <mergeCell ref="Z857:AC857"/>
    <mergeCell ref="Z858:AC858"/>
    <mergeCell ref="Z855:AC855"/>
  </mergeCells>
  <printOptions/>
  <pageMargins left="0.75" right="0.75" top="1" bottom="1" header="0.5" footer="0.5"/>
  <pageSetup horizontalDpi="300" verticalDpi="300" orientation="portrait" paperSize="9" r:id="rId3"/>
  <rowBreaks count="24" manualBreakCount="24">
    <brk id="65" max="41" man="1"/>
    <brk id="99" max="41" man="1"/>
    <brk id="183" max="41" man="1"/>
    <brk id="201" max="41" man="1"/>
    <brk id="233" max="41" man="1"/>
    <brk id="267" max="41" man="1"/>
    <brk id="298" max="41" man="1"/>
    <brk id="331" max="41" man="1"/>
    <brk id="361" max="41" man="1"/>
    <brk id="395" max="41" man="1"/>
    <brk id="524" max="41" man="1"/>
    <brk id="555" max="41" man="1"/>
    <brk id="688" max="41" man="1"/>
    <brk id="896" max="41" man="1"/>
    <brk id="918" max="41" man="1"/>
    <brk id="943" max="41" man="1"/>
    <brk id="968" max="41" man="1"/>
    <brk id="992" max="41" man="1"/>
    <brk id="1023" max="41" man="1"/>
    <brk id="1052" max="41" man="1"/>
    <brk id="1080" max="41" man="1"/>
    <brk id="1109" max="41" man="1"/>
    <brk id="1134" max="41" man="1"/>
    <brk id="1169" max="41" man="1"/>
  </rowBreaks>
  <drawing r:id="rId2"/>
  <legacyDrawing r:id="rId1"/>
</worksheet>
</file>

<file path=xl/worksheets/sheet4.xml><?xml version="1.0" encoding="utf-8"?>
<worksheet xmlns="http://schemas.openxmlformats.org/spreadsheetml/2006/main" xmlns:r="http://schemas.openxmlformats.org/officeDocument/2006/relationships">
  <sheetPr codeName="Sheet11"/>
  <dimension ref="A1:CK1261"/>
  <sheetViews>
    <sheetView showGridLines="0" tabSelected="1" zoomScaleSheetLayoutView="100" workbookViewId="0" topLeftCell="A157">
      <selection activeCell="AC160" sqref="AC160"/>
    </sheetView>
  </sheetViews>
  <sheetFormatPr defaultColWidth="8.88671875" defaultRowHeight="19.5" customHeight="1"/>
  <cols>
    <col min="1" max="33" width="1.77734375" style="27" customWidth="1"/>
    <col min="34" max="42" width="1.77734375" style="29" customWidth="1"/>
    <col min="43" max="76" width="1.77734375" style="27" customWidth="1"/>
    <col min="77" max="16384" width="1.77734375" style="20" customWidth="1"/>
  </cols>
  <sheetData>
    <row r="1" spans="1:56" ht="19.5" customHeight="1">
      <c r="A1" s="202" t="s">
        <v>865</v>
      </c>
      <c r="B1" s="4"/>
      <c r="C1" s="4"/>
      <c r="D1" s="4"/>
      <c r="E1" s="4"/>
      <c r="F1" s="4"/>
      <c r="G1" s="4"/>
      <c r="H1" s="4"/>
      <c r="I1" s="4"/>
      <c r="J1" s="4"/>
      <c r="K1" s="4"/>
      <c r="L1" s="4"/>
      <c r="AX1" s="29"/>
      <c r="AY1" s="29"/>
      <c r="AZ1" s="29"/>
      <c r="BA1" s="29"/>
      <c r="BB1" s="29"/>
      <c r="BC1" s="29"/>
      <c r="BD1" s="29"/>
    </row>
    <row r="2" spans="1:56" ht="19.5" customHeight="1">
      <c r="A2" s="4"/>
      <c r="B2" s="341" t="s">
        <v>866</v>
      </c>
      <c r="C2" s="4"/>
      <c r="D2" s="4"/>
      <c r="E2" s="4"/>
      <c r="F2" s="4"/>
      <c r="G2" s="4"/>
      <c r="H2" s="4"/>
      <c r="I2" s="4"/>
      <c r="J2" s="4"/>
      <c r="K2" s="4"/>
      <c r="L2" s="4"/>
      <c r="AR2" s="36"/>
      <c r="AX2" s="29"/>
      <c r="AY2" s="29"/>
      <c r="AZ2" s="29"/>
      <c r="BA2" s="29"/>
      <c r="BB2" s="29"/>
      <c r="BC2" s="29"/>
      <c r="BD2" s="29"/>
    </row>
    <row r="3" spans="1:56" ht="19.5" customHeight="1">
      <c r="A3" s="4"/>
      <c r="B3" s="4"/>
      <c r="C3" s="4"/>
      <c r="D3" s="4"/>
      <c r="F3" s="4"/>
      <c r="G3" s="4"/>
      <c r="H3" s="4"/>
      <c r="I3" s="4"/>
      <c r="J3" s="4"/>
      <c r="K3" s="4"/>
      <c r="L3" s="4"/>
      <c r="AR3" s="36"/>
      <c r="AX3" s="29"/>
      <c r="AY3" s="29"/>
      <c r="AZ3" s="29"/>
      <c r="BA3" s="29"/>
      <c r="BB3" s="29"/>
      <c r="BC3" s="29"/>
      <c r="BD3" s="29"/>
    </row>
    <row r="4" spans="1:56" ht="19.5" customHeight="1">
      <c r="A4" s="4"/>
      <c r="B4" s="4"/>
      <c r="C4" s="4"/>
      <c r="D4" s="4"/>
      <c r="E4" s="4"/>
      <c r="F4" s="4"/>
      <c r="G4" s="4"/>
      <c r="H4" s="4"/>
      <c r="I4" s="4"/>
      <c r="J4" s="4"/>
      <c r="K4" s="4"/>
      <c r="L4" s="4"/>
      <c r="AR4" s="36"/>
      <c r="AX4" s="29"/>
      <c r="AY4" s="29"/>
      <c r="AZ4" s="29"/>
      <c r="BA4" s="29"/>
      <c r="BB4" s="29"/>
      <c r="BC4" s="29"/>
      <c r="BD4" s="29"/>
    </row>
    <row r="5" spans="1:56" ht="19.5" customHeight="1">
      <c r="A5" s="4"/>
      <c r="B5" s="4"/>
      <c r="C5" s="4"/>
      <c r="D5" s="4"/>
      <c r="E5" s="4"/>
      <c r="F5" s="4"/>
      <c r="G5" s="4"/>
      <c r="H5" s="4"/>
      <c r="I5" s="4"/>
      <c r="J5" s="4"/>
      <c r="K5" s="4"/>
      <c r="L5" s="4"/>
      <c r="AX5" s="29"/>
      <c r="AY5" s="29"/>
      <c r="AZ5" s="29"/>
      <c r="BA5" s="29"/>
      <c r="BB5" s="29"/>
      <c r="BC5" s="29"/>
      <c r="BD5" s="29"/>
    </row>
    <row r="6" spans="1:56" ht="19.5" customHeight="1">
      <c r="A6" s="4"/>
      <c r="B6" s="4"/>
      <c r="C6" s="4"/>
      <c r="D6" s="4"/>
      <c r="E6" s="4"/>
      <c r="F6" s="4"/>
      <c r="G6" s="4"/>
      <c r="H6" s="4"/>
      <c r="I6" s="4"/>
      <c r="J6" s="4"/>
      <c r="K6" s="4"/>
      <c r="L6" s="4"/>
      <c r="AX6" s="29"/>
      <c r="AY6" s="29"/>
      <c r="AZ6" s="29"/>
      <c r="BA6" s="29"/>
      <c r="BB6" s="29"/>
      <c r="BC6" s="29"/>
      <c r="BD6" s="29"/>
    </row>
    <row r="7" spans="1:56" ht="19.5" customHeight="1">
      <c r="A7" s="4"/>
      <c r="B7" s="4"/>
      <c r="C7" s="4"/>
      <c r="D7" s="4"/>
      <c r="E7" s="4"/>
      <c r="F7" s="4"/>
      <c r="G7" s="4"/>
      <c r="H7" s="4"/>
      <c r="I7" s="4"/>
      <c r="J7" s="4"/>
      <c r="K7" s="4"/>
      <c r="L7" s="4"/>
      <c r="AX7" s="29"/>
      <c r="AY7" s="29"/>
      <c r="AZ7" s="29"/>
      <c r="BA7" s="29"/>
      <c r="BB7" s="29"/>
      <c r="BC7" s="29"/>
      <c r="BD7" s="29"/>
    </row>
    <row r="8" spans="1:56" ht="19.5" customHeight="1">
      <c r="A8" s="4"/>
      <c r="B8" s="4"/>
      <c r="C8" s="4"/>
      <c r="D8" s="4"/>
      <c r="E8" s="4"/>
      <c r="F8" s="4"/>
      <c r="G8" s="4"/>
      <c r="H8" s="4"/>
      <c r="I8" s="4"/>
      <c r="J8" s="4"/>
      <c r="K8" s="4"/>
      <c r="L8" s="4"/>
      <c r="AX8" s="29"/>
      <c r="AY8" s="29"/>
      <c r="AZ8" s="29"/>
      <c r="BA8" s="29"/>
      <c r="BB8" s="29"/>
      <c r="BC8" s="29"/>
      <c r="BD8" s="29"/>
    </row>
    <row r="9" spans="1:56" ht="19.5" customHeight="1">
      <c r="A9" s="4"/>
      <c r="B9" s="4"/>
      <c r="C9" s="4"/>
      <c r="D9" s="4"/>
      <c r="E9" s="4"/>
      <c r="F9" s="4"/>
      <c r="G9" s="4"/>
      <c r="H9" s="4"/>
      <c r="I9" s="4"/>
      <c r="J9" s="4"/>
      <c r="K9" s="4"/>
      <c r="L9" s="4"/>
      <c r="AX9" s="29"/>
      <c r="AY9" s="29"/>
      <c r="AZ9" s="29"/>
      <c r="BA9" s="29"/>
      <c r="BB9" s="29"/>
      <c r="BC9" s="29"/>
      <c r="BD9" s="29"/>
    </row>
    <row r="10" spans="1:56" ht="19.5" customHeight="1">
      <c r="A10" s="4"/>
      <c r="B10" s="4"/>
      <c r="C10" s="4"/>
      <c r="D10" s="4"/>
      <c r="E10" s="4"/>
      <c r="F10" s="4"/>
      <c r="G10" s="4"/>
      <c r="H10" s="4"/>
      <c r="I10" s="4"/>
      <c r="J10" s="4"/>
      <c r="K10" s="4"/>
      <c r="L10" s="4"/>
      <c r="AX10" s="29"/>
      <c r="AY10" s="29"/>
      <c r="AZ10" s="29"/>
      <c r="BA10" s="29"/>
      <c r="BB10" s="29"/>
      <c r="BC10" s="29"/>
      <c r="BD10" s="29"/>
    </row>
    <row r="11" spans="1:56" ht="19.5" customHeight="1">
      <c r="A11" s="4"/>
      <c r="B11" s="4"/>
      <c r="C11" s="4"/>
      <c r="D11" s="4"/>
      <c r="E11" s="4"/>
      <c r="F11" s="4"/>
      <c r="G11" s="4"/>
      <c r="H11" s="4"/>
      <c r="I11" s="4"/>
      <c r="J11" s="4"/>
      <c r="K11" s="4"/>
      <c r="L11" s="4"/>
      <c r="AX11" s="29"/>
      <c r="AY11" s="29"/>
      <c r="AZ11" s="29"/>
      <c r="BA11" s="29"/>
      <c r="BB11" s="29"/>
      <c r="BC11" s="29"/>
      <c r="BD11" s="29"/>
    </row>
    <row r="12" spans="1:56" ht="19.5" customHeight="1">
      <c r="A12" s="4"/>
      <c r="B12" s="4"/>
      <c r="C12" s="4"/>
      <c r="D12" s="4"/>
      <c r="E12" s="4"/>
      <c r="F12" s="4"/>
      <c r="G12" s="4"/>
      <c r="H12" s="4"/>
      <c r="I12" s="4"/>
      <c r="J12" s="4"/>
      <c r="K12" s="4"/>
      <c r="L12" s="4"/>
      <c r="AX12" s="29"/>
      <c r="AY12" s="29"/>
      <c r="AZ12" s="29"/>
      <c r="BA12" s="29"/>
      <c r="BB12" s="29"/>
      <c r="BC12" s="29"/>
      <c r="BD12" s="29"/>
    </row>
    <row r="13" spans="1:56" ht="19.5" customHeight="1">
      <c r="A13" s="4"/>
      <c r="B13" s="4"/>
      <c r="C13" s="4"/>
      <c r="D13" s="4"/>
      <c r="E13" s="4"/>
      <c r="F13" s="4"/>
      <c r="G13" s="4"/>
      <c r="H13" s="4"/>
      <c r="I13" s="4"/>
      <c r="J13" s="4"/>
      <c r="K13" s="4"/>
      <c r="L13" s="4"/>
      <c r="AX13" s="29"/>
      <c r="AY13" s="29"/>
      <c r="AZ13" s="29"/>
      <c r="BA13" s="29"/>
      <c r="BB13" s="29"/>
      <c r="BC13" s="29"/>
      <c r="BD13" s="29"/>
    </row>
    <row r="14" spans="1:56" ht="19.5" customHeight="1">
      <c r="A14" s="4"/>
      <c r="B14" s="4"/>
      <c r="C14" s="4"/>
      <c r="D14" s="4"/>
      <c r="E14" s="4"/>
      <c r="F14" s="4"/>
      <c r="G14" s="4"/>
      <c r="H14" s="4"/>
      <c r="I14" s="4"/>
      <c r="J14" s="4"/>
      <c r="K14" s="4"/>
      <c r="L14" s="4"/>
      <c r="AX14" s="29"/>
      <c r="AY14" s="29"/>
      <c r="AZ14" s="29"/>
      <c r="BA14" s="29"/>
      <c r="BB14" s="29"/>
      <c r="BC14" s="29"/>
      <c r="BD14" s="29"/>
    </row>
    <row r="15" spans="1:56" ht="19.5" customHeight="1">
      <c r="A15" s="4"/>
      <c r="B15" s="4"/>
      <c r="C15" s="4"/>
      <c r="D15" s="4"/>
      <c r="E15" s="4"/>
      <c r="F15" s="4"/>
      <c r="G15" s="4"/>
      <c r="H15" s="4"/>
      <c r="I15" s="4"/>
      <c r="J15" s="4"/>
      <c r="K15" s="4"/>
      <c r="L15" s="4"/>
      <c r="AX15" s="29"/>
      <c r="AY15" s="29"/>
      <c r="AZ15" s="29"/>
      <c r="BA15" s="29"/>
      <c r="BB15" s="29"/>
      <c r="BC15" s="29"/>
      <c r="BD15" s="29"/>
    </row>
    <row r="16" spans="2:17" ht="19.5" customHeight="1">
      <c r="B16" s="4"/>
      <c r="C16" s="4"/>
      <c r="D16" s="4"/>
      <c r="E16" s="4"/>
      <c r="F16" s="4"/>
      <c r="G16" s="4"/>
      <c r="H16" s="4"/>
      <c r="I16" s="4"/>
      <c r="J16" s="4"/>
      <c r="K16" s="4"/>
      <c r="L16" s="4"/>
      <c r="Q16" s="92"/>
    </row>
    <row r="17" spans="2:12" ht="19.5" customHeight="1">
      <c r="B17" s="4" t="s">
        <v>1237</v>
      </c>
      <c r="D17" s="4"/>
      <c r="E17" s="4"/>
      <c r="F17" s="4"/>
      <c r="G17" s="4"/>
      <c r="H17" s="4"/>
      <c r="I17" s="4"/>
      <c r="J17" s="4"/>
      <c r="K17" s="4"/>
      <c r="L17" s="4"/>
    </row>
    <row r="18" spans="1:12" ht="19.5" customHeight="1">
      <c r="A18" s="4"/>
      <c r="C18" s="4" t="s">
        <v>1238</v>
      </c>
      <c r="D18" s="4"/>
      <c r="E18" s="4"/>
      <c r="F18" s="4"/>
      <c r="G18" s="4"/>
      <c r="H18" s="4"/>
      <c r="I18" s="4"/>
      <c r="J18" s="4"/>
      <c r="K18" s="4"/>
      <c r="L18" s="4"/>
    </row>
    <row r="19" spans="1:12" ht="19.5" customHeight="1">
      <c r="A19" s="4" t="s">
        <v>989</v>
      </c>
      <c r="D19" s="4" t="s">
        <v>1239</v>
      </c>
      <c r="E19" s="4"/>
      <c r="F19" s="4"/>
      <c r="G19" s="4"/>
      <c r="H19" s="4"/>
      <c r="I19" s="4"/>
      <c r="J19" s="4"/>
      <c r="K19" s="4"/>
      <c r="L19" s="4"/>
    </row>
    <row r="20" spans="1:12" ht="19.5" customHeight="1">
      <c r="A20" s="4"/>
      <c r="C20" s="4"/>
      <c r="D20" s="4"/>
      <c r="E20" s="4" t="s">
        <v>1240</v>
      </c>
      <c r="G20" s="4"/>
      <c r="H20" s="4"/>
      <c r="I20" s="4"/>
      <c r="J20" s="4"/>
      <c r="K20" s="4"/>
      <c r="L20" s="4"/>
    </row>
    <row r="21" spans="1:12" ht="19.5" customHeight="1">
      <c r="A21" s="4"/>
      <c r="C21" s="4"/>
      <c r="D21" s="4"/>
      <c r="F21" s="4" t="s">
        <v>1241</v>
      </c>
      <c r="G21" s="4"/>
      <c r="H21" s="4"/>
      <c r="I21" s="4"/>
      <c r="J21" s="4"/>
      <c r="K21" s="4"/>
      <c r="L21" s="4"/>
    </row>
    <row r="22" spans="1:12" ht="19.5" customHeight="1">
      <c r="A22" s="4"/>
      <c r="C22" s="4"/>
      <c r="D22" s="4"/>
      <c r="E22" s="4"/>
      <c r="F22" s="4" t="s">
        <v>1242</v>
      </c>
      <c r="G22" s="4"/>
      <c r="H22" s="4"/>
      <c r="I22" s="4"/>
      <c r="J22" s="4"/>
      <c r="K22" s="4"/>
      <c r="L22" s="4"/>
    </row>
    <row r="23" spans="1:12" ht="19.5" customHeight="1">
      <c r="A23" s="4"/>
      <c r="C23" s="4"/>
      <c r="D23" s="4"/>
      <c r="E23" s="4"/>
      <c r="F23" s="4"/>
      <c r="G23" s="4"/>
      <c r="H23" s="4"/>
      <c r="I23" s="4"/>
      <c r="J23" s="4"/>
      <c r="K23" s="4"/>
      <c r="L23" s="4"/>
    </row>
    <row r="24" spans="1:44" ht="19.5" customHeight="1">
      <c r="A24" s="4"/>
      <c r="C24" s="4"/>
      <c r="D24" s="4" t="s">
        <v>1243</v>
      </c>
      <c r="E24" s="4"/>
      <c r="F24" s="4"/>
      <c r="G24" s="4"/>
      <c r="H24" s="4"/>
      <c r="I24" s="4"/>
      <c r="J24" s="4"/>
      <c r="K24" s="4"/>
      <c r="L24" s="4"/>
      <c r="AR24" s="36"/>
    </row>
    <row r="25" spans="1:44" ht="19.5" customHeight="1">
      <c r="A25" s="4"/>
      <c r="B25" s="4"/>
      <c r="C25" s="4"/>
      <c r="D25" s="4" t="s">
        <v>990</v>
      </c>
      <c r="F25" s="4"/>
      <c r="G25" s="4"/>
      <c r="H25" s="4"/>
      <c r="I25" s="4"/>
      <c r="J25" s="4"/>
      <c r="K25" s="4"/>
      <c r="L25" s="4"/>
      <c r="AR25" s="93"/>
    </row>
    <row r="26" spans="1:12" ht="19.5" customHeight="1">
      <c r="A26" s="4"/>
      <c r="B26" s="4"/>
      <c r="C26" s="4"/>
      <c r="D26" s="4"/>
      <c r="E26" s="4"/>
      <c r="F26" s="4"/>
      <c r="G26" s="4"/>
      <c r="H26" s="4"/>
      <c r="I26" s="4"/>
      <c r="J26" s="4"/>
      <c r="K26" s="4"/>
      <c r="L26" s="4"/>
    </row>
    <row r="27" spans="1:44" ht="19.5" customHeight="1">
      <c r="A27" s="4"/>
      <c r="B27" s="4"/>
      <c r="C27" s="4"/>
      <c r="D27" s="4"/>
      <c r="E27" s="4"/>
      <c r="F27" s="4"/>
      <c r="G27" s="4"/>
      <c r="H27" s="4"/>
      <c r="I27" s="4"/>
      <c r="J27" s="4"/>
      <c r="K27" s="4"/>
      <c r="L27" s="4"/>
      <c r="AR27" s="39"/>
    </row>
    <row r="28" spans="1:45" ht="19.5" customHeight="1">
      <c r="A28" s="4"/>
      <c r="B28" s="4"/>
      <c r="C28" s="4"/>
      <c r="D28" s="4"/>
      <c r="E28" s="4"/>
      <c r="F28" s="4"/>
      <c r="G28" s="4"/>
      <c r="H28" s="4"/>
      <c r="I28" s="4"/>
      <c r="J28" s="4"/>
      <c r="K28" s="4"/>
      <c r="L28" s="4"/>
      <c r="AS28" s="36"/>
    </row>
    <row r="29" spans="1:45" ht="19.5" customHeight="1">
      <c r="A29" s="4"/>
      <c r="B29" s="4"/>
      <c r="C29" s="4"/>
      <c r="D29" s="4"/>
      <c r="E29" s="4"/>
      <c r="F29" s="4"/>
      <c r="G29" s="4"/>
      <c r="H29" s="4"/>
      <c r="I29" s="4"/>
      <c r="J29" s="4"/>
      <c r="K29" s="4"/>
      <c r="L29" s="4"/>
      <c r="AS29" s="36"/>
    </row>
    <row r="30" spans="1:45" ht="19.5" customHeight="1">
      <c r="A30" s="4"/>
      <c r="B30" s="4"/>
      <c r="C30" s="4"/>
      <c r="D30" s="4"/>
      <c r="E30" s="4"/>
      <c r="F30" s="4"/>
      <c r="G30" s="4"/>
      <c r="H30" s="4"/>
      <c r="I30" s="4"/>
      <c r="J30" s="4"/>
      <c r="K30" s="4"/>
      <c r="L30" s="4"/>
      <c r="AS30" s="36"/>
    </row>
    <row r="31" spans="1:45" ht="19.5" customHeight="1">
      <c r="A31" s="4"/>
      <c r="B31" s="4"/>
      <c r="C31" s="4"/>
      <c r="D31" s="4"/>
      <c r="E31" s="4"/>
      <c r="F31" s="4"/>
      <c r="G31" s="4"/>
      <c r="H31" s="4"/>
      <c r="I31" s="4"/>
      <c r="J31" s="4"/>
      <c r="K31" s="4"/>
      <c r="L31" s="4"/>
      <c r="AS31" s="36"/>
    </row>
    <row r="32" spans="1:45" ht="19.5" customHeight="1">
      <c r="A32" s="4"/>
      <c r="B32" s="4"/>
      <c r="C32" s="4"/>
      <c r="D32" s="4"/>
      <c r="E32" s="4"/>
      <c r="F32" s="4"/>
      <c r="G32" s="4"/>
      <c r="H32" s="4"/>
      <c r="I32" s="4"/>
      <c r="J32" s="4"/>
      <c r="K32" s="4"/>
      <c r="L32" s="4"/>
      <c r="AS32" s="36"/>
    </row>
    <row r="33" spans="1:12" ht="19.5" customHeight="1">
      <c r="A33" s="4"/>
      <c r="B33" s="4"/>
      <c r="C33" s="4"/>
      <c r="D33" s="4"/>
      <c r="E33" s="4"/>
      <c r="F33" s="4"/>
      <c r="G33" s="4"/>
      <c r="H33" s="4"/>
      <c r="I33" s="4"/>
      <c r="J33" s="4"/>
      <c r="K33" s="4"/>
      <c r="L33" s="4"/>
    </row>
    <row r="34" spans="1:45" ht="19.5" customHeight="1">
      <c r="A34" s="4"/>
      <c r="B34" s="4"/>
      <c r="C34" s="4"/>
      <c r="D34" s="4"/>
      <c r="E34" s="4"/>
      <c r="F34" s="4"/>
      <c r="G34" s="4"/>
      <c r="H34" s="4"/>
      <c r="I34" s="4"/>
      <c r="J34" s="4"/>
      <c r="K34" s="4"/>
      <c r="L34" s="4"/>
      <c r="V34" s="4"/>
      <c r="W34" s="4"/>
      <c r="AS34" s="36"/>
    </row>
    <row r="35" spans="1:45" ht="19.5" customHeight="1">
      <c r="A35" s="4"/>
      <c r="B35" s="4"/>
      <c r="C35" s="4"/>
      <c r="D35" s="4"/>
      <c r="E35" s="4"/>
      <c r="F35" s="4"/>
      <c r="G35" s="4"/>
      <c r="H35" s="4"/>
      <c r="I35" s="4"/>
      <c r="J35" s="4"/>
      <c r="K35" s="4"/>
      <c r="L35" s="4"/>
      <c r="V35" s="4"/>
      <c r="W35" s="4"/>
      <c r="AS35" s="36"/>
    </row>
    <row r="36" spans="1:22" ht="19.5" customHeight="1">
      <c r="A36" s="4"/>
      <c r="B36" s="4"/>
      <c r="C36" s="4" t="s">
        <v>991</v>
      </c>
      <c r="D36" s="4"/>
      <c r="E36" s="4"/>
      <c r="F36" s="4" t="s">
        <v>1244</v>
      </c>
      <c r="G36" s="4"/>
      <c r="H36" s="4"/>
      <c r="I36" s="4"/>
      <c r="J36" s="4"/>
      <c r="K36" s="4"/>
      <c r="L36" s="4"/>
      <c r="V36" s="27" t="s">
        <v>1245</v>
      </c>
    </row>
    <row r="37" spans="1:41" ht="19.5" customHeight="1">
      <c r="A37" s="4"/>
      <c r="B37" s="4"/>
      <c r="C37" s="4"/>
      <c r="D37" s="4"/>
      <c r="E37" s="4"/>
      <c r="F37" s="221" t="s">
        <v>1246</v>
      </c>
      <c r="G37" s="222"/>
      <c r="H37" s="223"/>
      <c r="I37" s="233" t="s">
        <v>1106</v>
      </c>
      <c r="J37" s="183"/>
      <c r="K37" s="183"/>
      <c r="L37" s="183"/>
      <c r="M37" s="183"/>
      <c r="N37" s="183"/>
      <c r="O37" s="183"/>
      <c r="P37" s="183"/>
      <c r="Q37" s="183"/>
      <c r="R37" s="183"/>
      <c r="V37" s="221" t="s">
        <v>951</v>
      </c>
      <c r="W37" s="222"/>
      <c r="X37" s="223"/>
      <c r="Y37" s="233" t="s">
        <v>1248</v>
      </c>
      <c r="Z37" s="183"/>
      <c r="AA37" s="183"/>
      <c r="AB37" s="183"/>
      <c r="AC37" s="183"/>
      <c r="AD37" s="183"/>
      <c r="AE37" s="204" t="s">
        <v>1236</v>
      </c>
      <c r="AF37" s="204"/>
      <c r="AG37" s="204"/>
      <c r="AH37" s="204"/>
      <c r="AI37" s="181" t="s">
        <v>1249</v>
      </c>
      <c r="AJ37" s="181"/>
      <c r="AK37" s="181"/>
      <c r="AL37" s="181"/>
      <c r="AM37" s="181"/>
      <c r="AN37" s="181"/>
      <c r="AO37" s="181"/>
    </row>
    <row r="38" spans="1:41" ht="19.5" customHeight="1">
      <c r="A38" s="4"/>
      <c r="B38" s="4"/>
      <c r="C38" s="4"/>
      <c r="D38" s="4"/>
      <c r="E38" s="4"/>
      <c r="F38" s="224" t="s">
        <v>1247</v>
      </c>
      <c r="G38" s="225"/>
      <c r="H38" s="226"/>
      <c r="I38" s="233" t="s">
        <v>174</v>
      </c>
      <c r="J38" s="183"/>
      <c r="K38" s="183"/>
      <c r="L38" s="183"/>
      <c r="M38" s="183"/>
      <c r="N38" s="183" t="s">
        <v>175</v>
      </c>
      <c r="O38" s="183"/>
      <c r="P38" s="183"/>
      <c r="Q38" s="183"/>
      <c r="R38" s="183"/>
      <c r="V38" s="224" t="s">
        <v>1247</v>
      </c>
      <c r="W38" s="225"/>
      <c r="X38" s="226"/>
      <c r="Y38" s="233" t="s">
        <v>176</v>
      </c>
      <c r="Z38" s="183"/>
      <c r="AA38" s="183"/>
      <c r="AB38" s="183" t="s">
        <v>1250</v>
      </c>
      <c r="AC38" s="183"/>
      <c r="AD38" s="183"/>
      <c r="AE38" s="204" t="s">
        <v>177</v>
      </c>
      <c r="AF38" s="204"/>
      <c r="AG38" s="204"/>
      <c r="AH38" s="204"/>
      <c r="AI38" s="182" t="s">
        <v>178</v>
      </c>
      <c r="AJ38" s="182"/>
      <c r="AK38" s="182"/>
      <c r="AL38" s="182"/>
      <c r="AM38" s="182"/>
      <c r="AN38" s="182"/>
      <c r="AO38" s="182"/>
    </row>
    <row r="39" spans="1:41" ht="19.5" customHeight="1">
      <c r="A39" s="4"/>
      <c r="B39" s="4"/>
      <c r="C39" s="4"/>
      <c r="D39" s="4"/>
      <c r="E39" s="4"/>
      <c r="F39" s="275">
        <v>1</v>
      </c>
      <c r="G39" s="275"/>
      <c r="H39" s="275"/>
      <c r="I39" s="342">
        <v>0</v>
      </c>
      <c r="J39" s="343"/>
      <c r="K39" s="343"/>
      <c r="L39" s="343"/>
      <c r="M39" s="344"/>
      <c r="N39" s="342">
        <v>0</v>
      </c>
      <c r="O39" s="343"/>
      <c r="P39" s="343"/>
      <c r="Q39" s="343"/>
      <c r="R39" s="344"/>
      <c r="V39" s="275">
        <v>1</v>
      </c>
      <c r="W39" s="275"/>
      <c r="X39" s="275"/>
      <c r="Y39" s="183">
        <v>1</v>
      </c>
      <c r="Z39" s="183"/>
      <c r="AA39" s="183"/>
      <c r="AB39" s="183">
        <v>2</v>
      </c>
      <c r="AC39" s="183"/>
      <c r="AD39" s="183"/>
      <c r="AE39" s="345">
        <v>0.315</v>
      </c>
      <c r="AF39" s="346"/>
      <c r="AG39" s="346"/>
      <c r="AH39" s="347"/>
      <c r="AI39" s="348">
        <v>0.0029374</v>
      </c>
      <c r="AJ39" s="349"/>
      <c r="AK39" s="349"/>
      <c r="AL39" s="349"/>
      <c r="AM39" s="349"/>
      <c r="AN39" s="349"/>
      <c r="AO39" s="350"/>
    </row>
    <row r="40" spans="1:41" ht="19.5" customHeight="1">
      <c r="A40" s="4"/>
      <c r="B40" s="4"/>
      <c r="C40" s="4"/>
      <c r="D40" s="4"/>
      <c r="E40" s="4"/>
      <c r="F40" s="183">
        <v>2</v>
      </c>
      <c r="G40" s="183"/>
      <c r="H40" s="183"/>
      <c r="I40" s="342">
        <v>2.2</v>
      </c>
      <c r="J40" s="343"/>
      <c r="K40" s="343"/>
      <c r="L40" s="343"/>
      <c r="M40" s="344"/>
      <c r="N40" s="342">
        <v>0</v>
      </c>
      <c r="O40" s="343"/>
      <c r="P40" s="343"/>
      <c r="Q40" s="343"/>
      <c r="R40" s="344"/>
      <c r="V40" s="183">
        <v>2</v>
      </c>
      <c r="W40" s="183"/>
      <c r="X40" s="183"/>
      <c r="Y40" s="183">
        <v>2</v>
      </c>
      <c r="Z40" s="183"/>
      <c r="AA40" s="183"/>
      <c r="AB40" s="183">
        <v>3</v>
      </c>
      <c r="AC40" s="183"/>
      <c r="AD40" s="183"/>
      <c r="AE40" s="345">
        <v>0.38</v>
      </c>
      <c r="AF40" s="346"/>
      <c r="AG40" s="346"/>
      <c r="AH40" s="347"/>
      <c r="AI40" s="348">
        <v>0.0045727</v>
      </c>
      <c r="AJ40" s="349"/>
      <c r="AK40" s="349"/>
      <c r="AL40" s="349"/>
      <c r="AM40" s="349"/>
      <c r="AN40" s="349"/>
      <c r="AO40" s="350"/>
    </row>
    <row r="41" spans="1:41" ht="19.5" customHeight="1">
      <c r="A41" s="4"/>
      <c r="B41" s="4"/>
      <c r="C41" s="4"/>
      <c r="D41" s="4"/>
      <c r="E41" s="4"/>
      <c r="F41" s="183">
        <v>3</v>
      </c>
      <c r="G41" s="183"/>
      <c r="H41" s="183"/>
      <c r="I41" s="342">
        <v>2.4</v>
      </c>
      <c r="J41" s="343"/>
      <c r="K41" s="343"/>
      <c r="L41" s="343"/>
      <c r="M41" s="344"/>
      <c r="N41" s="342">
        <v>0</v>
      </c>
      <c r="O41" s="343"/>
      <c r="P41" s="343"/>
      <c r="Q41" s="343"/>
      <c r="R41" s="344"/>
      <c r="V41" s="183">
        <v>3</v>
      </c>
      <c r="W41" s="183"/>
      <c r="X41" s="183"/>
      <c r="Y41" s="183">
        <v>3</v>
      </c>
      <c r="Z41" s="183"/>
      <c r="AA41" s="183"/>
      <c r="AB41" s="183">
        <v>4</v>
      </c>
      <c r="AC41" s="183"/>
      <c r="AD41" s="183"/>
      <c r="AE41" s="345">
        <v>0.38</v>
      </c>
      <c r="AF41" s="346"/>
      <c r="AG41" s="346"/>
      <c r="AH41" s="347"/>
      <c r="AI41" s="348">
        <v>0.0045727</v>
      </c>
      <c r="AJ41" s="349"/>
      <c r="AK41" s="349"/>
      <c r="AL41" s="349"/>
      <c r="AM41" s="349"/>
      <c r="AN41" s="349"/>
      <c r="AO41" s="350"/>
    </row>
    <row r="42" spans="1:41" ht="19.5" customHeight="1">
      <c r="A42" s="4"/>
      <c r="B42" s="4"/>
      <c r="C42" s="4"/>
      <c r="D42" s="4"/>
      <c r="E42" s="4"/>
      <c r="F42" s="183">
        <v>4</v>
      </c>
      <c r="G42" s="183"/>
      <c r="H42" s="183"/>
      <c r="I42" s="342">
        <v>2.6</v>
      </c>
      <c r="J42" s="343"/>
      <c r="K42" s="343"/>
      <c r="L42" s="343"/>
      <c r="M42" s="344"/>
      <c r="N42" s="342">
        <v>0</v>
      </c>
      <c r="O42" s="343"/>
      <c r="P42" s="343"/>
      <c r="Q42" s="343"/>
      <c r="R42" s="344"/>
      <c r="V42" s="183">
        <v>4</v>
      </c>
      <c r="W42" s="183"/>
      <c r="X42" s="183"/>
      <c r="Y42" s="183">
        <v>4</v>
      </c>
      <c r="Z42" s="183"/>
      <c r="AA42" s="183"/>
      <c r="AB42" s="183">
        <v>5</v>
      </c>
      <c r="AC42" s="183"/>
      <c r="AD42" s="183"/>
      <c r="AE42" s="345">
        <v>0.38</v>
      </c>
      <c r="AF42" s="346"/>
      <c r="AG42" s="346"/>
      <c r="AH42" s="347"/>
      <c r="AI42" s="348">
        <v>0.0045727</v>
      </c>
      <c r="AJ42" s="349"/>
      <c r="AK42" s="349"/>
      <c r="AL42" s="349"/>
      <c r="AM42" s="349"/>
      <c r="AN42" s="349"/>
      <c r="AO42" s="350"/>
    </row>
    <row r="43" spans="1:44" ht="19.5" customHeight="1">
      <c r="A43" s="4"/>
      <c r="B43" s="4"/>
      <c r="C43" s="4"/>
      <c r="D43" s="4"/>
      <c r="E43" s="4"/>
      <c r="F43" s="183">
        <v>5</v>
      </c>
      <c r="G43" s="183"/>
      <c r="H43" s="183"/>
      <c r="I43" s="342">
        <v>3</v>
      </c>
      <c r="J43" s="343"/>
      <c r="K43" s="343"/>
      <c r="L43" s="343"/>
      <c r="M43" s="344"/>
      <c r="N43" s="342">
        <v>0</v>
      </c>
      <c r="O43" s="343"/>
      <c r="P43" s="343"/>
      <c r="Q43" s="343"/>
      <c r="R43" s="344"/>
      <c r="V43" s="183">
        <v>5</v>
      </c>
      <c r="W43" s="183"/>
      <c r="X43" s="183"/>
      <c r="Y43" s="183">
        <v>5</v>
      </c>
      <c r="Z43" s="183"/>
      <c r="AA43" s="183"/>
      <c r="AB43" s="183">
        <v>6</v>
      </c>
      <c r="AC43" s="183"/>
      <c r="AD43" s="183"/>
      <c r="AE43" s="345">
        <v>0.38</v>
      </c>
      <c r="AF43" s="346"/>
      <c r="AG43" s="346"/>
      <c r="AH43" s="347"/>
      <c r="AI43" s="348">
        <v>0.0045727</v>
      </c>
      <c r="AJ43" s="349"/>
      <c r="AK43" s="349"/>
      <c r="AL43" s="349"/>
      <c r="AM43" s="349"/>
      <c r="AN43" s="349"/>
      <c r="AO43" s="350"/>
      <c r="AR43" s="36"/>
    </row>
    <row r="44" spans="1:44" ht="19.5" customHeight="1">
      <c r="A44" s="4"/>
      <c r="B44" s="4"/>
      <c r="C44" s="4"/>
      <c r="D44" s="4"/>
      <c r="E44" s="4"/>
      <c r="F44" s="183">
        <v>6</v>
      </c>
      <c r="G44" s="183"/>
      <c r="H44" s="183"/>
      <c r="I44" s="342">
        <v>3.4</v>
      </c>
      <c r="J44" s="343"/>
      <c r="K44" s="343"/>
      <c r="L44" s="343"/>
      <c r="M44" s="344"/>
      <c r="N44" s="342">
        <v>0</v>
      </c>
      <c r="O44" s="343"/>
      <c r="P44" s="343"/>
      <c r="Q44" s="343"/>
      <c r="R44" s="344"/>
      <c r="V44" s="183">
        <v>6</v>
      </c>
      <c r="W44" s="183"/>
      <c r="X44" s="183"/>
      <c r="Y44" s="183">
        <v>6</v>
      </c>
      <c r="Z44" s="183"/>
      <c r="AA44" s="183"/>
      <c r="AB44" s="183">
        <v>7</v>
      </c>
      <c r="AC44" s="183"/>
      <c r="AD44" s="183"/>
      <c r="AE44" s="345">
        <v>0.38</v>
      </c>
      <c r="AF44" s="346"/>
      <c r="AG44" s="346"/>
      <c r="AH44" s="347"/>
      <c r="AI44" s="348">
        <v>0.0045727</v>
      </c>
      <c r="AJ44" s="349"/>
      <c r="AK44" s="349"/>
      <c r="AL44" s="349"/>
      <c r="AM44" s="349"/>
      <c r="AN44" s="349"/>
      <c r="AO44" s="350"/>
      <c r="AR44" s="36"/>
    </row>
    <row r="45" spans="1:41" ht="19.5" customHeight="1">
      <c r="A45" s="4"/>
      <c r="B45" s="4"/>
      <c r="C45" s="4"/>
      <c r="D45" s="4"/>
      <c r="E45" s="4"/>
      <c r="F45" s="183">
        <v>7</v>
      </c>
      <c r="G45" s="183"/>
      <c r="H45" s="183"/>
      <c r="I45" s="342">
        <v>4.375</v>
      </c>
      <c r="J45" s="343"/>
      <c r="K45" s="343"/>
      <c r="L45" s="343"/>
      <c r="M45" s="344"/>
      <c r="N45" s="342">
        <v>0</v>
      </c>
      <c r="O45" s="343"/>
      <c r="P45" s="343"/>
      <c r="Q45" s="343"/>
      <c r="R45" s="344"/>
      <c r="V45" s="183">
        <v>7</v>
      </c>
      <c r="W45" s="183"/>
      <c r="X45" s="183"/>
      <c r="Y45" s="183">
        <v>7</v>
      </c>
      <c r="Z45" s="183"/>
      <c r="AA45" s="183"/>
      <c r="AB45" s="183">
        <v>8</v>
      </c>
      <c r="AC45" s="183"/>
      <c r="AD45" s="183"/>
      <c r="AE45" s="345">
        <v>0.38</v>
      </c>
      <c r="AF45" s="346"/>
      <c r="AG45" s="346"/>
      <c r="AH45" s="347"/>
      <c r="AI45" s="348">
        <v>0.0045727</v>
      </c>
      <c r="AJ45" s="349"/>
      <c r="AK45" s="349"/>
      <c r="AL45" s="349"/>
      <c r="AM45" s="349"/>
      <c r="AN45" s="349"/>
      <c r="AO45" s="350"/>
    </row>
    <row r="46" spans="1:49" ht="19.5" customHeight="1">
      <c r="A46" s="4"/>
      <c r="B46" s="4"/>
      <c r="C46" s="4"/>
      <c r="D46" s="4"/>
      <c r="E46" s="4"/>
      <c r="F46" s="183">
        <v>8</v>
      </c>
      <c r="G46" s="183"/>
      <c r="H46" s="183"/>
      <c r="I46" s="342">
        <v>5.35</v>
      </c>
      <c r="J46" s="343"/>
      <c r="K46" s="343"/>
      <c r="L46" s="343"/>
      <c r="M46" s="344"/>
      <c r="N46" s="342">
        <v>0</v>
      </c>
      <c r="O46" s="343"/>
      <c r="P46" s="343"/>
      <c r="Q46" s="343"/>
      <c r="R46" s="344"/>
      <c r="V46" s="183">
        <v>8</v>
      </c>
      <c r="W46" s="183"/>
      <c r="X46" s="183"/>
      <c r="Y46" s="183">
        <v>8</v>
      </c>
      <c r="Z46" s="183"/>
      <c r="AA46" s="183"/>
      <c r="AB46" s="183">
        <v>9</v>
      </c>
      <c r="AC46" s="183"/>
      <c r="AD46" s="183"/>
      <c r="AE46" s="345">
        <v>0.38</v>
      </c>
      <c r="AF46" s="346"/>
      <c r="AG46" s="346"/>
      <c r="AH46" s="347"/>
      <c r="AI46" s="348">
        <v>0.0045727</v>
      </c>
      <c r="AJ46" s="349"/>
      <c r="AK46" s="349"/>
      <c r="AL46" s="349"/>
      <c r="AM46" s="349"/>
      <c r="AN46" s="349"/>
      <c r="AO46" s="350"/>
      <c r="AW46" s="36"/>
    </row>
    <row r="47" spans="1:41" ht="19.5" customHeight="1">
      <c r="A47" s="4"/>
      <c r="B47" s="4"/>
      <c r="C47" s="4"/>
      <c r="D47" s="4"/>
      <c r="E47" s="4"/>
      <c r="F47" s="183">
        <v>9</v>
      </c>
      <c r="G47" s="183"/>
      <c r="H47" s="183"/>
      <c r="I47" s="342">
        <v>6.325</v>
      </c>
      <c r="J47" s="343"/>
      <c r="K47" s="343"/>
      <c r="L47" s="343"/>
      <c r="M47" s="344"/>
      <c r="N47" s="342">
        <v>0</v>
      </c>
      <c r="O47" s="343"/>
      <c r="P47" s="343"/>
      <c r="Q47" s="343"/>
      <c r="R47" s="344"/>
      <c r="V47" s="183">
        <v>9</v>
      </c>
      <c r="W47" s="183"/>
      <c r="X47" s="183"/>
      <c r="Y47" s="183">
        <v>9</v>
      </c>
      <c r="Z47" s="183"/>
      <c r="AA47" s="183"/>
      <c r="AB47" s="183">
        <v>10</v>
      </c>
      <c r="AC47" s="183"/>
      <c r="AD47" s="183"/>
      <c r="AE47" s="345">
        <v>0.38</v>
      </c>
      <c r="AF47" s="346"/>
      <c r="AG47" s="346"/>
      <c r="AH47" s="347"/>
      <c r="AI47" s="348">
        <v>0.0045727</v>
      </c>
      <c r="AJ47" s="349"/>
      <c r="AK47" s="349"/>
      <c r="AL47" s="349"/>
      <c r="AM47" s="349"/>
      <c r="AN47" s="349"/>
      <c r="AO47" s="350"/>
    </row>
    <row r="48" spans="1:41" ht="19.5" customHeight="1">
      <c r="A48" s="4"/>
      <c r="B48" s="4"/>
      <c r="C48" s="4"/>
      <c r="D48" s="4"/>
      <c r="E48" s="4"/>
      <c r="F48" s="183">
        <v>10</v>
      </c>
      <c r="G48" s="183"/>
      <c r="H48" s="183"/>
      <c r="I48" s="342">
        <v>7.3</v>
      </c>
      <c r="J48" s="343"/>
      <c r="K48" s="343"/>
      <c r="L48" s="343"/>
      <c r="M48" s="344"/>
      <c r="N48" s="342">
        <v>0</v>
      </c>
      <c r="O48" s="343"/>
      <c r="P48" s="343"/>
      <c r="Q48" s="343"/>
      <c r="R48" s="344"/>
      <c r="V48" s="183">
        <v>10</v>
      </c>
      <c r="W48" s="183"/>
      <c r="X48" s="183"/>
      <c r="Y48" s="183">
        <v>10</v>
      </c>
      <c r="Z48" s="183"/>
      <c r="AA48" s="183"/>
      <c r="AB48" s="183">
        <v>11</v>
      </c>
      <c r="AC48" s="183"/>
      <c r="AD48" s="183"/>
      <c r="AE48" s="345">
        <v>0.38</v>
      </c>
      <c r="AF48" s="346"/>
      <c r="AG48" s="346"/>
      <c r="AH48" s="347"/>
      <c r="AI48" s="348">
        <v>0.0045727</v>
      </c>
      <c r="AJ48" s="349"/>
      <c r="AK48" s="349"/>
      <c r="AL48" s="349"/>
      <c r="AM48" s="349"/>
      <c r="AN48" s="349"/>
      <c r="AO48" s="350"/>
    </row>
    <row r="49" spans="1:41" ht="19.5" customHeight="1">
      <c r="A49" s="4"/>
      <c r="B49" s="4"/>
      <c r="C49" s="4"/>
      <c r="D49" s="4"/>
      <c r="E49" s="4"/>
      <c r="F49" s="183">
        <v>11</v>
      </c>
      <c r="G49" s="183"/>
      <c r="H49" s="183"/>
      <c r="I49" s="342">
        <v>7.7</v>
      </c>
      <c r="J49" s="343"/>
      <c r="K49" s="343"/>
      <c r="L49" s="343"/>
      <c r="M49" s="344"/>
      <c r="N49" s="342">
        <v>0</v>
      </c>
      <c r="O49" s="343"/>
      <c r="P49" s="343"/>
      <c r="Q49" s="343"/>
      <c r="R49" s="344"/>
      <c r="V49" s="183">
        <v>11</v>
      </c>
      <c r="W49" s="183"/>
      <c r="X49" s="183"/>
      <c r="Y49" s="183">
        <v>11</v>
      </c>
      <c r="Z49" s="183"/>
      <c r="AA49" s="183"/>
      <c r="AB49" s="183">
        <v>12</v>
      </c>
      <c r="AC49" s="183"/>
      <c r="AD49" s="183"/>
      <c r="AE49" s="345">
        <v>0.38</v>
      </c>
      <c r="AF49" s="346"/>
      <c r="AG49" s="346"/>
      <c r="AH49" s="347"/>
      <c r="AI49" s="348">
        <v>0.0045727</v>
      </c>
      <c r="AJ49" s="349"/>
      <c r="AK49" s="349"/>
      <c r="AL49" s="349"/>
      <c r="AM49" s="349"/>
      <c r="AN49" s="349"/>
      <c r="AO49" s="350"/>
    </row>
    <row r="50" spans="1:41" ht="19.5" customHeight="1">
      <c r="A50" s="4"/>
      <c r="B50" s="4"/>
      <c r="C50" s="4"/>
      <c r="D50" s="4"/>
      <c r="E50" s="4"/>
      <c r="F50" s="183">
        <v>12</v>
      </c>
      <c r="G50" s="183"/>
      <c r="H50" s="183"/>
      <c r="I50" s="342">
        <v>8.1</v>
      </c>
      <c r="J50" s="343"/>
      <c r="K50" s="343"/>
      <c r="L50" s="343"/>
      <c r="M50" s="344"/>
      <c r="N50" s="342">
        <v>0</v>
      </c>
      <c r="O50" s="343"/>
      <c r="P50" s="343"/>
      <c r="Q50" s="343"/>
      <c r="R50" s="344"/>
      <c r="V50" s="183">
        <v>12</v>
      </c>
      <c r="W50" s="183"/>
      <c r="X50" s="183"/>
      <c r="Y50" s="183">
        <v>12</v>
      </c>
      <c r="Z50" s="183"/>
      <c r="AA50" s="183"/>
      <c r="AB50" s="183">
        <v>13</v>
      </c>
      <c r="AC50" s="183"/>
      <c r="AD50" s="183"/>
      <c r="AE50" s="345">
        <v>0.38</v>
      </c>
      <c r="AF50" s="346"/>
      <c r="AG50" s="346"/>
      <c r="AH50" s="347"/>
      <c r="AI50" s="348">
        <v>0.0045727</v>
      </c>
      <c r="AJ50" s="349"/>
      <c r="AK50" s="349"/>
      <c r="AL50" s="349"/>
      <c r="AM50" s="349"/>
      <c r="AN50" s="349"/>
      <c r="AO50" s="350"/>
    </row>
    <row r="51" spans="1:41" ht="19.5" customHeight="1">
      <c r="A51" s="4"/>
      <c r="B51" s="4"/>
      <c r="C51" s="4"/>
      <c r="D51" s="4"/>
      <c r="E51" s="4"/>
      <c r="F51" s="183">
        <v>13</v>
      </c>
      <c r="G51" s="183"/>
      <c r="H51" s="183"/>
      <c r="I51" s="342">
        <v>8.3</v>
      </c>
      <c r="J51" s="343"/>
      <c r="K51" s="343"/>
      <c r="L51" s="343"/>
      <c r="M51" s="344"/>
      <c r="N51" s="342">
        <v>0</v>
      </c>
      <c r="O51" s="343"/>
      <c r="P51" s="343"/>
      <c r="Q51" s="343"/>
      <c r="R51" s="344"/>
      <c r="V51" s="183">
        <v>13</v>
      </c>
      <c r="W51" s="183"/>
      <c r="X51" s="183"/>
      <c r="Y51" s="183">
        <v>13</v>
      </c>
      <c r="Z51" s="183"/>
      <c r="AA51" s="183"/>
      <c r="AB51" s="183">
        <v>14</v>
      </c>
      <c r="AC51" s="183"/>
      <c r="AD51" s="183"/>
      <c r="AE51" s="345">
        <v>0.38</v>
      </c>
      <c r="AF51" s="346"/>
      <c r="AG51" s="346"/>
      <c r="AH51" s="347"/>
      <c r="AI51" s="348">
        <v>0.0045727</v>
      </c>
      <c r="AJ51" s="349"/>
      <c r="AK51" s="349"/>
      <c r="AL51" s="349"/>
      <c r="AM51" s="349"/>
      <c r="AN51" s="349"/>
      <c r="AO51" s="350"/>
    </row>
    <row r="52" spans="1:41" ht="19.5" customHeight="1">
      <c r="A52" s="4"/>
      <c r="B52" s="4"/>
      <c r="C52" s="4"/>
      <c r="D52" s="4"/>
      <c r="E52" s="4"/>
      <c r="F52" s="183">
        <v>14</v>
      </c>
      <c r="G52" s="183"/>
      <c r="H52" s="183"/>
      <c r="I52" s="342">
        <v>8.5</v>
      </c>
      <c r="J52" s="343"/>
      <c r="K52" s="343"/>
      <c r="L52" s="343"/>
      <c r="M52" s="344"/>
      <c r="N52" s="342">
        <v>0</v>
      </c>
      <c r="O52" s="343"/>
      <c r="P52" s="343"/>
      <c r="Q52" s="343"/>
      <c r="R52" s="344"/>
      <c r="V52" s="183">
        <v>14</v>
      </c>
      <c r="W52" s="183"/>
      <c r="X52" s="183"/>
      <c r="Y52" s="183">
        <v>14</v>
      </c>
      <c r="Z52" s="183"/>
      <c r="AA52" s="183"/>
      <c r="AB52" s="183">
        <v>15</v>
      </c>
      <c r="AC52" s="183"/>
      <c r="AD52" s="183"/>
      <c r="AE52" s="345">
        <v>0.315</v>
      </c>
      <c r="AF52" s="346"/>
      <c r="AG52" s="346"/>
      <c r="AH52" s="347"/>
      <c r="AI52" s="348">
        <v>0.0029374</v>
      </c>
      <c r="AJ52" s="349"/>
      <c r="AK52" s="349"/>
      <c r="AL52" s="349"/>
      <c r="AM52" s="349"/>
      <c r="AN52" s="349"/>
      <c r="AO52" s="350"/>
    </row>
    <row r="53" spans="1:22" ht="19.5" customHeight="1">
      <c r="A53" s="4"/>
      <c r="B53" s="4"/>
      <c r="C53" s="4"/>
      <c r="D53" s="4"/>
      <c r="E53" s="4"/>
      <c r="F53" s="183">
        <v>15</v>
      </c>
      <c r="G53" s="183"/>
      <c r="H53" s="183"/>
      <c r="I53" s="342">
        <v>10.7</v>
      </c>
      <c r="J53" s="343"/>
      <c r="K53" s="343"/>
      <c r="L53" s="343"/>
      <c r="M53" s="344"/>
      <c r="N53" s="342">
        <v>0</v>
      </c>
      <c r="O53" s="343"/>
      <c r="P53" s="343"/>
      <c r="Q53" s="343"/>
      <c r="R53" s="344"/>
      <c r="V53" s="27" t="s">
        <v>1251</v>
      </c>
    </row>
    <row r="54" spans="1:18" ht="19.5" customHeight="1">
      <c r="A54" s="4"/>
      <c r="B54" s="4"/>
      <c r="C54" s="4"/>
      <c r="D54" s="4"/>
      <c r="E54" s="4"/>
      <c r="F54" s="33"/>
      <c r="G54" s="33"/>
      <c r="H54" s="33"/>
      <c r="I54" s="101"/>
      <c r="J54" s="101"/>
      <c r="K54" s="101"/>
      <c r="L54" s="101"/>
      <c r="M54" s="101"/>
      <c r="N54" s="101"/>
      <c r="O54" s="101"/>
      <c r="P54" s="101"/>
      <c r="Q54" s="101"/>
      <c r="R54" s="101"/>
    </row>
    <row r="55" spans="1:18" ht="19.5" customHeight="1">
      <c r="A55" s="4"/>
      <c r="B55" s="4"/>
      <c r="C55" s="4"/>
      <c r="D55" s="4"/>
      <c r="E55" s="4"/>
      <c r="F55" s="33"/>
      <c r="G55" s="33"/>
      <c r="H55" s="33"/>
      <c r="I55" s="101"/>
      <c r="J55" s="101"/>
      <c r="K55" s="101"/>
      <c r="L55" s="101"/>
      <c r="M55" s="101"/>
      <c r="N55" s="101"/>
      <c r="O55" s="101"/>
      <c r="P55" s="101"/>
      <c r="Q55" s="101"/>
      <c r="R55" s="101"/>
    </row>
    <row r="56" spans="1:18" ht="19.5" customHeight="1">
      <c r="A56" s="4"/>
      <c r="B56" s="4"/>
      <c r="C56" s="4"/>
      <c r="D56" s="4"/>
      <c r="E56" s="4"/>
      <c r="F56" s="33"/>
      <c r="G56" s="33"/>
      <c r="H56" s="33"/>
      <c r="I56" s="101"/>
      <c r="J56" s="101"/>
      <c r="K56" s="101"/>
      <c r="L56" s="101"/>
      <c r="M56" s="101"/>
      <c r="N56" s="101"/>
      <c r="O56" s="101"/>
      <c r="P56" s="101"/>
      <c r="Q56" s="101"/>
      <c r="R56" s="101"/>
    </row>
    <row r="57" spans="1:18" ht="19.5" customHeight="1">
      <c r="A57" s="4"/>
      <c r="B57" s="4"/>
      <c r="C57" s="4"/>
      <c r="D57" s="4"/>
      <c r="E57" s="4"/>
      <c r="F57" s="33"/>
      <c r="G57" s="33"/>
      <c r="H57" s="33"/>
      <c r="I57" s="101"/>
      <c r="J57" s="101"/>
      <c r="K57" s="101"/>
      <c r="L57" s="101"/>
      <c r="M57" s="101"/>
      <c r="N57" s="101"/>
      <c r="O57" s="101"/>
      <c r="P57" s="101"/>
      <c r="Q57" s="101"/>
      <c r="R57" s="101"/>
    </row>
    <row r="58" spans="1:18" ht="19.5" customHeight="1">
      <c r="A58" s="4"/>
      <c r="B58" s="4"/>
      <c r="C58" s="4"/>
      <c r="D58" s="4"/>
      <c r="E58" s="4"/>
      <c r="F58" s="33"/>
      <c r="G58" s="33"/>
      <c r="H58" s="33"/>
      <c r="I58" s="101"/>
      <c r="J58" s="101"/>
      <c r="K58" s="101"/>
      <c r="L58" s="101"/>
      <c r="M58" s="101"/>
      <c r="N58" s="101"/>
      <c r="O58" s="101"/>
      <c r="P58" s="101"/>
      <c r="Q58" s="101"/>
      <c r="R58" s="101"/>
    </row>
    <row r="59" spans="1:18" ht="19.5" customHeight="1">
      <c r="A59" s="4"/>
      <c r="B59" s="4"/>
      <c r="C59" s="4"/>
      <c r="D59" s="4"/>
      <c r="E59" s="4"/>
      <c r="F59" s="33"/>
      <c r="G59" s="33"/>
      <c r="H59" s="33"/>
      <c r="I59" s="101"/>
      <c r="J59" s="101"/>
      <c r="K59" s="101"/>
      <c r="L59" s="101"/>
      <c r="M59" s="101"/>
      <c r="N59" s="101"/>
      <c r="O59" s="101"/>
      <c r="P59" s="101"/>
      <c r="Q59" s="101"/>
      <c r="R59" s="101"/>
    </row>
    <row r="60" spans="1:18" ht="19.5" customHeight="1">
      <c r="A60" s="4"/>
      <c r="B60" s="4"/>
      <c r="C60" s="4"/>
      <c r="D60" s="4"/>
      <c r="E60" s="4"/>
      <c r="F60" s="33"/>
      <c r="G60" s="33"/>
      <c r="H60" s="33"/>
      <c r="I60" s="101"/>
      <c r="J60" s="101"/>
      <c r="K60" s="101"/>
      <c r="L60" s="101"/>
      <c r="M60" s="101"/>
      <c r="N60" s="101"/>
      <c r="O60" s="101"/>
      <c r="P60" s="101"/>
      <c r="Q60" s="101"/>
      <c r="R60" s="101"/>
    </row>
    <row r="61" spans="1:18" ht="19.5" customHeight="1">
      <c r="A61" s="4"/>
      <c r="B61" s="4"/>
      <c r="C61" s="4"/>
      <c r="D61" s="4"/>
      <c r="E61" s="4"/>
      <c r="F61" s="33"/>
      <c r="G61" s="33"/>
      <c r="H61" s="33"/>
      <c r="I61" s="101"/>
      <c r="J61" s="101"/>
      <c r="K61" s="101"/>
      <c r="L61" s="101"/>
      <c r="M61" s="101"/>
      <c r="N61" s="101"/>
      <c r="O61" s="101"/>
      <c r="P61" s="101"/>
      <c r="Q61" s="101"/>
      <c r="R61" s="101"/>
    </row>
    <row r="62" spans="1:18" ht="19.5" customHeight="1">
      <c r="A62" s="4"/>
      <c r="B62" s="4"/>
      <c r="C62" s="4"/>
      <c r="D62" s="4"/>
      <c r="E62" s="4"/>
      <c r="F62" s="33"/>
      <c r="G62" s="33"/>
      <c r="H62" s="33"/>
      <c r="I62" s="101"/>
      <c r="J62" s="101"/>
      <c r="K62" s="101"/>
      <c r="L62" s="101"/>
      <c r="M62" s="101"/>
      <c r="N62" s="101"/>
      <c r="O62" s="101"/>
      <c r="P62" s="101"/>
      <c r="Q62" s="101"/>
      <c r="R62" s="101"/>
    </row>
    <row r="63" spans="1:18" ht="19.5" customHeight="1">
      <c r="A63" s="4"/>
      <c r="B63" s="4"/>
      <c r="C63" s="4"/>
      <c r="D63" s="4"/>
      <c r="E63" s="4"/>
      <c r="F63" s="33"/>
      <c r="G63" s="33"/>
      <c r="H63" s="33"/>
      <c r="I63" s="101"/>
      <c r="J63" s="101"/>
      <c r="K63" s="101"/>
      <c r="L63" s="101"/>
      <c r="M63" s="101"/>
      <c r="N63" s="101"/>
      <c r="O63" s="101"/>
      <c r="P63" s="101"/>
      <c r="Q63" s="101"/>
      <c r="R63" s="101"/>
    </row>
    <row r="64" spans="1:18" ht="19.5" customHeight="1">
      <c r="A64" s="4"/>
      <c r="B64" s="4"/>
      <c r="C64" s="4"/>
      <c r="D64" s="4"/>
      <c r="E64" s="4"/>
      <c r="F64" s="33"/>
      <c r="G64" s="33"/>
      <c r="H64" s="33"/>
      <c r="I64" s="101"/>
      <c r="J64" s="101"/>
      <c r="K64" s="101"/>
      <c r="L64" s="101"/>
      <c r="M64" s="101"/>
      <c r="N64" s="101"/>
      <c r="O64" s="101"/>
      <c r="P64" s="101"/>
      <c r="Q64" s="101"/>
      <c r="R64" s="101"/>
    </row>
    <row r="65" spans="1:18" ht="19.5" customHeight="1">
      <c r="A65" s="4"/>
      <c r="B65" s="4"/>
      <c r="C65" s="4"/>
      <c r="D65" s="4"/>
      <c r="E65" s="4"/>
      <c r="F65" s="33"/>
      <c r="G65" s="33"/>
      <c r="H65" s="33"/>
      <c r="I65" s="101"/>
      <c r="J65" s="101"/>
      <c r="K65" s="101"/>
      <c r="L65" s="101"/>
      <c r="M65" s="101"/>
      <c r="N65" s="101"/>
      <c r="O65" s="101"/>
      <c r="P65" s="101"/>
      <c r="Q65" s="101"/>
      <c r="R65" s="101"/>
    </row>
    <row r="66" spans="1:12" ht="19.5" customHeight="1">
      <c r="A66" s="4"/>
      <c r="B66" s="4"/>
      <c r="C66" s="4"/>
      <c r="D66" s="4" t="s">
        <v>1252</v>
      </c>
      <c r="E66" s="4"/>
      <c r="G66" s="4"/>
      <c r="H66" s="4"/>
      <c r="I66" s="4"/>
      <c r="J66" s="4"/>
      <c r="K66" s="4"/>
      <c r="L66" s="4"/>
    </row>
    <row r="67" spans="1:45" ht="19.5" customHeight="1">
      <c r="A67" s="4"/>
      <c r="B67" s="4"/>
      <c r="C67" s="4"/>
      <c r="D67" s="30"/>
      <c r="E67" s="30" t="s">
        <v>1253</v>
      </c>
      <c r="G67" s="4"/>
      <c r="H67" s="4"/>
      <c r="I67" s="4"/>
      <c r="J67" s="4"/>
      <c r="K67" s="4"/>
      <c r="L67" s="4"/>
      <c r="AS67" s="6"/>
    </row>
    <row r="68" spans="1:76" s="28" customFormat="1" ht="19.5" customHeight="1">
      <c r="A68" s="110"/>
      <c r="B68" s="86"/>
      <c r="C68" s="86"/>
      <c r="D68" s="86"/>
      <c r="E68" s="86"/>
      <c r="F68" s="86"/>
      <c r="G68" s="86"/>
      <c r="H68" s="86"/>
      <c r="I68" s="86"/>
      <c r="J68" s="86"/>
      <c r="K68" s="86"/>
      <c r="L68" s="86"/>
      <c r="M68" s="86"/>
      <c r="N68" s="111"/>
      <c r="O68" s="111"/>
      <c r="P68" s="111"/>
      <c r="Q68" s="111"/>
      <c r="R68" s="111"/>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row>
    <row r="69" spans="1:76" s="28" customFormat="1" ht="19.5" customHeight="1">
      <c r="A69" s="86"/>
      <c r="B69" s="86"/>
      <c r="C69" s="86"/>
      <c r="D69" s="86"/>
      <c r="E69" s="86"/>
      <c r="F69" s="86"/>
      <c r="G69" s="88"/>
      <c r="H69" s="88"/>
      <c r="I69" s="88"/>
      <c r="J69" s="86"/>
      <c r="K69" s="351"/>
      <c r="L69" s="351"/>
      <c r="M69" s="351"/>
      <c r="N69" s="111"/>
      <c r="O69" s="111"/>
      <c r="P69" s="111"/>
      <c r="Q69" s="111"/>
      <c r="R69" s="111"/>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row>
    <row r="70" spans="1:76" s="28" customFormat="1" ht="19.5" customHeight="1">
      <c r="A70" s="86"/>
      <c r="B70" s="86"/>
      <c r="C70" s="86"/>
      <c r="D70" s="86"/>
      <c r="E70" s="86"/>
      <c r="F70" s="86"/>
      <c r="G70" s="86"/>
      <c r="H70" s="86"/>
      <c r="I70" s="86"/>
      <c r="J70" s="86"/>
      <c r="K70" s="86"/>
      <c r="L70" s="86"/>
      <c r="M70" s="86"/>
      <c r="N70" s="111"/>
      <c r="O70" s="112"/>
      <c r="P70" s="111"/>
      <c r="Q70" s="111"/>
      <c r="R70" s="111"/>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row>
    <row r="71" spans="1:76" s="28" customFormat="1" ht="19.5" customHeight="1">
      <c r="A71" s="86"/>
      <c r="B71" s="86"/>
      <c r="C71" s="86"/>
      <c r="D71" s="86"/>
      <c r="E71" s="86"/>
      <c r="F71" s="86"/>
      <c r="G71" s="86"/>
      <c r="H71" s="86"/>
      <c r="I71" s="86"/>
      <c r="J71" s="86"/>
      <c r="K71" s="86"/>
      <c r="L71" s="86"/>
      <c r="M71" s="86"/>
      <c r="N71" s="111"/>
      <c r="O71" s="112"/>
      <c r="P71" s="111"/>
      <c r="Q71" s="111"/>
      <c r="R71" s="111"/>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row>
    <row r="72" spans="1:76" s="28" customFormat="1" ht="19.5" customHeight="1">
      <c r="A72" s="86"/>
      <c r="B72" s="113"/>
      <c r="C72" s="86"/>
      <c r="D72" s="86"/>
      <c r="E72" s="86"/>
      <c r="F72" s="86"/>
      <c r="G72" s="352"/>
      <c r="H72" s="352"/>
      <c r="I72" s="352"/>
      <c r="J72" s="86"/>
      <c r="K72" s="86"/>
      <c r="L72" s="86"/>
      <c r="M72" s="113"/>
      <c r="N72" s="111"/>
      <c r="O72" s="111"/>
      <c r="P72" s="111"/>
      <c r="Q72" s="111"/>
      <c r="R72" s="111"/>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row>
    <row r="73" spans="1:76" s="28" customFormat="1" ht="19.5" customHeight="1">
      <c r="A73" s="86"/>
      <c r="B73" s="113"/>
      <c r="C73" s="86"/>
      <c r="D73" s="88"/>
      <c r="E73" s="86"/>
      <c r="F73" s="86"/>
      <c r="G73" s="86"/>
      <c r="H73" s="88"/>
      <c r="I73" s="86"/>
      <c r="J73" s="86"/>
      <c r="K73" s="86"/>
      <c r="L73" s="114"/>
      <c r="M73" s="86"/>
      <c r="N73" s="111"/>
      <c r="O73" s="111"/>
      <c r="P73" s="111"/>
      <c r="Q73" s="111"/>
      <c r="R73" s="111"/>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row>
    <row r="74" spans="1:76" s="28" customFormat="1" ht="19.5" customHeight="1">
      <c r="A74" s="86"/>
      <c r="B74" s="113"/>
      <c r="C74" s="86"/>
      <c r="D74" s="115"/>
      <c r="E74" s="86"/>
      <c r="F74" s="86"/>
      <c r="G74" s="86"/>
      <c r="H74" s="86"/>
      <c r="I74" s="86"/>
      <c r="J74" s="86"/>
      <c r="K74" s="115"/>
      <c r="L74" s="353"/>
      <c r="M74" s="113"/>
      <c r="N74" s="111"/>
      <c r="O74" s="111"/>
      <c r="P74" s="111"/>
      <c r="Q74" s="111"/>
      <c r="R74" s="111"/>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row>
    <row r="75" spans="1:76" s="28" customFormat="1" ht="19.5" customHeight="1">
      <c r="A75" s="86"/>
      <c r="B75" s="113"/>
      <c r="C75" s="86"/>
      <c r="D75" s="86"/>
      <c r="E75" s="86"/>
      <c r="F75" s="86"/>
      <c r="G75" s="86"/>
      <c r="H75" s="88"/>
      <c r="I75" s="86"/>
      <c r="J75" s="86"/>
      <c r="K75" s="86"/>
      <c r="L75" s="353"/>
      <c r="M75" s="113"/>
      <c r="N75" s="111"/>
      <c r="O75" s="111"/>
      <c r="P75" s="111"/>
      <c r="Q75" s="111"/>
      <c r="R75" s="111"/>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row>
    <row r="76" spans="1:76" s="28" customFormat="1" ht="19.5" customHeight="1">
      <c r="A76" s="86"/>
      <c r="B76" s="86"/>
      <c r="C76" s="86"/>
      <c r="D76" s="86"/>
      <c r="E76" s="86"/>
      <c r="F76" s="86"/>
      <c r="G76" s="86"/>
      <c r="H76" s="86"/>
      <c r="I76" s="86"/>
      <c r="J76" s="86"/>
      <c r="K76" s="86"/>
      <c r="L76" s="86"/>
      <c r="M76" s="86"/>
      <c r="N76" s="111"/>
      <c r="O76" s="111"/>
      <c r="P76" s="111"/>
      <c r="Q76" s="111"/>
      <c r="R76" s="111"/>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row>
    <row r="77" spans="1:76" s="28" customFormat="1" ht="19.5" customHeight="1">
      <c r="A77" s="86"/>
      <c r="B77" s="86"/>
      <c r="C77" s="86"/>
      <c r="D77" s="86"/>
      <c r="E77" s="86"/>
      <c r="F77" s="86"/>
      <c r="G77" s="277" t="s">
        <v>150</v>
      </c>
      <c r="H77" s="277"/>
      <c r="I77" s="277"/>
      <c r="J77" s="354">
        <v>0.25</v>
      </c>
      <c r="K77" s="354"/>
      <c r="L77" s="354"/>
      <c r="M77" s="354"/>
      <c r="N77" s="278" t="s">
        <v>956</v>
      </c>
      <c r="O77" s="278"/>
      <c r="P77" s="279">
        <v>24.5</v>
      </c>
      <c r="Q77" s="279"/>
      <c r="R77" s="279"/>
      <c r="S77" s="277" t="s">
        <v>915</v>
      </c>
      <c r="T77" s="277"/>
      <c r="U77" s="277"/>
      <c r="V77" s="277"/>
      <c r="W77" s="86" t="s">
        <v>958</v>
      </c>
      <c r="X77" s="276">
        <f aca="true" t="shared" si="0" ref="X77:X91">J77*P77</f>
        <v>6.125</v>
      </c>
      <c r="Y77" s="276"/>
      <c r="Z77" s="276"/>
      <c r="AA77" s="276"/>
      <c r="AB77" s="277" t="s">
        <v>179</v>
      </c>
      <c r="AC77" s="277"/>
      <c r="AD77" s="277"/>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row>
    <row r="78" spans="1:76" s="28" customFormat="1" ht="19.5" customHeight="1">
      <c r="A78" s="86"/>
      <c r="B78" s="86"/>
      <c r="C78" s="86"/>
      <c r="D78" s="86"/>
      <c r="E78" s="86"/>
      <c r="F78" s="86"/>
      <c r="G78" s="277" t="s">
        <v>151</v>
      </c>
      <c r="H78" s="277"/>
      <c r="I78" s="277"/>
      <c r="J78" s="354">
        <v>0.38</v>
      </c>
      <c r="K78" s="354"/>
      <c r="L78" s="354"/>
      <c r="M78" s="354"/>
      <c r="N78" s="278" t="s">
        <v>956</v>
      </c>
      <c r="O78" s="278"/>
      <c r="P78" s="279">
        <v>24.5</v>
      </c>
      <c r="Q78" s="279"/>
      <c r="R78" s="279"/>
      <c r="S78" s="277" t="s">
        <v>915</v>
      </c>
      <c r="T78" s="277"/>
      <c r="U78" s="277"/>
      <c r="V78" s="277"/>
      <c r="W78" s="86" t="s">
        <v>958</v>
      </c>
      <c r="X78" s="276">
        <f t="shared" si="0"/>
        <v>9.31</v>
      </c>
      <c r="Y78" s="276"/>
      <c r="Z78" s="276"/>
      <c r="AA78" s="276"/>
      <c r="AB78" s="277" t="s">
        <v>179</v>
      </c>
      <c r="AC78" s="277"/>
      <c r="AD78" s="277"/>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row>
    <row r="79" spans="1:76" s="28" customFormat="1" ht="19.5" customHeight="1">
      <c r="A79" s="86"/>
      <c r="B79" s="86"/>
      <c r="C79" s="86"/>
      <c r="D79" s="86"/>
      <c r="E79" s="86"/>
      <c r="F79" s="86"/>
      <c r="G79" s="277" t="s">
        <v>152</v>
      </c>
      <c r="H79" s="277"/>
      <c r="I79" s="277"/>
      <c r="J79" s="354">
        <v>0.38</v>
      </c>
      <c r="K79" s="354"/>
      <c r="L79" s="354"/>
      <c r="M79" s="354"/>
      <c r="N79" s="278" t="s">
        <v>956</v>
      </c>
      <c r="O79" s="278"/>
      <c r="P79" s="279">
        <v>24.5</v>
      </c>
      <c r="Q79" s="279"/>
      <c r="R79" s="279"/>
      <c r="S79" s="277" t="s">
        <v>915</v>
      </c>
      <c r="T79" s="277"/>
      <c r="U79" s="277"/>
      <c r="V79" s="277"/>
      <c r="W79" s="86" t="s">
        <v>958</v>
      </c>
      <c r="X79" s="276">
        <f t="shared" si="0"/>
        <v>9.31</v>
      </c>
      <c r="Y79" s="276"/>
      <c r="Z79" s="276"/>
      <c r="AA79" s="276"/>
      <c r="AB79" s="277" t="s">
        <v>179</v>
      </c>
      <c r="AC79" s="277"/>
      <c r="AD79" s="277"/>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row>
    <row r="80" spans="1:76" s="28" customFormat="1" ht="19.5" customHeight="1">
      <c r="A80" s="86"/>
      <c r="B80" s="86"/>
      <c r="C80" s="86"/>
      <c r="D80" s="86"/>
      <c r="E80" s="86"/>
      <c r="F80" s="86"/>
      <c r="G80" s="277" t="s">
        <v>153</v>
      </c>
      <c r="H80" s="277"/>
      <c r="I80" s="277"/>
      <c r="J80" s="354">
        <v>0.38</v>
      </c>
      <c r="K80" s="354"/>
      <c r="L80" s="354"/>
      <c r="M80" s="354"/>
      <c r="N80" s="278" t="s">
        <v>956</v>
      </c>
      <c r="O80" s="278"/>
      <c r="P80" s="279">
        <v>24.5</v>
      </c>
      <c r="Q80" s="279"/>
      <c r="R80" s="279"/>
      <c r="S80" s="277" t="s">
        <v>915</v>
      </c>
      <c r="T80" s="277"/>
      <c r="U80" s="277"/>
      <c r="V80" s="277"/>
      <c r="W80" s="86" t="s">
        <v>958</v>
      </c>
      <c r="X80" s="276">
        <f t="shared" si="0"/>
        <v>9.31</v>
      </c>
      <c r="Y80" s="276"/>
      <c r="Z80" s="276"/>
      <c r="AA80" s="276"/>
      <c r="AB80" s="277" t="s">
        <v>179</v>
      </c>
      <c r="AC80" s="277"/>
      <c r="AD80" s="277"/>
      <c r="AE80" s="86"/>
      <c r="AF80" s="86"/>
      <c r="AG80" s="86"/>
      <c r="AH80" s="86"/>
      <c r="BG80" s="86"/>
      <c r="BH80" s="86"/>
      <c r="BI80" s="86"/>
      <c r="BJ80" s="86"/>
      <c r="BK80" s="86"/>
      <c r="BL80" s="86"/>
      <c r="BM80" s="86"/>
      <c r="BN80" s="86"/>
      <c r="BO80" s="86"/>
      <c r="BP80" s="86"/>
      <c r="BQ80" s="86"/>
      <c r="BR80" s="86"/>
      <c r="BS80" s="86"/>
      <c r="BT80" s="86"/>
      <c r="BU80" s="86"/>
      <c r="BV80" s="86"/>
      <c r="BW80" s="86"/>
      <c r="BX80" s="86"/>
    </row>
    <row r="81" spans="1:76" s="28" customFormat="1" ht="19.5" customHeight="1">
      <c r="A81" s="86"/>
      <c r="B81" s="86"/>
      <c r="C81" s="86"/>
      <c r="D81" s="86"/>
      <c r="E81" s="86"/>
      <c r="F81" s="86"/>
      <c r="G81" s="277" t="s">
        <v>154</v>
      </c>
      <c r="H81" s="277"/>
      <c r="I81" s="277"/>
      <c r="J81" s="354">
        <v>0.38</v>
      </c>
      <c r="K81" s="354"/>
      <c r="L81" s="354"/>
      <c r="M81" s="354"/>
      <c r="N81" s="278" t="s">
        <v>956</v>
      </c>
      <c r="O81" s="278"/>
      <c r="P81" s="279">
        <v>24.5</v>
      </c>
      <c r="Q81" s="279"/>
      <c r="R81" s="279"/>
      <c r="S81" s="277" t="s">
        <v>915</v>
      </c>
      <c r="T81" s="277"/>
      <c r="U81" s="277"/>
      <c r="V81" s="277"/>
      <c r="W81" s="86" t="s">
        <v>958</v>
      </c>
      <c r="X81" s="276">
        <f t="shared" si="0"/>
        <v>9.31</v>
      </c>
      <c r="Y81" s="276"/>
      <c r="Z81" s="276"/>
      <c r="AA81" s="276"/>
      <c r="AB81" s="277" t="s">
        <v>179</v>
      </c>
      <c r="AC81" s="277"/>
      <c r="AD81" s="277"/>
      <c r="AE81" s="86"/>
      <c r="AF81" s="86"/>
      <c r="AG81" s="86"/>
      <c r="AH81" s="86"/>
      <c r="BG81" s="86"/>
      <c r="BH81" s="86"/>
      <c r="BI81" s="86"/>
      <c r="BJ81" s="86"/>
      <c r="BK81" s="86"/>
      <c r="BL81" s="86"/>
      <c r="BM81" s="86"/>
      <c r="BN81" s="86"/>
      <c r="BO81" s="86"/>
      <c r="BP81" s="86"/>
      <c r="BQ81" s="86"/>
      <c r="BR81" s="86"/>
      <c r="BS81" s="86"/>
      <c r="BT81" s="86"/>
      <c r="BU81" s="86"/>
      <c r="BV81" s="86"/>
      <c r="BW81" s="86"/>
      <c r="BX81" s="86"/>
    </row>
    <row r="82" spans="1:76" s="28" customFormat="1" ht="19.5" customHeight="1">
      <c r="A82" s="86"/>
      <c r="B82" s="86"/>
      <c r="C82" s="86"/>
      <c r="D82" s="86"/>
      <c r="E82" s="86"/>
      <c r="F82" s="86"/>
      <c r="G82" s="277" t="s">
        <v>868</v>
      </c>
      <c r="H82" s="277"/>
      <c r="I82" s="277"/>
      <c r="J82" s="354">
        <v>0.38</v>
      </c>
      <c r="K82" s="354"/>
      <c r="L82" s="354"/>
      <c r="M82" s="354"/>
      <c r="N82" s="278" t="s">
        <v>956</v>
      </c>
      <c r="O82" s="278"/>
      <c r="P82" s="279">
        <v>24.5</v>
      </c>
      <c r="Q82" s="279"/>
      <c r="R82" s="279"/>
      <c r="S82" s="277" t="s">
        <v>915</v>
      </c>
      <c r="T82" s="277"/>
      <c r="U82" s="277"/>
      <c r="V82" s="277"/>
      <c r="W82" s="86" t="s">
        <v>958</v>
      </c>
      <c r="X82" s="276">
        <f t="shared" si="0"/>
        <v>9.31</v>
      </c>
      <c r="Y82" s="276"/>
      <c r="Z82" s="276"/>
      <c r="AA82" s="276"/>
      <c r="AB82" s="277" t="s">
        <v>179</v>
      </c>
      <c r="AC82" s="277"/>
      <c r="AD82" s="277"/>
      <c r="AE82" s="86"/>
      <c r="AF82" s="86"/>
      <c r="AG82" s="86"/>
      <c r="AH82" s="86"/>
      <c r="BG82" s="86"/>
      <c r="BH82" s="86"/>
      <c r="BI82" s="86"/>
      <c r="BJ82" s="86"/>
      <c r="BK82" s="86"/>
      <c r="BL82" s="86"/>
      <c r="BM82" s="86"/>
      <c r="BN82" s="86"/>
      <c r="BO82" s="86"/>
      <c r="BP82" s="86"/>
      <c r="BQ82" s="86"/>
      <c r="BR82" s="86"/>
      <c r="BS82" s="86"/>
      <c r="BT82" s="86"/>
      <c r="BU82" s="86"/>
      <c r="BV82" s="86"/>
      <c r="BW82" s="86"/>
      <c r="BX82" s="86"/>
    </row>
    <row r="83" spans="1:76" s="28" customFormat="1" ht="19.5" customHeight="1">
      <c r="A83" s="86"/>
      <c r="B83" s="86"/>
      <c r="C83" s="86"/>
      <c r="D83" s="86"/>
      <c r="E83" s="86"/>
      <c r="F83" s="86"/>
      <c r="G83" s="277" t="s">
        <v>869</v>
      </c>
      <c r="H83" s="277"/>
      <c r="I83" s="277"/>
      <c r="J83" s="354">
        <v>0.38</v>
      </c>
      <c r="K83" s="354"/>
      <c r="L83" s="354"/>
      <c r="M83" s="354"/>
      <c r="N83" s="278" t="s">
        <v>956</v>
      </c>
      <c r="O83" s="278"/>
      <c r="P83" s="279">
        <v>24.5</v>
      </c>
      <c r="Q83" s="279"/>
      <c r="R83" s="279"/>
      <c r="S83" s="277" t="s">
        <v>915</v>
      </c>
      <c r="T83" s="277"/>
      <c r="U83" s="277"/>
      <c r="V83" s="277"/>
      <c r="W83" s="86" t="s">
        <v>958</v>
      </c>
      <c r="X83" s="276">
        <f t="shared" si="0"/>
        <v>9.31</v>
      </c>
      <c r="Y83" s="276"/>
      <c r="Z83" s="276"/>
      <c r="AA83" s="276"/>
      <c r="AB83" s="277" t="s">
        <v>179</v>
      </c>
      <c r="AC83" s="277"/>
      <c r="AD83" s="277"/>
      <c r="AE83" s="86"/>
      <c r="AF83" s="86"/>
      <c r="AG83" s="86"/>
      <c r="AH83" s="86"/>
      <c r="BG83" s="86"/>
      <c r="BH83" s="86"/>
      <c r="BI83" s="86"/>
      <c r="BJ83" s="86"/>
      <c r="BK83" s="86"/>
      <c r="BL83" s="86"/>
      <c r="BM83" s="86"/>
      <c r="BN83" s="86"/>
      <c r="BO83" s="86"/>
      <c r="BP83" s="86"/>
      <c r="BQ83" s="86"/>
      <c r="BR83" s="86"/>
      <c r="BS83" s="86"/>
      <c r="BT83" s="86"/>
      <c r="BU83" s="86"/>
      <c r="BV83" s="86"/>
      <c r="BW83" s="86"/>
      <c r="BX83" s="86"/>
    </row>
    <row r="84" spans="1:76" s="28" customFormat="1" ht="19.5" customHeight="1">
      <c r="A84" s="86"/>
      <c r="B84" s="86"/>
      <c r="C84" s="86"/>
      <c r="D84" s="86"/>
      <c r="E84" s="86"/>
      <c r="F84" s="86"/>
      <c r="G84" s="277" t="s">
        <v>870</v>
      </c>
      <c r="H84" s="277"/>
      <c r="I84" s="277"/>
      <c r="J84" s="354">
        <v>0.38</v>
      </c>
      <c r="K84" s="354"/>
      <c r="L84" s="354"/>
      <c r="M84" s="354"/>
      <c r="N84" s="278" t="s">
        <v>956</v>
      </c>
      <c r="O84" s="278"/>
      <c r="P84" s="279">
        <v>24.5</v>
      </c>
      <c r="Q84" s="279"/>
      <c r="R84" s="279"/>
      <c r="S84" s="277" t="s">
        <v>915</v>
      </c>
      <c r="T84" s="277"/>
      <c r="U84" s="277"/>
      <c r="V84" s="277"/>
      <c r="W84" s="86" t="s">
        <v>958</v>
      </c>
      <c r="X84" s="276">
        <f t="shared" si="0"/>
        <v>9.31</v>
      </c>
      <c r="Y84" s="276"/>
      <c r="Z84" s="276"/>
      <c r="AA84" s="276"/>
      <c r="AB84" s="277" t="s">
        <v>179</v>
      </c>
      <c r="AC84" s="277"/>
      <c r="AD84" s="277"/>
      <c r="AE84" s="86"/>
      <c r="AF84" s="86"/>
      <c r="AG84" s="86"/>
      <c r="AH84" s="86"/>
      <c r="BG84" s="86"/>
      <c r="BH84" s="86"/>
      <c r="BI84" s="86"/>
      <c r="BJ84" s="86"/>
      <c r="BK84" s="86"/>
      <c r="BL84" s="86"/>
      <c r="BM84" s="86"/>
      <c r="BN84" s="86"/>
      <c r="BO84" s="86"/>
      <c r="BP84" s="86"/>
      <c r="BQ84" s="86"/>
      <c r="BR84" s="86"/>
      <c r="BS84" s="86"/>
      <c r="BT84" s="86"/>
      <c r="BU84" s="86"/>
      <c r="BV84" s="86"/>
      <c r="BW84" s="86"/>
      <c r="BX84" s="86"/>
    </row>
    <row r="85" spans="1:76" s="28" customFormat="1" ht="19.5" customHeight="1">
      <c r="A85" s="86"/>
      <c r="B85" s="86"/>
      <c r="C85" s="86"/>
      <c r="D85" s="86"/>
      <c r="E85" s="86"/>
      <c r="F85" s="86"/>
      <c r="G85" s="277" t="s">
        <v>871</v>
      </c>
      <c r="H85" s="277"/>
      <c r="I85" s="277"/>
      <c r="J85" s="354">
        <v>0.38</v>
      </c>
      <c r="K85" s="354"/>
      <c r="L85" s="354"/>
      <c r="M85" s="354"/>
      <c r="N85" s="278" t="s">
        <v>956</v>
      </c>
      <c r="O85" s="278"/>
      <c r="P85" s="279">
        <v>24.5</v>
      </c>
      <c r="Q85" s="279"/>
      <c r="R85" s="279"/>
      <c r="S85" s="277" t="s">
        <v>915</v>
      </c>
      <c r="T85" s="277"/>
      <c r="U85" s="277"/>
      <c r="V85" s="277"/>
      <c r="W85" s="86" t="s">
        <v>958</v>
      </c>
      <c r="X85" s="276">
        <f t="shared" si="0"/>
        <v>9.31</v>
      </c>
      <c r="Y85" s="276"/>
      <c r="Z85" s="276"/>
      <c r="AA85" s="276"/>
      <c r="AB85" s="277" t="s">
        <v>179</v>
      </c>
      <c r="AC85" s="277"/>
      <c r="AD85" s="277"/>
      <c r="AE85" s="86"/>
      <c r="AF85" s="86"/>
      <c r="AG85" s="86"/>
      <c r="AH85" s="86"/>
      <c r="BG85" s="86"/>
      <c r="BH85" s="86"/>
      <c r="BI85" s="86"/>
      <c r="BJ85" s="86"/>
      <c r="BK85" s="86"/>
      <c r="BL85" s="86"/>
      <c r="BM85" s="86"/>
      <c r="BN85" s="86"/>
      <c r="BO85" s="86"/>
      <c r="BP85" s="86"/>
      <c r="BQ85" s="86"/>
      <c r="BR85" s="86"/>
      <c r="BS85" s="86"/>
      <c r="BT85" s="86"/>
      <c r="BU85" s="86"/>
      <c r="BV85" s="86"/>
      <c r="BW85" s="86"/>
      <c r="BX85" s="86"/>
    </row>
    <row r="86" spans="1:76" s="28" customFormat="1" ht="19.5" customHeight="1">
      <c r="A86" s="86"/>
      <c r="B86" s="86"/>
      <c r="C86" s="86"/>
      <c r="D86" s="86"/>
      <c r="E86" s="86"/>
      <c r="F86" s="86"/>
      <c r="G86" s="277" t="s">
        <v>872</v>
      </c>
      <c r="H86" s="277"/>
      <c r="I86" s="277"/>
      <c r="J86" s="354">
        <v>0.38</v>
      </c>
      <c r="K86" s="354"/>
      <c r="L86" s="354"/>
      <c r="M86" s="354"/>
      <c r="N86" s="278" t="s">
        <v>956</v>
      </c>
      <c r="O86" s="278"/>
      <c r="P86" s="279">
        <v>24.5</v>
      </c>
      <c r="Q86" s="279"/>
      <c r="R86" s="279"/>
      <c r="S86" s="277" t="s">
        <v>915</v>
      </c>
      <c r="T86" s="277"/>
      <c r="U86" s="277"/>
      <c r="V86" s="277"/>
      <c r="W86" s="86" t="s">
        <v>958</v>
      </c>
      <c r="X86" s="276">
        <f t="shared" si="0"/>
        <v>9.31</v>
      </c>
      <c r="Y86" s="276"/>
      <c r="Z86" s="276"/>
      <c r="AA86" s="276"/>
      <c r="AB86" s="277" t="s">
        <v>179</v>
      </c>
      <c r="AC86" s="277"/>
      <c r="AD86" s="277"/>
      <c r="AE86" s="86"/>
      <c r="AF86" s="86"/>
      <c r="AG86" s="86"/>
      <c r="AH86" s="86"/>
      <c r="BG86" s="86"/>
      <c r="BH86" s="86"/>
      <c r="BI86" s="86"/>
      <c r="BJ86" s="86"/>
      <c r="BK86" s="86"/>
      <c r="BL86" s="86"/>
      <c r="BM86" s="86"/>
      <c r="BN86" s="86"/>
      <c r="BO86" s="86"/>
      <c r="BP86" s="86"/>
      <c r="BQ86" s="86"/>
      <c r="BR86" s="86"/>
      <c r="BS86" s="86"/>
      <c r="BT86" s="86"/>
      <c r="BU86" s="86"/>
      <c r="BV86" s="86"/>
      <c r="BW86" s="86"/>
      <c r="BX86" s="86"/>
    </row>
    <row r="87" spans="1:76" s="28" customFormat="1" ht="19.5" customHeight="1">
      <c r="A87" s="86"/>
      <c r="B87" s="86"/>
      <c r="C87" s="86"/>
      <c r="D87" s="86"/>
      <c r="E87" s="86"/>
      <c r="F87" s="86"/>
      <c r="G87" s="277" t="s">
        <v>873</v>
      </c>
      <c r="H87" s="277"/>
      <c r="I87" s="277"/>
      <c r="J87" s="354">
        <v>0.38</v>
      </c>
      <c r="K87" s="354"/>
      <c r="L87" s="354"/>
      <c r="M87" s="354"/>
      <c r="N87" s="278" t="s">
        <v>956</v>
      </c>
      <c r="O87" s="278"/>
      <c r="P87" s="279">
        <v>24.5</v>
      </c>
      <c r="Q87" s="279"/>
      <c r="R87" s="279"/>
      <c r="S87" s="277" t="s">
        <v>915</v>
      </c>
      <c r="T87" s="277"/>
      <c r="U87" s="277"/>
      <c r="V87" s="277"/>
      <c r="W87" s="86" t="s">
        <v>958</v>
      </c>
      <c r="X87" s="276">
        <f t="shared" si="0"/>
        <v>9.31</v>
      </c>
      <c r="Y87" s="276"/>
      <c r="Z87" s="276"/>
      <c r="AA87" s="276"/>
      <c r="AB87" s="277" t="s">
        <v>179</v>
      </c>
      <c r="AC87" s="277"/>
      <c r="AD87" s="277"/>
      <c r="AE87" s="86"/>
      <c r="AF87" s="86"/>
      <c r="AG87" s="86"/>
      <c r="AH87" s="86"/>
      <c r="BG87" s="86"/>
      <c r="BH87" s="86"/>
      <c r="BI87" s="86"/>
      <c r="BJ87" s="86"/>
      <c r="BK87" s="86"/>
      <c r="BL87" s="86"/>
      <c r="BM87" s="86"/>
      <c r="BN87" s="86"/>
      <c r="BO87" s="86"/>
      <c r="BP87" s="86"/>
      <c r="BQ87" s="86"/>
      <c r="BR87" s="86"/>
      <c r="BS87" s="86"/>
      <c r="BT87" s="86"/>
      <c r="BU87" s="86"/>
      <c r="BV87" s="86"/>
      <c r="BW87" s="86"/>
      <c r="BX87" s="86"/>
    </row>
    <row r="88" spans="1:76" s="28" customFormat="1" ht="19.5" customHeight="1">
      <c r="A88" s="86"/>
      <c r="B88" s="86"/>
      <c r="C88" s="86"/>
      <c r="D88" s="86"/>
      <c r="E88" s="86"/>
      <c r="F88" s="86"/>
      <c r="G88" s="277" t="s">
        <v>1017</v>
      </c>
      <c r="H88" s="277"/>
      <c r="I88" s="277"/>
      <c r="J88" s="354">
        <v>0.38</v>
      </c>
      <c r="K88" s="354"/>
      <c r="L88" s="354"/>
      <c r="M88" s="354"/>
      <c r="N88" s="278" t="s">
        <v>956</v>
      </c>
      <c r="O88" s="278"/>
      <c r="P88" s="279">
        <v>24.5</v>
      </c>
      <c r="Q88" s="279"/>
      <c r="R88" s="279"/>
      <c r="S88" s="277" t="s">
        <v>915</v>
      </c>
      <c r="T88" s="277"/>
      <c r="U88" s="277"/>
      <c r="V88" s="277"/>
      <c r="W88" s="86" t="s">
        <v>958</v>
      </c>
      <c r="X88" s="276">
        <f t="shared" si="0"/>
        <v>9.31</v>
      </c>
      <c r="Y88" s="276"/>
      <c r="Z88" s="276"/>
      <c r="AA88" s="276"/>
      <c r="AB88" s="277" t="s">
        <v>179</v>
      </c>
      <c r="AC88" s="277"/>
      <c r="AD88" s="277"/>
      <c r="AE88" s="86"/>
      <c r="AF88" s="86"/>
      <c r="AG88" s="86"/>
      <c r="AH88" s="86"/>
      <c r="BG88" s="86"/>
      <c r="BH88" s="86"/>
      <c r="BI88" s="86"/>
      <c r="BJ88" s="86"/>
      <c r="BK88" s="86"/>
      <c r="BL88" s="86"/>
      <c r="BM88" s="86"/>
      <c r="BN88" s="86"/>
      <c r="BO88" s="86"/>
      <c r="BP88" s="86"/>
      <c r="BQ88" s="86"/>
      <c r="BR88" s="86"/>
      <c r="BS88" s="86"/>
      <c r="BT88" s="86"/>
      <c r="BU88" s="86"/>
      <c r="BV88" s="86"/>
      <c r="BW88" s="86"/>
      <c r="BX88" s="86"/>
    </row>
    <row r="89" spans="1:76" s="28" customFormat="1" ht="19.5" customHeight="1">
      <c r="A89" s="86"/>
      <c r="B89" s="86"/>
      <c r="C89" s="86"/>
      <c r="D89" s="86"/>
      <c r="E89" s="86"/>
      <c r="F89" s="86"/>
      <c r="G89" s="277" t="s">
        <v>180</v>
      </c>
      <c r="H89" s="277"/>
      <c r="I89" s="277"/>
      <c r="J89" s="354">
        <v>0.38</v>
      </c>
      <c r="K89" s="354"/>
      <c r="L89" s="354"/>
      <c r="M89" s="354"/>
      <c r="N89" s="278" t="s">
        <v>956</v>
      </c>
      <c r="O89" s="278"/>
      <c r="P89" s="279">
        <v>24.5</v>
      </c>
      <c r="Q89" s="279"/>
      <c r="R89" s="279"/>
      <c r="S89" s="277" t="s">
        <v>915</v>
      </c>
      <c r="T89" s="277"/>
      <c r="U89" s="277"/>
      <c r="V89" s="277"/>
      <c r="W89" s="86" t="s">
        <v>958</v>
      </c>
      <c r="X89" s="276">
        <f t="shared" si="0"/>
        <v>9.31</v>
      </c>
      <c r="Y89" s="276"/>
      <c r="Z89" s="276"/>
      <c r="AA89" s="276"/>
      <c r="AB89" s="277" t="s">
        <v>179</v>
      </c>
      <c r="AC89" s="277"/>
      <c r="AD89" s="277"/>
      <c r="AE89" s="86"/>
      <c r="AF89" s="86"/>
      <c r="AG89" s="86"/>
      <c r="AH89" s="86"/>
      <c r="BG89" s="86"/>
      <c r="BH89" s="86"/>
      <c r="BI89" s="86"/>
      <c r="BJ89" s="86"/>
      <c r="BK89" s="86"/>
      <c r="BL89" s="86"/>
      <c r="BM89" s="86"/>
      <c r="BN89" s="86"/>
      <c r="BO89" s="86"/>
      <c r="BP89" s="86"/>
      <c r="BQ89" s="86"/>
      <c r="BR89" s="86"/>
      <c r="BS89" s="86"/>
      <c r="BT89" s="86"/>
      <c r="BU89" s="86"/>
      <c r="BV89" s="86"/>
      <c r="BW89" s="86"/>
      <c r="BX89" s="86"/>
    </row>
    <row r="90" spans="1:76" s="28" customFormat="1" ht="19.5" customHeight="1">
      <c r="A90" s="86"/>
      <c r="B90" s="86"/>
      <c r="C90" s="86"/>
      <c r="D90" s="86"/>
      <c r="E90" s="86"/>
      <c r="F90" s="86"/>
      <c r="G90" s="277" t="s">
        <v>181</v>
      </c>
      <c r="H90" s="277"/>
      <c r="I90" s="277"/>
      <c r="J90" s="354">
        <v>0.38</v>
      </c>
      <c r="K90" s="354"/>
      <c r="L90" s="354"/>
      <c r="M90" s="354"/>
      <c r="N90" s="278" t="s">
        <v>956</v>
      </c>
      <c r="O90" s="278"/>
      <c r="P90" s="279">
        <v>24.5</v>
      </c>
      <c r="Q90" s="279"/>
      <c r="R90" s="279"/>
      <c r="S90" s="277" t="s">
        <v>915</v>
      </c>
      <c r="T90" s="277"/>
      <c r="U90" s="277"/>
      <c r="V90" s="277"/>
      <c r="W90" s="86" t="s">
        <v>958</v>
      </c>
      <c r="X90" s="276">
        <f t="shared" si="0"/>
        <v>9.31</v>
      </c>
      <c r="Y90" s="276"/>
      <c r="Z90" s="276"/>
      <c r="AA90" s="276"/>
      <c r="AB90" s="277" t="s">
        <v>179</v>
      </c>
      <c r="AC90" s="277"/>
      <c r="AD90" s="277"/>
      <c r="AE90" s="86"/>
      <c r="AF90" s="86"/>
      <c r="AG90" s="86"/>
      <c r="AH90" s="86"/>
      <c r="BG90" s="86"/>
      <c r="BH90" s="86"/>
      <c r="BI90" s="86"/>
      <c r="BJ90" s="86"/>
      <c r="BK90" s="86"/>
      <c r="BL90" s="86"/>
      <c r="BM90" s="86"/>
      <c r="BN90" s="86"/>
      <c r="BO90" s="86"/>
      <c r="BP90" s="86"/>
      <c r="BQ90" s="86"/>
      <c r="BR90" s="86"/>
      <c r="BS90" s="86"/>
      <c r="BT90" s="86"/>
      <c r="BU90" s="86"/>
      <c r="BV90" s="86"/>
      <c r="BW90" s="86"/>
      <c r="BX90" s="86"/>
    </row>
    <row r="91" spans="1:76" s="28" customFormat="1" ht="19.5" customHeight="1">
      <c r="A91" s="86"/>
      <c r="B91" s="86"/>
      <c r="C91" s="86"/>
      <c r="D91" s="86"/>
      <c r="E91" s="86"/>
      <c r="F91" s="86"/>
      <c r="G91" s="277" t="s">
        <v>182</v>
      </c>
      <c r="H91" s="277"/>
      <c r="I91" s="277"/>
      <c r="J91" s="354">
        <v>0.25</v>
      </c>
      <c r="K91" s="354"/>
      <c r="L91" s="354"/>
      <c r="M91" s="354"/>
      <c r="N91" s="278" t="s">
        <v>956</v>
      </c>
      <c r="O91" s="278"/>
      <c r="P91" s="279">
        <v>24.5</v>
      </c>
      <c r="Q91" s="279"/>
      <c r="R91" s="279"/>
      <c r="S91" s="277" t="s">
        <v>915</v>
      </c>
      <c r="T91" s="277"/>
      <c r="U91" s="277"/>
      <c r="V91" s="277"/>
      <c r="W91" s="86" t="s">
        <v>958</v>
      </c>
      <c r="X91" s="276">
        <f t="shared" si="0"/>
        <v>6.125</v>
      </c>
      <c r="Y91" s="276"/>
      <c r="Z91" s="276"/>
      <c r="AA91" s="276"/>
      <c r="AB91" s="277" t="s">
        <v>179</v>
      </c>
      <c r="AC91" s="277"/>
      <c r="AD91" s="277"/>
      <c r="AE91" s="86"/>
      <c r="AF91" s="86"/>
      <c r="AG91" s="86"/>
      <c r="AH91" s="86"/>
      <c r="BG91" s="86"/>
      <c r="BH91" s="86"/>
      <c r="BI91" s="86"/>
      <c r="BJ91" s="86"/>
      <c r="BK91" s="86"/>
      <c r="BL91" s="86"/>
      <c r="BM91" s="86"/>
      <c r="BN91" s="86"/>
      <c r="BO91" s="86"/>
      <c r="BP91" s="86"/>
      <c r="BQ91" s="86"/>
      <c r="BR91" s="86"/>
      <c r="BS91" s="86"/>
      <c r="BT91" s="86"/>
      <c r="BU91" s="86"/>
      <c r="BV91" s="86"/>
      <c r="BW91" s="86"/>
      <c r="BX91" s="86"/>
    </row>
    <row r="92" spans="1:76" s="28" customFormat="1" ht="19.5" customHeight="1">
      <c r="A92" s="86"/>
      <c r="B92" s="86"/>
      <c r="C92" s="86"/>
      <c r="D92" s="86"/>
      <c r="E92" s="86"/>
      <c r="F92" s="86"/>
      <c r="G92" s="88"/>
      <c r="H92" s="88"/>
      <c r="I92" s="88"/>
      <c r="J92" s="166"/>
      <c r="K92" s="166"/>
      <c r="L92" s="166"/>
      <c r="M92" s="166"/>
      <c r="N92" s="116"/>
      <c r="O92" s="116"/>
      <c r="P92" s="167"/>
      <c r="Q92" s="167"/>
      <c r="R92" s="167"/>
      <c r="S92" s="88"/>
      <c r="T92" s="88"/>
      <c r="U92" s="88"/>
      <c r="V92" s="88"/>
      <c r="W92" s="86"/>
      <c r="X92" s="166"/>
      <c r="Y92" s="166"/>
      <c r="Z92" s="166"/>
      <c r="AA92" s="166"/>
      <c r="AB92" s="88"/>
      <c r="AC92" s="88"/>
      <c r="AD92" s="88"/>
      <c r="AE92" s="86"/>
      <c r="AF92" s="86"/>
      <c r="AG92" s="86"/>
      <c r="AH92" s="86"/>
      <c r="BG92" s="86"/>
      <c r="BH92" s="86"/>
      <c r="BI92" s="86"/>
      <c r="BJ92" s="86"/>
      <c r="BK92" s="86"/>
      <c r="BL92" s="86"/>
      <c r="BM92" s="86"/>
      <c r="BN92" s="86"/>
      <c r="BO92" s="86"/>
      <c r="BP92" s="86"/>
      <c r="BQ92" s="86"/>
      <c r="BR92" s="86"/>
      <c r="BS92" s="86"/>
      <c r="BT92" s="86"/>
      <c r="BU92" s="86"/>
      <c r="BV92" s="86"/>
      <c r="BW92" s="86"/>
      <c r="BX92" s="86"/>
    </row>
    <row r="93" spans="1:76" s="28" customFormat="1" ht="19.5" customHeight="1">
      <c r="A93" s="86"/>
      <c r="B93" s="86"/>
      <c r="C93" s="86"/>
      <c r="D93" s="86"/>
      <c r="E93" s="86"/>
      <c r="F93" s="86"/>
      <c r="G93" s="88"/>
      <c r="H93" s="88"/>
      <c r="I93" s="88"/>
      <c r="J93" s="166"/>
      <c r="K93" s="166"/>
      <c r="L93" s="166"/>
      <c r="M93" s="166"/>
      <c r="N93" s="116"/>
      <c r="O93" s="116"/>
      <c r="P93" s="167"/>
      <c r="Q93" s="167"/>
      <c r="R93" s="167"/>
      <c r="S93" s="88"/>
      <c r="T93" s="88"/>
      <c r="U93" s="88"/>
      <c r="V93" s="88"/>
      <c r="W93" s="86"/>
      <c r="X93" s="166"/>
      <c r="Y93" s="166"/>
      <c r="Z93" s="166"/>
      <c r="AA93" s="166"/>
      <c r="AB93" s="88"/>
      <c r="AC93" s="88"/>
      <c r="AD93" s="88"/>
      <c r="AE93" s="86"/>
      <c r="AF93" s="86"/>
      <c r="AG93" s="86"/>
      <c r="AH93" s="86"/>
      <c r="BG93" s="86"/>
      <c r="BH93" s="86"/>
      <c r="BI93" s="86"/>
      <c r="BJ93" s="86"/>
      <c r="BK93" s="86"/>
      <c r="BL93" s="86"/>
      <c r="BM93" s="86"/>
      <c r="BN93" s="86"/>
      <c r="BO93" s="86"/>
      <c r="BP93" s="86"/>
      <c r="BQ93" s="86"/>
      <c r="BR93" s="86"/>
      <c r="BS93" s="86"/>
      <c r="BT93" s="86"/>
      <c r="BU93" s="86"/>
      <c r="BV93" s="86"/>
      <c r="BW93" s="86"/>
      <c r="BX93" s="86"/>
    </row>
    <row r="94" spans="1:76" s="28" customFormat="1" ht="19.5" customHeight="1">
      <c r="A94" s="86"/>
      <c r="B94" s="86"/>
      <c r="C94" s="86"/>
      <c r="D94" s="86"/>
      <c r="E94" s="86"/>
      <c r="F94" s="86"/>
      <c r="G94" s="88"/>
      <c r="H94" s="88"/>
      <c r="I94" s="88"/>
      <c r="J94" s="166"/>
      <c r="K94" s="166"/>
      <c r="L94" s="166"/>
      <c r="M94" s="166"/>
      <c r="N94" s="116"/>
      <c r="O94" s="116"/>
      <c r="P94" s="167"/>
      <c r="Q94" s="167"/>
      <c r="R94" s="167"/>
      <c r="S94" s="88"/>
      <c r="T94" s="88"/>
      <c r="U94" s="88"/>
      <c r="V94" s="88"/>
      <c r="W94" s="86"/>
      <c r="X94" s="166"/>
      <c r="Y94" s="166"/>
      <c r="Z94" s="166"/>
      <c r="AA94" s="166"/>
      <c r="AB94" s="88"/>
      <c r="AC94" s="88"/>
      <c r="AD94" s="88"/>
      <c r="AE94" s="86"/>
      <c r="AF94" s="86"/>
      <c r="AG94" s="86"/>
      <c r="AH94" s="86"/>
      <c r="BG94" s="86"/>
      <c r="BH94" s="86"/>
      <c r="BI94" s="86"/>
      <c r="BJ94" s="86"/>
      <c r="BK94" s="86"/>
      <c r="BL94" s="86"/>
      <c r="BM94" s="86"/>
      <c r="BN94" s="86"/>
      <c r="BO94" s="86"/>
      <c r="BP94" s="86"/>
      <c r="BQ94" s="86"/>
      <c r="BR94" s="86"/>
      <c r="BS94" s="86"/>
      <c r="BT94" s="86"/>
      <c r="BU94" s="86"/>
      <c r="BV94" s="86"/>
      <c r="BW94" s="86"/>
      <c r="BX94" s="86"/>
    </row>
    <row r="95" spans="1:76" s="28" customFormat="1" ht="19.5" customHeight="1">
      <c r="A95" s="86"/>
      <c r="B95" s="86"/>
      <c r="C95" s="86"/>
      <c r="D95" s="86"/>
      <c r="E95" s="86"/>
      <c r="F95" s="86"/>
      <c r="G95" s="88"/>
      <c r="H95" s="88"/>
      <c r="I95" s="88"/>
      <c r="J95" s="166"/>
      <c r="K95" s="166"/>
      <c r="L95" s="166"/>
      <c r="M95" s="166"/>
      <c r="N95" s="116"/>
      <c r="O95" s="116"/>
      <c r="P95" s="167"/>
      <c r="Q95" s="167"/>
      <c r="R95" s="167"/>
      <c r="S95" s="88"/>
      <c r="T95" s="88"/>
      <c r="U95" s="88"/>
      <c r="V95" s="88"/>
      <c r="W95" s="86"/>
      <c r="X95" s="166"/>
      <c r="Y95" s="166"/>
      <c r="Z95" s="166"/>
      <c r="AA95" s="166"/>
      <c r="AB95" s="88"/>
      <c r="AC95" s="88"/>
      <c r="AD95" s="88"/>
      <c r="AE95" s="86"/>
      <c r="AF95" s="86"/>
      <c r="AG95" s="86"/>
      <c r="AH95" s="86"/>
      <c r="BG95" s="86"/>
      <c r="BH95" s="86"/>
      <c r="BI95" s="86"/>
      <c r="BJ95" s="86"/>
      <c r="BK95" s="86"/>
      <c r="BL95" s="86"/>
      <c r="BM95" s="86"/>
      <c r="BN95" s="86"/>
      <c r="BO95" s="86"/>
      <c r="BP95" s="86"/>
      <c r="BQ95" s="86"/>
      <c r="BR95" s="86"/>
      <c r="BS95" s="86"/>
      <c r="BT95" s="86"/>
      <c r="BU95" s="86"/>
      <c r="BV95" s="86"/>
      <c r="BW95" s="86"/>
      <c r="BX95" s="86"/>
    </row>
    <row r="96" spans="1:76" s="28" customFormat="1" ht="19.5" customHeight="1">
      <c r="A96" s="86"/>
      <c r="B96" s="86"/>
      <c r="C96" s="86"/>
      <c r="D96" s="86"/>
      <c r="E96" s="86"/>
      <c r="F96" s="86"/>
      <c r="G96" s="88"/>
      <c r="H96" s="88"/>
      <c r="I96" s="88"/>
      <c r="J96" s="166"/>
      <c r="K96" s="166"/>
      <c r="L96" s="166"/>
      <c r="M96" s="166"/>
      <c r="N96" s="116"/>
      <c r="O96" s="116"/>
      <c r="P96" s="167"/>
      <c r="Q96" s="167"/>
      <c r="R96" s="167"/>
      <c r="S96" s="88"/>
      <c r="T96" s="88"/>
      <c r="U96" s="88"/>
      <c r="V96" s="88"/>
      <c r="W96" s="86"/>
      <c r="X96" s="166"/>
      <c r="Y96" s="166"/>
      <c r="Z96" s="166"/>
      <c r="AA96" s="166"/>
      <c r="AB96" s="88"/>
      <c r="AC96" s="88"/>
      <c r="AD96" s="88"/>
      <c r="AE96" s="86"/>
      <c r="AF96" s="86"/>
      <c r="AG96" s="86"/>
      <c r="AH96" s="86"/>
      <c r="BG96" s="86"/>
      <c r="BH96" s="86"/>
      <c r="BI96" s="86"/>
      <c r="BJ96" s="86"/>
      <c r="BK96" s="86"/>
      <c r="BL96" s="86"/>
      <c r="BM96" s="86"/>
      <c r="BN96" s="86"/>
      <c r="BO96" s="86"/>
      <c r="BP96" s="86"/>
      <c r="BQ96" s="86"/>
      <c r="BR96" s="86"/>
      <c r="BS96" s="86"/>
      <c r="BT96" s="86"/>
      <c r="BU96" s="86"/>
      <c r="BV96" s="86"/>
      <c r="BW96" s="86"/>
      <c r="BX96" s="86"/>
    </row>
    <row r="97" spans="1:76" s="28" customFormat="1" ht="19.5" customHeight="1">
      <c r="A97" s="86"/>
      <c r="B97" s="86"/>
      <c r="C97" s="86"/>
      <c r="D97" s="86"/>
      <c r="E97" s="86"/>
      <c r="F97" s="86"/>
      <c r="G97" s="88"/>
      <c r="H97" s="88"/>
      <c r="I97" s="88"/>
      <c r="J97" s="166"/>
      <c r="K97" s="166"/>
      <c r="L97" s="166"/>
      <c r="M97" s="166"/>
      <c r="N97" s="116"/>
      <c r="O97" s="116"/>
      <c r="P97" s="167"/>
      <c r="Q97" s="167"/>
      <c r="R97" s="167"/>
      <c r="S97" s="88"/>
      <c r="T97" s="88"/>
      <c r="U97" s="88"/>
      <c r="V97" s="88"/>
      <c r="W97" s="86"/>
      <c r="X97" s="166"/>
      <c r="Y97" s="166"/>
      <c r="Z97" s="166"/>
      <c r="AA97" s="166"/>
      <c r="AB97" s="88"/>
      <c r="AC97" s="88"/>
      <c r="AD97" s="88"/>
      <c r="AE97" s="86"/>
      <c r="AF97" s="86"/>
      <c r="AG97" s="86"/>
      <c r="AH97" s="86"/>
      <c r="BG97" s="86"/>
      <c r="BH97" s="86"/>
      <c r="BI97" s="86"/>
      <c r="BJ97" s="86"/>
      <c r="BK97" s="86"/>
      <c r="BL97" s="86"/>
      <c r="BM97" s="86"/>
      <c r="BN97" s="86"/>
      <c r="BO97" s="86"/>
      <c r="BP97" s="86"/>
      <c r="BQ97" s="86"/>
      <c r="BR97" s="86"/>
      <c r="BS97" s="86"/>
      <c r="BT97" s="86"/>
      <c r="BU97" s="86"/>
      <c r="BV97" s="86"/>
      <c r="BW97" s="86"/>
      <c r="BX97" s="86"/>
    </row>
    <row r="98" spans="1:76" s="28" customFormat="1" ht="19.5" customHeight="1">
      <c r="A98" s="86"/>
      <c r="B98" s="86"/>
      <c r="C98" s="86"/>
      <c r="D98" s="86"/>
      <c r="E98" s="86"/>
      <c r="F98" s="86"/>
      <c r="G98" s="86"/>
      <c r="H98" s="86"/>
      <c r="I98" s="86"/>
      <c r="J98" s="86"/>
      <c r="K98" s="86"/>
      <c r="L98" s="86"/>
      <c r="M98" s="27"/>
      <c r="N98" s="27"/>
      <c r="O98" s="27"/>
      <c r="P98" s="27"/>
      <c r="Q98" s="27"/>
      <c r="R98" s="27"/>
      <c r="S98" s="27"/>
      <c r="T98" s="27"/>
      <c r="U98" s="27"/>
      <c r="V98" s="27"/>
      <c r="W98" s="27"/>
      <c r="X98" s="27"/>
      <c r="Y98" s="27"/>
      <c r="Z98" s="27"/>
      <c r="AA98" s="27"/>
      <c r="AB98" s="27"/>
      <c r="AC98" s="27"/>
      <c r="AD98" s="27"/>
      <c r="AE98" s="27"/>
      <c r="AF98" s="27"/>
      <c r="AG98" s="27"/>
      <c r="AH98" s="29"/>
      <c r="AI98" s="29"/>
      <c r="AJ98" s="29"/>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row>
    <row r="99" spans="1:76" s="28" customFormat="1" ht="19.5" customHeight="1">
      <c r="A99" s="86"/>
      <c r="B99" s="86"/>
      <c r="C99" s="86"/>
      <c r="D99" s="86"/>
      <c r="E99" s="86"/>
      <c r="F99" s="86"/>
      <c r="G99" s="86"/>
      <c r="H99" s="86"/>
      <c r="I99" s="86"/>
      <c r="J99" s="86"/>
      <c r="K99" s="86"/>
      <c r="L99" s="86"/>
      <c r="M99" s="27"/>
      <c r="N99" s="27"/>
      <c r="O99" s="27"/>
      <c r="P99" s="27"/>
      <c r="Q99" s="27"/>
      <c r="R99" s="27"/>
      <c r="S99" s="27"/>
      <c r="T99" s="27"/>
      <c r="U99" s="27"/>
      <c r="V99" s="27"/>
      <c r="W99" s="27"/>
      <c r="X99" s="27"/>
      <c r="Y99" s="27"/>
      <c r="Z99" s="27"/>
      <c r="AA99" s="27"/>
      <c r="AB99" s="27"/>
      <c r="AC99" s="27"/>
      <c r="AD99" s="27"/>
      <c r="AE99" s="27"/>
      <c r="AF99" s="27"/>
      <c r="AG99" s="27"/>
      <c r="AH99" s="29"/>
      <c r="AI99" s="29"/>
      <c r="AJ99" s="29"/>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row>
    <row r="100" spans="1:45" ht="19.5" customHeight="1">
      <c r="A100" s="4"/>
      <c r="B100" s="4"/>
      <c r="C100" s="4"/>
      <c r="D100" s="4"/>
      <c r="E100" s="30" t="s">
        <v>1254</v>
      </c>
      <c r="G100" s="4"/>
      <c r="H100" s="4"/>
      <c r="I100" s="4"/>
      <c r="J100" s="4"/>
      <c r="K100" s="4"/>
      <c r="L100" s="4"/>
      <c r="AS100" s="6"/>
    </row>
    <row r="101" spans="1:76" s="28" customFormat="1" ht="19.5" customHeight="1">
      <c r="A101" s="117"/>
      <c r="B101" s="86"/>
      <c r="C101" s="86"/>
      <c r="D101" s="86"/>
      <c r="E101" s="120"/>
      <c r="F101" s="120"/>
      <c r="G101" s="120"/>
      <c r="H101" s="120"/>
      <c r="I101" s="114"/>
      <c r="J101" s="86"/>
      <c r="K101" s="86"/>
      <c r="L101" s="86"/>
      <c r="M101" s="86"/>
      <c r="N101" s="111"/>
      <c r="O101" s="111"/>
      <c r="P101" s="111"/>
      <c r="Q101" s="111"/>
      <c r="R101" s="111"/>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row>
    <row r="102" spans="1:76" s="28" customFormat="1" ht="19.5" customHeight="1">
      <c r="A102" s="117"/>
      <c r="B102" s="86"/>
      <c r="C102" s="86"/>
      <c r="D102" s="86"/>
      <c r="E102" s="88"/>
      <c r="F102" s="86"/>
      <c r="G102" s="86"/>
      <c r="H102" s="86"/>
      <c r="I102" s="86"/>
      <c r="J102" s="86"/>
      <c r="K102" s="86"/>
      <c r="L102" s="86"/>
      <c r="M102" s="86"/>
      <c r="N102" s="111"/>
      <c r="O102" s="111"/>
      <c r="P102" s="111"/>
      <c r="Q102" s="111"/>
      <c r="R102" s="111"/>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row>
    <row r="103" spans="1:76" s="28" customFormat="1" ht="19.5" customHeight="1">
      <c r="A103" s="117"/>
      <c r="B103" s="86"/>
      <c r="C103" s="86"/>
      <c r="D103" s="86"/>
      <c r="E103" s="86"/>
      <c r="F103" s="86"/>
      <c r="G103" s="86"/>
      <c r="H103" s="86"/>
      <c r="I103" s="86"/>
      <c r="J103" s="86"/>
      <c r="K103" s="86"/>
      <c r="L103" s="86"/>
      <c r="M103" s="86"/>
      <c r="N103" s="111"/>
      <c r="O103" s="111"/>
      <c r="P103" s="111"/>
      <c r="Q103" s="111"/>
      <c r="R103" s="111"/>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row>
    <row r="104" spans="1:76" s="28" customFormat="1" ht="19.5" customHeight="1">
      <c r="A104" s="117"/>
      <c r="B104" s="86"/>
      <c r="C104" s="86"/>
      <c r="D104" s="86"/>
      <c r="E104" s="86"/>
      <c r="F104" s="86"/>
      <c r="G104" s="86"/>
      <c r="H104" s="86"/>
      <c r="I104" s="118"/>
      <c r="J104" s="86"/>
      <c r="K104" s="86"/>
      <c r="L104" s="86"/>
      <c r="M104" s="86"/>
      <c r="N104" s="111"/>
      <c r="O104" s="111"/>
      <c r="P104" s="111"/>
      <c r="Q104" s="111"/>
      <c r="R104" s="111"/>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row>
    <row r="105" spans="1:76" s="28" customFormat="1" ht="19.5" customHeight="1">
      <c r="A105" s="117"/>
      <c r="B105" s="86"/>
      <c r="C105" s="86"/>
      <c r="D105" s="86"/>
      <c r="E105" s="86"/>
      <c r="F105" s="86"/>
      <c r="G105" s="86"/>
      <c r="H105" s="86"/>
      <c r="I105" s="86"/>
      <c r="J105" s="86"/>
      <c r="K105" s="86"/>
      <c r="L105" s="86"/>
      <c r="M105" s="86"/>
      <c r="N105" s="111"/>
      <c r="O105" s="111"/>
      <c r="P105" s="111"/>
      <c r="Q105" s="111"/>
      <c r="R105" s="111"/>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row>
    <row r="106" spans="1:76" s="28" customFormat="1" ht="19.5" customHeight="1">
      <c r="A106" s="117"/>
      <c r="B106" s="86"/>
      <c r="C106" s="86"/>
      <c r="D106" s="86"/>
      <c r="E106" s="86"/>
      <c r="F106" s="86"/>
      <c r="G106" s="86"/>
      <c r="H106" s="86"/>
      <c r="I106" s="86"/>
      <c r="J106" s="86"/>
      <c r="K106" s="86"/>
      <c r="L106" s="86"/>
      <c r="M106" s="86"/>
      <c r="N106" s="111"/>
      <c r="O106" s="111"/>
      <c r="P106" s="111"/>
      <c r="Q106" s="111"/>
      <c r="R106" s="111"/>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row>
    <row r="107" spans="1:76" s="28" customFormat="1" ht="19.5" customHeight="1">
      <c r="A107" s="117"/>
      <c r="B107" s="86"/>
      <c r="C107" s="115"/>
      <c r="D107" s="86"/>
      <c r="E107" s="114"/>
      <c r="F107" s="86"/>
      <c r="G107" s="114"/>
      <c r="H107" s="86"/>
      <c r="I107" s="86"/>
      <c r="J107" s="86"/>
      <c r="K107" s="88"/>
      <c r="L107" s="86"/>
      <c r="M107" s="88"/>
      <c r="N107" s="119"/>
      <c r="O107" s="111"/>
      <c r="P107" s="111"/>
      <c r="Q107" s="111"/>
      <c r="R107" s="111"/>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row>
    <row r="108" spans="1:76" s="28" customFormat="1" ht="19.5" customHeight="1">
      <c r="A108" s="117"/>
      <c r="B108" s="86"/>
      <c r="C108" s="86"/>
      <c r="D108" s="86"/>
      <c r="E108" s="115"/>
      <c r="F108" s="86"/>
      <c r="G108" s="86"/>
      <c r="H108" s="86"/>
      <c r="I108" s="86"/>
      <c r="J108" s="86"/>
      <c r="K108" s="86"/>
      <c r="L108" s="86"/>
      <c r="M108" s="86"/>
      <c r="N108" s="111"/>
      <c r="O108" s="111"/>
      <c r="P108" s="111"/>
      <c r="Q108" s="111"/>
      <c r="R108" s="111"/>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row>
    <row r="109" spans="1:76" s="28" customFormat="1" ht="19.5" customHeight="1">
      <c r="A109" s="117"/>
      <c r="B109" s="86"/>
      <c r="C109" s="86"/>
      <c r="D109" s="86"/>
      <c r="E109" s="86"/>
      <c r="F109" s="86"/>
      <c r="G109" s="86"/>
      <c r="H109" s="86"/>
      <c r="I109" s="86"/>
      <c r="J109" s="86"/>
      <c r="K109" s="86"/>
      <c r="L109" s="86"/>
      <c r="M109" s="86"/>
      <c r="N109" s="111"/>
      <c r="O109" s="111"/>
      <c r="P109" s="111"/>
      <c r="Q109" s="111"/>
      <c r="R109" s="111"/>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row>
    <row r="110" spans="1:76" s="28" customFormat="1" ht="19.5" customHeight="1">
      <c r="A110" s="117"/>
      <c r="B110" s="86"/>
      <c r="C110" s="86"/>
      <c r="D110" s="86"/>
      <c r="E110" s="86"/>
      <c r="F110" s="86"/>
      <c r="G110" s="86"/>
      <c r="H110" s="86"/>
      <c r="I110" s="86"/>
      <c r="J110" s="86"/>
      <c r="K110" s="86"/>
      <c r="L110" s="86"/>
      <c r="M110" s="86"/>
      <c r="N110" s="111"/>
      <c r="O110" s="111"/>
      <c r="P110" s="111"/>
      <c r="Q110" s="111"/>
      <c r="R110" s="111"/>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row>
    <row r="111" spans="1:76" s="28" customFormat="1" ht="19.5" customHeight="1">
      <c r="A111" s="117"/>
      <c r="B111" s="86"/>
      <c r="C111" s="86"/>
      <c r="D111" s="86"/>
      <c r="E111" s="86"/>
      <c r="F111" s="86"/>
      <c r="G111" s="86"/>
      <c r="H111" s="86"/>
      <c r="I111" s="86"/>
      <c r="J111" s="86"/>
      <c r="K111" s="86"/>
      <c r="L111" s="86"/>
      <c r="M111" s="86"/>
      <c r="N111" s="111"/>
      <c r="O111" s="111"/>
      <c r="P111" s="111"/>
      <c r="Q111" s="111"/>
      <c r="R111" s="111"/>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row>
    <row r="112" spans="1:76" s="28" customFormat="1" ht="19.5" customHeight="1">
      <c r="A112" s="117"/>
      <c r="B112" s="86"/>
      <c r="C112" s="86"/>
      <c r="D112" s="86"/>
      <c r="E112" s="86"/>
      <c r="F112" s="86"/>
      <c r="G112" s="88"/>
      <c r="H112" s="120"/>
      <c r="I112" s="86"/>
      <c r="J112" s="88"/>
      <c r="K112" s="86"/>
      <c r="L112" s="86"/>
      <c r="M112" s="115"/>
      <c r="N112" s="111"/>
      <c r="O112" s="111"/>
      <c r="P112" s="111"/>
      <c r="Q112" s="111"/>
      <c r="R112" s="111"/>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row>
    <row r="113" spans="1:76" s="28" customFormat="1" ht="19.5" customHeight="1">
      <c r="A113" s="86"/>
      <c r="B113" s="87"/>
      <c r="C113" s="87"/>
      <c r="D113" s="86"/>
      <c r="E113" s="87"/>
      <c r="F113" s="86" t="s">
        <v>1255</v>
      </c>
      <c r="G113" s="86"/>
      <c r="H113" s="87"/>
      <c r="I113" s="87"/>
      <c r="J113" s="87"/>
      <c r="K113" s="87"/>
      <c r="L113" s="354">
        <v>0.08</v>
      </c>
      <c r="M113" s="354"/>
      <c r="N113" s="354"/>
      <c r="O113" s="354"/>
      <c r="P113" s="86" t="s">
        <v>183</v>
      </c>
      <c r="Q113" s="278" t="s">
        <v>956</v>
      </c>
      <c r="R113" s="278"/>
      <c r="S113" s="355">
        <v>22.5</v>
      </c>
      <c r="T113" s="355"/>
      <c r="U113" s="355"/>
      <c r="V113" s="277" t="s">
        <v>184</v>
      </c>
      <c r="W113" s="277"/>
      <c r="X113" s="277"/>
      <c r="Y113" s="86"/>
      <c r="Z113" s="86"/>
      <c r="AA113" s="86"/>
      <c r="AB113" s="86"/>
      <c r="AC113" s="86" t="s">
        <v>958</v>
      </c>
      <c r="AD113" s="276">
        <f>L113*S113</f>
        <v>1.8</v>
      </c>
      <c r="AE113" s="276"/>
      <c r="AF113" s="276"/>
      <c r="AG113" s="276"/>
      <c r="AH113" s="277" t="s">
        <v>185</v>
      </c>
      <c r="AI113" s="277"/>
      <c r="AJ113" s="277"/>
      <c r="AK113" s="86"/>
      <c r="AL113" s="86"/>
      <c r="AM113" s="86"/>
      <c r="AN113" s="86"/>
      <c r="AO113" s="86"/>
      <c r="AP113" s="86"/>
      <c r="AQ113" s="86"/>
      <c r="AR113" s="86"/>
      <c r="AS113" s="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row>
    <row r="114" spans="1:76" s="28" customFormat="1" ht="19.5" customHeight="1">
      <c r="A114" s="86"/>
      <c r="B114" s="87"/>
      <c r="C114" s="87"/>
      <c r="D114" s="86"/>
      <c r="E114" s="87"/>
      <c r="F114" s="86"/>
      <c r="G114" s="86"/>
      <c r="H114" s="87"/>
      <c r="I114" s="87"/>
      <c r="J114" s="87"/>
      <c r="K114" s="87"/>
      <c r="L114" s="166"/>
      <c r="M114" s="166"/>
      <c r="N114" s="166"/>
      <c r="O114" s="166"/>
      <c r="P114" s="86"/>
      <c r="Q114" s="116"/>
      <c r="R114" s="116"/>
      <c r="S114" s="167"/>
      <c r="T114" s="167"/>
      <c r="U114" s="167"/>
      <c r="V114" s="88"/>
      <c r="W114" s="88"/>
      <c r="X114" s="88"/>
      <c r="Y114" s="86"/>
      <c r="Z114" s="86"/>
      <c r="AA114" s="86"/>
      <c r="AB114" s="86"/>
      <c r="AC114" s="86"/>
      <c r="AD114" s="166"/>
      <c r="AE114" s="166"/>
      <c r="AF114" s="166"/>
      <c r="AG114" s="166"/>
      <c r="AH114" s="88"/>
      <c r="AI114" s="88"/>
      <c r="AJ114" s="88"/>
      <c r="AK114" s="86"/>
      <c r="AL114" s="86"/>
      <c r="AM114" s="86"/>
      <c r="AN114" s="86"/>
      <c r="AO114" s="86"/>
      <c r="AP114" s="86"/>
      <c r="AQ114" s="86"/>
      <c r="AR114" s="86"/>
      <c r="AS114" s="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row>
    <row r="115" ht="19.5" customHeight="1"/>
    <row r="116" spans="1:76" s="28" customFormat="1" ht="19.5" customHeight="1">
      <c r="A116" s="86"/>
      <c r="B116" s="87"/>
      <c r="C116" s="87"/>
      <c r="D116" s="86"/>
      <c r="E116" s="30" t="s">
        <v>1256</v>
      </c>
      <c r="F116" s="86"/>
      <c r="G116" s="86"/>
      <c r="H116" s="87"/>
      <c r="I116" s="87"/>
      <c r="J116" s="87"/>
      <c r="K116" s="87"/>
      <c r="L116" s="87"/>
      <c r="M116" s="166"/>
      <c r="N116" s="166"/>
      <c r="O116" s="166"/>
      <c r="P116" s="166"/>
      <c r="Q116" s="86"/>
      <c r="R116" s="116"/>
      <c r="S116" s="116"/>
      <c r="T116" s="167"/>
      <c r="U116" s="167"/>
      <c r="V116" s="167"/>
      <c r="W116" s="88"/>
      <c r="X116" s="88"/>
      <c r="Y116" s="88"/>
      <c r="Z116" s="86"/>
      <c r="AA116" s="86"/>
      <c r="AB116" s="86"/>
      <c r="AC116" s="121"/>
      <c r="AD116" s="166"/>
      <c r="AE116" s="166"/>
      <c r="AF116" s="166"/>
      <c r="AG116" s="166"/>
      <c r="AH116" s="88"/>
      <c r="AI116" s="88"/>
      <c r="AJ116" s="88"/>
      <c r="AK116" s="86"/>
      <c r="AL116" s="86"/>
      <c r="AM116" s="86"/>
      <c r="AN116" s="86"/>
      <c r="AO116" s="86"/>
      <c r="AP116" s="86"/>
      <c r="AQ116" s="86"/>
      <c r="AR116" s="86"/>
      <c r="AS116" s="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row>
    <row r="117" spans="1:76" s="28" customFormat="1" ht="19.5" customHeight="1">
      <c r="A117" s="86"/>
      <c r="B117" s="87"/>
      <c r="C117" s="87"/>
      <c r="D117" s="86"/>
      <c r="E117" s="87"/>
      <c r="F117" s="356" t="s">
        <v>186</v>
      </c>
      <c r="G117" s="86"/>
      <c r="H117" s="87"/>
      <c r="I117" s="87"/>
      <c r="J117" s="87"/>
      <c r="K117" s="87"/>
      <c r="L117" s="87"/>
      <c r="M117" s="122"/>
      <c r="N117" s="120"/>
      <c r="P117" s="109"/>
      <c r="Q117" s="87"/>
      <c r="R117" s="87"/>
      <c r="S117" s="87"/>
      <c r="T117" s="87"/>
      <c r="U117" s="87"/>
      <c r="V117" s="87"/>
      <c r="W117" s="87"/>
      <c r="X117" s="87"/>
      <c r="Y117" s="87"/>
      <c r="Z117" s="87"/>
      <c r="AA117" s="87"/>
      <c r="AB117" s="121"/>
      <c r="AC117" s="121"/>
      <c r="AD117" s="166"/>
      <c r="AE117" s="166"/>
      <c r="AF117" s="166"/>
      <c r="AG117" s="166"/>
      <c r="AH117" s="88"/>
      <c r="AI117" s="88"/>
      <c r="AJ117" s="88"/>
      <c r="AK117" s="86"/>
      <c r="AL117" s="86"/>
      <c r="AM117" s="86"/>
      <c r="AN117" s="86"/>
      <c r="AO117" s="86"/>
      <c r="AP117" s="86"/>
      <c r="AQ117" s="86"/>
      <c r="AR117" s="93"/>
      <c r="AS117" s="86"/>
      <c r="AT117" s="86"/>
      <c r="AU117" s="86"/>
      <c r="AV117" s="86"/>
      <c r="AW117" s="86"/>
      <c r="AX117" s="86"/>
      <c r="AY117" s="86"/>
      <c r="AZ117" s="86"/>
      <c r="BA117" s="86"/>
      <c r="BB117" s="93"/>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row>
    <row r="118" spans="1:76" s="28" customFormat="1" ht="19.5" customHeight="1">
      <c r="A118" s="86"/>
      <c r="B118" s="87"/>
      <c r="C118" s="87"/>
      <c r="D118" s="86"/>
      <c r="E118" s="87"/>
      <c r="F118" s="86"/>
      <c r="G118" s="86"/>
      <c r="H118" s="87"/>
      <c r="I118" s="87"/>
      <c r="J118" s="87"/>
      <c r="K118" s="87"/>
      <c r="L118" s="87"/>
      <c r="M118" s="122"/>
      <c r="N118" s="120"/>
      <c r="O118" s="109"/>
      <c r="P118" s="109"/>
      <c r="Q118" s="87"/>
      <c r="R118" s="87"/>
      <c r="S118" s="87"/>
      <c r="T118" s="87"/>
      <c r="U118" s="87"/>
      <c r="V118" s="87"/>
      <c r="W118" s="87"/>
      <c r="X118" s="87"/>
      <c r="Y118" s="87"/>
      <c r="Z118" s="87"/>
      <c r="AA118" s="87"/>
      <c r="AB118" s="121"/>
      <c r="AC118" s="121"/>
      <c r="AD118" s="166"/>
      <c r="AE118" s="166"/>
      <c r="AF118" s="166"/>
      <c r="AG118" s="166"/>
      <c r="AH118" s="88"/>
      <c r="AI118" s="88"/>
      <c r="AJ118" s="88"/>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row>
    <row r="119" spans="1:76" s="28" customFormat="1" ht="19.5" customHeight="1">
      <c r="A119" s="86"/>
      <c r="B119" s="87"/>
      <c r="C119" s="87"/>
      <c r="D119" s="86"/>
      <c r="E119" s="87"/>
      <c r="F119" s="86"/>
      <c r="G119" s="86"/>
      <c r="H119" s="87"/>
      <c r="I119" s="87"/>
      <c r="J119" s="87"/>
      <c r="K119" s="87"/>
      <c r="L119" s="87"/>
      <c r="M119" s="122"/>
      <c r="N119" s="120"/>
      <c r="O119" s="109"/>
      <c r="P119" s="109"/>
      <c r="Q119" s="87"/>
      <c r="R119" s="87"/>
      <c r="S119" s="87"/>
      <c r="T119" s="87"/>
      <c r="U119" s="87"/>
      <c r="V119" s="87"/>
      <c r="W119" s="87"/>
      <c r="X119" s="87"/>
      <c r="Y119" s="87"/>
      <c r="Z119" s="87"/>
      <c r="AA119" s="87"/>
      <c r="AB119" s="121"/>
      <c r="AC119" s="121"/>
      <c r="AD119" s="166"/>
      <c r="AE119" s="166"/>
      <c r="AF119" s="166"/>
      <c r="AG119" s="166"/>
      <c r="AH119" s="88"/>
      <c r="AI119" s="88"/>
      <c r="AJ119" s="88"/>
      <c r="AK119" s="86"/>
      <c r="AL119" s="86"/>
      <c r="AM119" s="86"/>
      <c r="AN119" s="86"/>
      <c r="AO119" s="86"/>
      <c r="AP119" s="86"/>
      <c r="AQ119" s="86"/>
      <c r="AR119" s="93"/>
      <c r="AS119" s="86"/>
      <c r="AT119" s="86"/>
      <c r="AU119" s="86"/>
      <c r="AV119" s="86"/>
      <c r="AW119" s="86"/>
      <c r="AX119" s="86"/>
      <c r="AY119" s="86"/>
      <c r="AZ119" s="86"/>
      <c r="BA119" s="86"/>
      <c r="BB119" s="86"/>
      <c r="BC119" s="86"/>
      <c r="BD119" s="86"/>
      <c r="BE119" s="93"/>
      <c r="BF119" s="86"/>
      <c r="BG119" s="86"/>
      <c r="BH119" s="86"/>
      <c r="BI119" s="86"/>
      <c r="BJ119" s="86"/>
      <c r="BK119" s="86"/>
      <c r="BL119" s="86"/>
      <c r="BM119" s="86"/>
      <c r="BN119" s="86"/>
      <c r="BO119" s="86"/>
      <c r="BP119" s="86"/>
      <c r="BQ119" s="86"/>
      <c r="BR119" s="86"/>
      <c r="BS119" s="86"/>
      <c r="BT119" s="86"/>
      <c r="BU119" s="86"/>
      <c r="BV119" s="86"/>
      <c r="BW119" s="86"/>
      <c r="BX119" s="86"/>
    </row>
    <row r="120" spans="1:76" s="28" customFormat="1" ht="19.5" customHeight="1">
      <c r="A120" s="86"/>
      <c r="B120" s="87"/>
      <c r="C120" s="87"/>
      <c r="D120" s="86"/>
      <c r="E120" s="87"/>
      <c r="F120" s="86"/>
      <c r="G120" s="86"/>
      <c r="H120" s="87"/>
      <c r="I120" s="87"/>
      <c r="J120" s="87"/>
      <c r="K120" s="87"/>
      <c r="L120" s="87"/>
      <c r="M120" s="122"/>
      <c r="N120" s="120"/>
      <c r="O120" s="109"/>
      <c r="P120" s="109"/>
      <c r="Q120" s="87"/>
      <c r="R120" s="87"/>
      <c r="S120" s="87"/>
      <c r="T120" s="87"/>
      <c r="U120" s="87"/>
      <c r="V120" s="87"/>
      <c r="W120" s="87"/>
      <c r="X120" s="87"/>
      <c r="Y120" s="87"/>
      <c r="Z120" s="87"/>
      <c r="AA120" s="87"/>
      <c r="AB120" s="121"/>
      <c r="AC120" s="121"/>
      <c r="AD120" s="166"/>
      <c r="AE120" s="166"/>
      <c r="AF120" s="166"/>
      <c r="AG120" s="166"/>
      <c r="AH120" s="88"/>
      <c r="AI120" s="88"/>
      <c r="AJ120" s="88"/>
      <c r="AK120" s="86"/>
      <c r="AL120" s="86"/>
      <c r="AM120" s="86"/>
      <c r="AN120" s="86"/>
      <c r="AO120" s="86"/>
      <c r="AP120" s="86"/>
      <c r="AQ120" s="86"/>
      <c r="AR120" s="93"/>
      <c r="AS120" s="86"/>
      <c r="AT120" s="86"/>
      <c r="AU120" s="86"/>
      <c r="AV120" s="86"/>
      <c r="AW120" s="86"/>
      <c r="AX120" s="86"/>
      <c r="AY120" s="86"/>
      <c r="AZ120" s="86"/>
      <c r="BA120" s="86"/>
      <c r="BB120" s="86"/>
      <c r="BC120" s="86"/>
      <c r="BD120" s="86"/>
      <c r="BE120" s="93"/>
      <c r="BF120" s="86"/>
      <c r="BG120" s="86"/>
      <c r="BH120" s="86"/>
      <c r="BI120" s="86"/>
      <c r="BJ120" s="86"/>
      <c r="BK120" s="86"/>
      <c r="BL120" s="86"/>
      <c r="BM120" s="86"/>
      <c r="BN120" s="86"/>
      <c r="BO120" s="86"/>
      <c r="BP120" s="86"/>
      <c r="BQ120" s="86"/>
      <c r="BR120" s="86"/>
      <c r="BS120" s="86"/>
      <c r="BT120" s="86"/>
      <c r="BU120" s="86"/>
      <c r="BV120" s="86"/>
      <c r="BW120" s="86"/>
      <c r="BX120" s="86"/>
    </row>
    <row r="121" spans="1:76" s="28" customFormat="1" ht="19.5" customHeight="1">
      <c r="A121" s="86"/>
      <c r="B121" s="87"/>
      <c r="C121" s="87"/>
      <c r="D121" s="86"/>
      <c r="E121" s="87"/>
      <c r="F121" s="86"/>
      <c r="G121" s="86"/>
      <c r="H121" s="87"/>
      <c r="I121" s="87"/>
      <c r="J121" s="87"/>
      <c r="K121" s="87"/>
      <c r="L121" s="87"/>
      <c r="M121" s="122"/>
      <c r="N121" s="120"/>
      <c r="O121" s="109"/>
      <c r="P121" s="109"/>
      <c r="Q121" s="87"/>
      <c r="R121" s="87"/>
      <c r="S121" s="87"/>
      <c r="T121" s="87"/>
      <c r="U121" s="87"/>
      <c r="V121" s="87"/>
      <c r="W121" s="87"/>
      <c r="X121" s="87"/>
      <c r="Y121" s="87"/>
      <c r="Z121" s="87"/>
      <c r="AA121" s="87"/>
      <c r="AB121" s="121"/>
      <c r="AC121" s="121"/>
      <c r="AD121" s="166"/>
      <c r="AE121" s="166"/>
      <c r="AF121" s="166"/>
      <c r="AG121" s="166"/>
      <c r="AH121" s="88"/>
      <c r="AI121" s="88"/>
      <c r="AJ121" s="88"/>
      <c r="AK121" s="86"/>
      <c r="AL121" s="86"/>
      <c r="AM121" s="86"/>
      <c r="AN121" s="86"/>
      <c r="AO121" s="86"/>
      <c r="AP121" s="86"/>
      <c r="AQ121" s="86"/>
      <c r="AR121" s="93"/>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row>
    <row r="122" spans="1:76" s="28" customFormat="1" ht="19.5" customHeight="1">
      <c r="A122" s="86"/>
      <c r="B122" s="87"/>
      <c r="C122" s="87"/>
      <c r="D122" s="86"/>
      <c r="E122" s="87"/>
      <c r="F122" s="86"/>
      <c r="G122" s="86"/>
      <c r="H122" s="87"/>
      <c r="I122" s="87"/>
      <c r="J122" s="87"/>
      <c r="K122" s="87"/>
      <c r="L122" s="87"/>
      <c r="M122" s="122"/>
      <c r="N122" s="120"/>
      <c r="O122" s="109"/>
      <c r="P122" s="109"/>
      <c r="Q122" s="87"/>
      <c r="R122" s="87"/>
      <c r="S122" s="87"/>
      <c r="T122" s="87"/>
      <c r="U122" s="87"/>
      <c r="V122" s="87"/>
      <c r="W122" s="87"/>
      <c r="X122" s="87"/>
      <c r="Y122" s="87"/>
      <c r="Z122" s="87"/>
      <c r="AA122" s="87"/>
      <c r="AB122" s="121"/>
      <c r="AC122" s="121"/>
      <c r="AD122" s="166"/>
      <c r="AE122" s="166"/>
      <c r="AF122" s="166"/>
      <c r="AG122" s="166"/>
      <c r="AH122" s="88"/>
      <c r="AI122" s="88"/>
      <c r="AJ122" s="88"/>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row>
    <row r="123" spans="1:76" s="28" customFormat="1" ht="19.5" customHeight="1">
      <c r="A123" s="86"/>
      <c r="B123" s="87"/>
      <c r="C123" s="87"/>
      <c r="D123" s="86"/>
      <c r="E123" s="87"/>
      <c r="F123" s="86"/>
      <c r="G123" s="86"/>
      <c r="H123" s="87"/>
      <c r="I123" s="87"/>
      <c r="J123" s="87"/>
      <c r="K123" s="87"/>
      <c r="L123" s="87"/>
      <c r="M123" s="122"/>
      <c r="N123" s="120"/>
      <c r="O123" s="109"/>
      <c r="P123" s="109"/>
      <c r="Q123" s="87"/>
      <c r="R123" s="87"/>
      <c r="S123" s="87"/>
      <c r="T123" s="87"/>
      <c r="U123" s="87"/>
      <c r="V123" s="87"/>
      <c r="W123" s="87"/>
      <c r="X123" s="87"/>
      <c r="Y123" s="87"/>
      <c r="Z123" s="87"/>
      <c r="AA123" s="87"/>
      <c r="AB123" s="121"/>
      <c r="AC123" s="121"/>
      <c r="AD123" s="166"/>
      <c r="AE123" s="166"/>
      <c r="AF123" s="166"/>
      <c r="AG123" s="166"/>
      <c r="AH123" s="88"/>
      <c r="AI123" s="88"/>
      <c r="AJ123" s="88"/>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row>
    <row r="124" spans="1:76" s="28" customFormat="1" ht="19.5" customHeight="1">
      <c r="A124" s="86"/>
      <c r="B124" s="87"/>
      <c r="C124" s="87"/>
      <c r="D124" s="86"/>
      <c r="E124" s="87"/>
      <c r="F124" s="86"/>
      <c r="G124" s="86"/>
      <c r="H124" s="87"/>
      <c r="I124" s="87"/>
      <c r="J124" s="87"/>
      <c r="K124" s="87"/>
      <c r="L124" s="87"/>
      <c r="M124" s="122"/>
      <c r="N124" s="120"/>
      <c r="O124" s="109"/>
      <c r="P124" s="109"/>
      <c r="Q124" s="87"/>
      <c r="R124" s="87"/>
      <c r="S124" s="87"/>
      <c r="T124" s="87"/>
      <c r="U124" s="87"/>
      <c r="V124" s="87"/>
      <c r="W124" s="87"/>
      <c r="X124" s="87"/>
      <c r="Y124" s="87"/>
      <c r="Z124" s="87"/>
      <c r="AA124" s="87"/>
      <c r="AB124" s="121"/>
      <c r="AC124" s="121"/>
      <c r="AD124" s="166"/>
      <c r="AE124" s="166"/>
      <c r="AF124" s="166"/>
      <c r="AG124" s="166"/>
      <c r="AH124" s="88"/>
      <c r="AI124" s="88"/>
      <c r="AJ124" s="88"/>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row>
    <row r="125" spans="1:76" s="28" customFormat="1" ht="19.5" customHeight="1">
      <c r="A125" s="86"/>
      <c r="B125" s="87"/>
      <c r="C125" s="87"/>
      <c r="D125" s="86"/>
      <c r="E125" s="87"/>
      <c r="F125" s="86"/>
      <c r="G125" s="86"/>
      <c r="H125" s="87"/>
      <c r="I125" s="87"/>
      <c r="J125" s="87"/>
      <c r="K125" s="87"/>
      <c r="L125" s="87"/>
      <c r="M125" s="122"/>
      <c r="N125" s="120"/>
      <c r="O125" s="109"/>
      <c r="P125" s="109"/>
      <c r="Q125" s="87"/>
      <c r="R125" s="87"/>
      <c r="S125" s="87"/>
      <c r="T125" s="87"/>
      <c r="U125" s="87"/>
      <c r="V125" s="87"/>
      <c r="W125" s="87"/>
      <c r="X125" s="87"/>
      <c r="Y125" s="87"/>
      <c r="Z125" s="87"/>
      <c r="AA125" s="87"/>
      <c r="AB125" s="121"/>
      <c r="AC125" s="121"/>
      <c r="AD125" s="166"/>
      <c r="AE125" s="109" t="s">
        <v>1257</v>
      </c>
      <c r="AF125" s="166"/>
      <c r="AG125" s="166"/>
      <c r="AH125" s="88"/>
      <c r="AI125" s="88"/>
      <c r="AJ125" s="88"/>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row>
    <row r="126" spans="1:76" s="28" customFormat="1" ht="19.5" customHeight="1" thickBot="1">
      <c r="A126" s="86"/>
      <c r="B126" s="87"/>
      <c r="C126" s="87"/>
      <c r="D126" s="86"/>
      <c r="E126" s="87"/>
      <c r="F126" s="86"/>
      <c r="G126" s="87"/>
      <c r="H126" s="186" t="s">
        <v>957</v>
      </c>
      <c r="I126" s="187"/>
      <c r="J126" s="187"/>
      <c r="K126" s="187"/>
      <c r="L126" s="188"/>
      <c r="M126" s="186" t="s">
        <v>1339</v>
      </c>
      <c r="N126" s="187"/>
      <c r="O126" s="187"/>
      <c r="P126" s="187"/>
      <c r="Q126" s="187"/>
      <c r="R126" s="187"/>
      <c r="S126" s="187"/>
      <c r="T126" s="187"/>
      <c r="U126" s="187"/>
      <c r="V126" s="187"/>
      <c r="W126" s="187"/>
      <c r="X126" s="187"/>
      <c r="Y126" s="187"/>
      <c r="Z126" s="187"/>
      <c r="AA126" s="187"/>
      <c r="AB126" s="187"/>
      <c r="AC126" s="187"/>
      <c r="AD126" s="188"/>
      <c r="AE126" s="186" t="s">
        <v>1258</v>
      </c>
      <c r="AF126" s="187"/>
      <c r="AG126" s="187"/>
      <c r="AH126" s="188"/>
      <c r="AI126" s="186" t="s">
        <v>187</v>
      </c>
      <c r="AJ126" s="187"/>
      <c r="AK126" s="187"/>
      <c r="AL126" s="187"/>
      <c r="AM126" s="187"/>
      <c r="AN126" s="188"/>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row>
    <row r="127" spans="1:76" s="28" customFormat="1" ht="19.5" customHeight="1" thickBot="1" thickTop="1">
      <c r="A127" s="86"/>
      <c r="B127" s="87"/>
      <c r="C127" s="87"/>
      <c r="D127" s="86"/>
      <c r="E127" s="87"/>
      <c r="F127" s="86"/>
      <c r="G127" s="87"/>
      <c r="H127" s="194">
        <v>1</v>
      </c>
      <c r="I127" s="195"/>
      <c r="J127" s="195"/>
      <c r="K127" s="195"/>
      <c r="L127" s="185"/>
      <c r="M127" s="357" t="str">
        <f>" "&amp;ROUND(0.6,3)&amp;" × "&amp;ROUND(0.33,3)&amp;" × "&amp;ROUND(24.5,3)</f>
        <v> 0.6 × 0.33 × 24.5</v>
      </c>
      <c r="N127" s="123"/>
      <c r="O127" s="123"/>
      <c r="P127" s="123"/>
      <c r="Q127" s="123"/>
      <c r="R127" s="123"/>
      <c r="S127" s="124"/>
      <c r="T127" s="124"/>
      <c r="U127" s="124"/>
      <c r="V127" s="124"/>
      <c r="W127" s="124"/>
      <c r="X127" s="124"/>
      <c r="Y127" s="124"/>
      <c r="Z127" s="125" t="s">
        <v>958</v>
      </c>
      <c r="AA127" s="192">
        <f>ROUND(0.6*0.33*24.5,3)</f>
        <v>4.851</v>
      </c>
      <c r="AB127" s="358"/>
      <c r="AC127" s="358"/>
      <c r="AD127" s="359"/>
      <c r="AE127" s="191">
        <v>0.3</v>
      </c>
      <c r="AF127" s="358"/>
      <c r="AG127" s="358"/>
      <c r="AH127" s="359"/>
      <c r="AI127" s="128">
        <f>AA127*AE127</f>
        <v>1.4553</v>
      </c>
      <c r="AJ127" s="126"/>
      <c r="AK127" s="126"/>
      <c r="AL127" s="126"/>
      <c r="AM127" s="127"/>
      <c r="AN127" s="129"/>
      <c r="AO127" s="86"/>
      <c r="AP127" s="86"/>
      <c r="AQ127" s="86"/>
      <c r="AR127" s="93"/>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row>
    <row r="128" spans="1:88" s="28" customFormat="1" ht="19.5" customHeight="1" thickTop="1">
      <c r="A128" s="86"/>
      <c r="B128" s="87"/>
      <c r="C128" s="87"/>
      <c r="D128" s="86"/>
      <c r="E128" s="87"/>
      <c r="F128" s="86"/>
      <c r="G128" s="87"/>
      <c r="H128" s="191" t="s">
        <v>188</v>
      </c>
      <c r="I128" s="192"/>
      <c r="J128" s="192"/>
      <c r="K128" s="192"/>
      <c r="L128" s="193"/>
      <c r="M128" s="132"/>
      <c r="N128" s="123"/>
      <c r="O128" s="123"/>
      <c r="P128" s="123"/>
      <c r="Q128" s="123"/>
      <c r="R128" s="123"/>
      <c r="S128" s="124"/>
      <c r="T128" s="124"/>
      <c r="U128" s="124"/>
      <c r="V128" s="124"/>
      <c r="W128" s="124"/>
      <c r="X128" s="124"/>
      <c r="Y128" s="124"/>
      <c r="Z128" s="125"/>
      <c r="AA128" s="126">
        <f>SUM(AA127:AA127)</f>
        <v>4.851</v>
      </c>
      <c r="AB128" s="126"/>
      <c r="AC128" s="125"/>
      <c r="AD128" s="127"/>
      <c r="AE128" s="128">
        <f>AI128/AA128</f>
        <v>0.3</v>
      </c>
      <c r="AF128" s="126"/>
      <c r="AG128" s="126"/>
      <c r="AH128" s="127"/>
      <c r="AI128" s="128">
        <f>SUM(AI127:AI127)</f>
        <v>1.4553</v>
      </c>
      <c r="AJ128" s="126"/>
      <c r="AK128" s="126"/>
      <c r="AL128" s="126"/>
      <c r="AM128" s="127"/>
      <c r="AN128" s="129"/>
      <c r="AO128" s="86"/>
      <c r="AP128" s="86"/>
      <c r="AQ128" s="86"/>
      <c r="AR128" s="86"/>
      <c r="AS128" s="86"/>
      <c r="AT128" s="86"/>
      <c r="AU128" s="86"/>
      <c r="AV128" s="86"/>
      <c r="AW128" s="86"/>
      <c r="AX128" s="86"/>
      <c r="AY128" s="86"/>
      <c r="AZ128" s="86"/>
      <c r="BA128" s="86"/>
      <c r="BB128" s="6"/>
      <c r="BC128" s="86"/>
      <c r="BD128" s="96"/>
      <c r="BE128" s="96"/>
      <c r="BF128" s="96"/>
      <c r="BG128" s="96"/>
      <c r="BH128" s="96"/>
      <c r="BI128" s="89"/>
      <c r="BJ128" s="89"/>
      <c r="BK128" s="89"/>
      <c r="BL128" s="89"/>
      <c r="BM128" s="89"/>
      <c r="BN128" s="89"/>
      <c r="BO128" s="58"/>
      <c r="BP128" s="58"/>
      <c r="BQ128" s="58"/>
      <c r="BR128" s="58"/>
      <c r="BS128" s="58"/>
      <c r="BT128" s="58"/>
      <c r="BU128" s="58"/>
      <c r="BV128" s="105"/>
      <c r="BW128" s="91"/>
      <c r="BX128" s="91"/>
      <c r="BY128" s="10"/>
      <c r="BZ128" s="18"/>
      <c r="CA128" s="16"/>
      <c r="CB128" s="16"/>
      <c r="CC128" s="16"/>
      <c r="CD128" s="18"/>
      <c r="CE128" s="16"/>
      <c r="CF128" s="16"/>
      <c r="CG128" s="16"/>
      <c r="CH128" s="16"/>
      <c r="CI128" s="18"/>
      <c r="CJ128" s="18"/>
    </row>
    <row r="129" spans="1:89" s="28" customFormat="1" ht="19.5" customHeight="1">
      <c r="A129" s="86"/>
      <c r="B129" s="87"/>
      <c r="C129" s="87"/>
      <c r="D129" s="86"/>
      <c r="E129" s="87"/>
      <c r="F129" s="87"/>
      <c r="G129" s="86"/>
      <c r="H129" s="87"/>
      <c r="I129" s="96"/>
      <c r="J129" s="96"/>
      <c r="K129" s="96"/>
      <c r="L129" s="96"/>
      <c r="M129" s="96"/>
      <c r="N129" s="89"/>
      <c r="O129" s="89" t="s">
        <v>1259</v>
      </c>
      <c r="P129" s="89"/>
      <c r="Q129" s="89"/>
      <c r="R129" s="89"/>
      <c r="S129" s="89"/>
      <c r="T129" s="58" t="s">
        <v>1246</v>
      </c>
      <c r="U129" s="58"/>
      <c r="V129" s="360">
        <v>1</v>
      </c>
      <c r="W129" s="361"/>
      <c r="X129" s="58" t="s">
        <v>189</v>
      </c>
      <c r="Y129" s="58"/>
      <c r="Z129" s="58"/>
      <c r="AA129" s="362">
        <v>0.3</v>
      </c>
      <c r="AB129" s="362"/>
      <c r="AC129" s="362"/>
      <c r="AD129" s="92" t="s">
        <v>1260</v>
      </c>
      <c r="AE129" s="90"/>
      <c r="AF129" s="91"/>
      <c r="AG129" s="91"/>
      <c r="AH129" s="91"/>
      <c r="AI129" s="90"/>
      <c r="AJ129" s="91"/>
      <c r="AK129" s="91"/>
      <c r="AL129" s="91"/>
      <c r="AM129" s="91"/>
      <c r="AN129" s="90"/>
      <c r="AO129" s="90"/>
      <c r="AP129" s="86"/>
      <c r="AQ129" s="86"/>
      <c r="AR129" s="86"/>
      <c r="AS129" s="86"/>
      <c r="AT129" s="86"/>
      <c r="AU129" s="86"/>
      <c r="AV129" s="86"/>
      <c r="AW129" s="86"/>
      <c r="AX129" s="86"/>
      <c r="AY129" s="86"/>
      <c r="AZ129" s="86"/>
      <c r="BA129" s="86"/>
      <c r="BB129" s="86"/>
      <c r="BC129" s="6"/>
      <c r="BD129" s="86"/>
      <c r="BE129" s="96"/>
      <c r="BF129" s="96"/>
      <c r="BG129" s="96"/>
      <c r="BH129" s="96"/>
      <c r="BI129" s="96"/>
      <c r="BJ129" s="89"/>
      <c r="BK129" s="89"/>
      <c r="BL129" s="89"/>
      <c r="BM129" s="89"/>
      <c r="BN129" s="89"/>
      <c r="BO129" s="89"/>
      <c r="BP129" s="58"/>
      <c r="BQ129" s="58"/>
      <c r="BR129" s="58"/>
      <c r="BS129" s="58"/>
      <c r="BT129" s="58"/>
      <c r="BU129" s="58"/>
      <c r="BV129" s="58"/>
      <c r="BW129" s="105"/>
      <c r="BX129" s="91"/>
      <c r="BY129" s="16"/>
      <c r="BZ129" s="10"/>
      <c r="CA129" s="18"/>
      <c r="CB129" s="16"/>
      <c r="CC129" s="16"/>
      <c r="CD129" s="16"/>
      <c r="CE129" s="18"/>
      <c r="CF129" s="16"/>
      <c r="CG129" s="16"/>
      <c r="CH129" s="16"/>
      <c r="CI129" s="16"/>
      <c r="CJ129" s="18"/>
      <c r="CK129" s="18"/>
    </row>
    <row r="130" spans="1:89" s="28" customFormat="1" ht="19.5" customHeight="1">
      <c r="A130" s="86"/>
      <c r="B130" s="87"/>
      <c r="C130" s="87"/>
      <c r="D130" s="86"/>
      <c r="E130" s="87"/>
      <c r="F130" s="87"/>
      <c r="G130" s="86"/>
      <c r="H130" s="87"/>
      <c r="I130" s="96"/>
      <c r="J130" s="96"/>
      <c r="K130" s="96"/>
      <c r="L130" s="96"/>
      <c r="M130" s="96"/>
      <c r="N130" s="89"/>
      <c r="O130" s="89"/>
      <c r="P130" s="89"/>
      <c r="Q130" s="89"/>
      <c r="R130" s="89"/>
      <c r="S130" s="89"/>
      <c r="T130" s="58"/>
      <c r="U130" s="58"/>
      <c r="V130" s="90"/>
      <c r="W130" s="90"/>
      <c r="X130" s="58"/>
      <c r="Y130" s="58"/>
      <c r="Z130" s="58"/>
      <c r="AA130" s="91"/>
      <c r="AB130" s="91"/>
      <c r="AC130" s="91"/>
      <c r="AD130" s="92"/>
      <c r="AE130" s="90"/>
      <c r="AF130" s="91"/>
      <c r="AG130" s="91"/>
      <c r="AH130" s="91"/>
      <c r="AI130" s="90"/>
      <c r="AJ130" s="91"/>
      <c r="AK130" s="91"/>
      <c r="AL130" s="91"/>
      <c r="AM130" s="91"/>
      <c r="AN130" s="90"/>
      <c r="AO130" s="90"/>
      <c r="AP130" s="86"/>
      <c r="AQ130" s="86"/>
      <c r="AR130" s="86"/>
      <c r="AS130" s="86"/>
      <c r="AT130" s="86"/>
      <c r="AU130" s="86"/>
      <c r="AV130" s="86"/>
      <c r="AW130" s="86"/>
      <c r="AX130" s="86"/>
      <c r="AY130" s="86"/>
      <c r="AZ130" s="86"/>
      <c r="BA130" s="86"/>
      <c r="BB130" s="86"/>
      <c r="BC130" s="6"/>
      <c r="BD130" s="86"/>
      <c r="BE130" s="96"/>
      <c r="BF130" s="96"/>
      <c r="BG130" s="96"/>
      <c r="BH130" s="96"/>
      <c r="BI130" s="96"/>
      <c r="BJ130" s="89"/>
      <c r="BK130" s="89"/>
      <c r="BL130" s="89"/>
      <c r="BM130" s="89"/>
      <c r="BN130" s="89"/>
      <c r="BO130" s="89"/>
      <c r="BP130" s="58"/>
      <c r="BQ130" s="58"/>
      <c r="BR130" s="58"/>
      <c r="BS130" s="58"/>
      <c r="BT130" s="58"/>
      <c r="BU130" s="58"/>
      <c r="BV130" s="58"/>
      <c r="BW130" s="105"/>
      <c r="BX130" s="91"/>
      <c r="BY130" s="16"/>
      <c r="BZ130" s="10"/>
      <c r="CA130" s="18"/>
      <c r="CB130" s="16"/>
      <c r="CC130" s="16"/>
      <c r="CD130" s="16"/>
      <c r="CE130" s="18"/>
      <c r="CF130" s="16"/>
      <c r="CG130" s="16"/>
      <c r="CH130" s="16"/>
      <c r="CI130" s="16"/>
      <c r="CJ130" s="18"/>
      <c r="CK130" s="18"/>
    </row>
    <row r="131" spans="1:76" s="28" customFormat="1" ht="19.5" customHeight="1">
      <c r="A131" s="86"/>
      <c r="B131" s="87"/>
      <c r="C131" s="87"/>
      <c r="D131" s="86"/>
      <c r="E131" s="86"/>
      <c r="F131" s="356" t="s">
        <v>190</v>
      </c>
      <c r="G131" s="86"/>
      <c r="H131" s="87"/>
      <c r="I131" s="87"/>
      <c r="J131" s="87"/>
      <c r="K131" s="87"/>
      <c r="L131" s="87"/>
      <c r="M131" s="86"/>
      <c r="N131" s="120"/>
      <c r="P131" s="109"/>
      <c r="Q131" s="87"/>
      <c r="R131" s="87"/>
      <c r="S131" s="87"/>
      <c r="T131" s="87"/>
      <c r="U131" s="87"/>
      <c r="V131" s="87"/>
      <c r="W131" s="87"/>
      <c r="X131" s="87"/>
      <c r="Y131" s="87"/>
      <c r="Z131" s="87"/>
      <c r="AA131" s="87"/>
      <c r="AB131" s="121"/>
      <c r="AC131" s="121"/>
      <c r="AD131" s="166"/>
      <c r="AE131" s="166"/>
      <c r="AF131" s="166"/>
      <c r="AG131" s="166"/>
      <c r="AH131" s="88"/>
      <c r="AI131" s="88"/>
      <c r="AJ131" s="88"/>
      <c r="AK131" s="86"/>
      <c r="AL131" s="86"/>
      <c r="AM131" s="86"/>
      <c r="AN131" s="86"/>
      <c r="AO131" s="86"/>
      <c r="AP131" s="86"/>
      <c r="AQ131" s="86"/>
      <c r="AR131" s="93"/>
      <c r="AS131" s="86"/>
      <c r="AT131" s="86"/>
      <c r="AU131" s="86"/>
      <c r="AV131" s="86"/>
      <c r="AW131" s="86"/>
      <c r="AX131" s="86"/>
      <c r="AY131" s="86"/>
      <c r="AZ131" s="86"/>
      <c r="BA131" s="86"/>
      <c r="BB131" s="93"/>
      <c r="BC131" s="6"/>
      <c r="BD131" s="86"/>
      <c r="BE131" s="86"/>
      <c r="BF131" s="86"/>
      <c r="BG131" s="86"/>
      <c r="BH131" s="86"/>
      <c r="BI131" s="86"/>
      <c r="BJ131" s="86"/>
      <c r="BK131" s="86"/>
      <c r="BL131" s="86"/>
      <c r="BM131" s="86"/>
      <c r="BN131" s="86"/>
      <c r="BO131" s="86"/>
      <c r="BP131" s="86"/>
      <c r="BQ131" s="86"/>
      <c r="BR131" s="86"/>
      <c r="BS131" s="86"/>
      <c r="BT131" s="86"/>
      <c r="BU131" s="86"/>
      <c r="BV131" s="86"/>
      <c r="BW131" s="86"/>
      <c r="BX131" s="86"/>
    </row>
    <row r="132" spans="1:76" s="28" customFormat="1" ht="19.5" customHeight="1">
      <c r="A132" s="86"/>
      <c r="B132" s="87"/>
      <c r="C132" s="87"/>
      <c r="D132" s="86"/>
      <c r="E132" s="87"/>
      <c r="F132" s="86"/>
      <c r="G132" s="86"/>
      <c r="H132" s="87"/>
      <c r="I132" s="87"/>
      <c r="J132" s="87"/>
      <c r="K132" s="87"/>
      <c r="L132" s="87"/>
      <c r="M132" s="122"/>
      <c r="N132" s="120"/>
      <c r="O132" s="109"/>
      <c r="P132" s="109"/>
      <c r="Q132" s="87"/>
      <c r="R132" s="87"/>
      <c r="S132" s="87"/>
      <c r="T132" s="87"/>
      <c r="U132" s="87"/>
      <c r="V132" s="87"/>
      <c r="W132" s="87"/>
      <c r="X132" s="87"/>
      <c r="Y132" s="87"/>
      <c r="Z132" s="87"/>
      <c r="AA132" s="87"/>
      <c r="AB132" s="121"/>
      <c r="AC132" s="121"/>
      <c r="AD132" s="166"/>
      <c r="AE132" s="166"/>
      <c r="AF132" s="166"/>
      <c r="AG132" s="166"/>
      <c r="AH132" s="88"/>
      <c r="AI132" s="88"/>
      <c r="AJ132" s="88"/>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row>
    <row r="133" spans="1:76" s="28" customFormat="1" ht="19.5" customHeight="1">
      <c r="A133" s="86"/>
      <c r="B133" s="87"/>
      <c r="C133" s="87"/>
      <c r="D133" s="86"/>
      <c r="E133" s="87"/>
      <c r="F133" s="86"/>
      <c r="G133" s="86"/>
      <c r="H133" s="87"/>
      <c r="I133" s="87"/>
      <c r="J133" s="87"/>
      <c r="K133" s="87"/>
      <c r="L133" s="87"/>
      <c r="M133" s="122"/>
      <c r="N133" s="120"/>
      <c r="O133" s="109"/>
      <c r="P133" s="109"/>
      <c r="Q133" s="87"/>
      <c r="R133" s="87"/>
      <c r="S133" s="87"/>
      <c r="T133" s="87"/>
      <c r="U133" s="87"/>
      <c r="V133" s="87"/>
      <c r="W133" s="87"/>
      <c r="X133" s="87"/>
      <c r="Y133" s="87"/>
      <c r="Z133" s="87"/>
      <c r="AA133" s="87"/>
      <c r="AB133" s="121"/>
      <c r="AC133" s="121"/>
      <c r="AD133" s="166"/>
      <c r="AE133" s="166"/>
      <c r="AF133" s="166"/>
      <c r="AG133" s="166"/>
      <c r="AH133" s="88"/>
      <c r="AI133" s="88"/>
      <c r="AJ133" s="88"/>
      <c r="AK133" s="86"/>
      <c r="AL133" s="86"/>
      <c r="AM133" s="86"/>
      <c r="AN133" s="86"/>
      <c r="AO133" s="86"/>
      <c r="AP133" s="86"/>
      <c r="AQ133" s="86"/>
      <c r="AR133" s="93"/>
      <c r="AS133" s="86"/>
      <c r="AT133" s="86"/>
      <c r="AU133" s="86"/>
      <c r="AV133" s="86"/>
      <c r="AW133" s="86"/>
      <c r="AX133" s="86"/>
      <c r="AY133" s="86"/>
      <c r="AZ133" s="86"/>
      <c r="BA133" s="86"/>
      <c r="BB133" s="86"/>
      <c r="BC133" s="86"/>
      <c r="BD133" s="86"/>
      <c r="BE133" s="93"/>
      <c r="BF133" s="86"/>
      <c r="BG133" s="86"/>
      <c r="BH133" s="86"/>
      <c r="BI133" s="86"/>
      <c r="BJ133" s="86"/>
      <c r="BK133" s="86"/>
      <c r="BL133" s="86"/>
      <c r="BM133" s="86"/>
      <c r="BN133" s="86"/>
      <c r="BO133" s="86"/>
      <c r="BP133" s="86"/>
      <c r="BQ133" s="86"/>
      <c r="BR133" s="86"/>
      <c r="BS133" s="86"/>
      <c r="BT133" s="86"/>
      <c r="BU133" s="86"/>
      <c r="BV133" s="86"/>
      <c r="BW133" s="86"/>
      <c r="BX133" s="86"/>
    </row>
    <row r="134" spans="1:76" s="28" customFormat="1" ht="19.5" customHeight="1">
      <c r="A134" s="86"/>
      <c r="B134" s="87"/>
      <c r="C134" s="87"/>
      <c r="D134" s="86"/>
      <c r="E134" s="87"/>
      <c r="F134" s="86"/>
      <c r="G134" s="86"/>
      <c r="H134" s="87"/>
      <c r="I134" s="87"/>
      <c r="J134" s="87"/>
      <c r="K134" s="87"/>
      <c r="L134" s="87"/>
      <c r="M134" s="122"/>
      <c r="N134" s="120"/>
      <c r="O134" s="109"/>
      <c r="P134" s="109"/>
      <c r="Q134" s="87"/>
      <c r="R134" s="87"/>
      <c r="S134" s="87"/>
      <c r="T134" s="87"/>
      <c r="U134" s="87"/>
      <c r="V134" s="87"/>
      <c r="W134" s="87"/>
      <c r="X134" s="87"/>
      <c r="Y134" s="87"/>
      <c r="Z134" s="87"/>
      <c r="AA134" s="87"/>
      <c r="AB134" s="121"/>
      <c r="AC134" s="121"/>
      <c r="AD134" s="166"/>
      <c r="AE134" s="166"/>
      <c r="AF134" s="166"/>
      <c r="AG134" s="166"/>
      <c r="AH134" s="88"/>
      <c r="AI134" s="88"/>
      <c r="AJ134" s="88"/>
      <c r="AK134" s="86"/>
      <c r="AL134" s="86"/>
      <c r="AM134" s="86"/>
      <c r="AN134" s="86"/>
      <c r="AO134" s="86"/>
      <c r="AP134" s="86"/>
      <c r="AQ134" s="86"/>
      <c r="AR134" s="93"/>
      <c r="AS134" s="86"/>
      <c r="AT134" s="86"/>
      <c r="AU134" s="86"/>
      <c r="AV134" s="86"/>
      <c r="AW134" s="86"/>
      <c r="AX134" s="86"/>
      <c r="AY134" s="86"/>
      <c r="AZ134" s="86"/>
      <c r="BA134" s="86"/>
      <c r="BB134" s="86"/>
      <c r="BC134" s="86"/>
      <c r="BD134" s="86"/>
      <c r="BE134" s="93"/>
      <c r="BF134" s="86"/>
      <c r="BG134" s="86"/>
      <c r="BH134" s="86"/>
      <c r="BI134" s="86"/>
      <c r="BJ134" s="86"/>
      <c r="BK134" s="86"/>
      <c r="BL134" s="86"/>
      <c r="BM134" s="86"/>
      <c r="BN134" s="86"/>
      <c r="BO134" s="86"/>
      <c r="BP134" s="86"/>
      <c r="BQ134" s="86"/>
      <c r="BR134" s="86"/>
      <c r="BS134" s="86"/>
      <c r="BT134" s="86"/>
      <c r="BU134" s="86"/>
      <c r="BV134" s="86"/>
      <c r="BW134" s="86"/>
      <c r="BX134" s="86"/>
    </row>
    <row r="135" spans="1:76" s="28" customFormat="1" ht="19.5" customHeight="1">
      <c r="A135" s="86"/>
      <c r="B135" s="87"/>
      <c r="C135" s="87"/>
      <c r="D135" s="86"/>
      <c r="E135" s="87"/>
      <c r="F135" s="86"/>
      <c r="G135" s="86"/>
      <c r="H135" s="87"/>
      <c r="I135" s="87"/>
      <c r="J135" s="87"/>
      <c r="K135" s="87"/>
      <c r="L135" s="87"/>
      <c r="M135" s="122"/>
      <c r="N135" s="120"/>
      <c r="O135" s="109"/>
      <c r="P135" s="109"/>
      <c r="Q135" s="87"/>
      <c r="R135" s="87"/>
      <c r="S135" s="87"/>
      <c r="T135" s="87"/>
      <c r="U135" s="87"/>
      <c r="V135" s="87"/>
      <c r="W135" s="87"/>
      <c r="X135" s="87"/>
      <c r="Y135" s="87"/>
      <c r="Z135" s="87"/>
      <c r="AA135" s="87"/>
      <c r="AB135" s="121"/>
      <c r="AC135" s="121"/>
      <c r="AD135" s="166"/>
      <c r="AE135" s="166"/>
      <c r="AF135" s="166"/>
      <c r="AG135" s="166"/>
      <c r="AH135" s="88"/>
      <c r="AI135" s="88"/>
      <c r="AJ135" s="88"/>
      <c r="AK135" s="86"/>
      <c r="AL135" s="86"/>
      <c r="AM135" s="86"/>
      <c r="AN135" s="86"/>
      <c r="AO135" s="86"/>
      <c r="AP135" s="86"/>
      <c r="AQ135" s="86"/>
      <c r="AR135" s="93"/>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row>
    <row r="136" spans="1:76" s="28" customFormat="1" ht="19.5" customHeight="1">
      <c r="A136" s="86"/>
      <c r="B136" s="87"/>
      <c r="C136" s="87"/>
      <c r="D136" s="86"/>
      <c r="E136" s="87"/>
      <c r="F136" s="86"/>
      <c r="G136" s="86"/>
      <c r="H136" s="87"/>
      <c r="I136" s="87"/>
      <c r="J136" s="87"/>
      <c r="K136" s="87"/>
      <c r="L136" s="87"/>
      <c r="M136" s="122"/>
      <c r="N136" s="120"/>
      <c r="O136" s="109"/>
      <c r="P136" s="109"/>
      <c r="Q136" s="87"/>
      <c r="R136" s="87"/>
      <c r="S136" s="87"/>
      <c r="T136" s="87"/>
      <c r="U136" s="87"/>
      <c r="V136" s="87"/>
      <c r="W136" s="87"/>
      <c r="X136" s="87"/>
      <c r="Y136" s="87"/>
      <c r="Z136" s="87"/>
      <c r="AA136" s="87"/>
      <c r="AB136" s="121"/>
      <c r="AC136" s="121"/>
      <c r="AD136" s="166"/>
      <c r="AE136" s="166"/>
      <c r="AF136" s="166"/>
      <c r="AG136" s="166"/>
      <c r="AH136" s="88"/>
      <c r="AI136" s="88"/>
      <c r="AJ136" s="88"/>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row>
    <row r="137" spans="1:76" s="28" customFormat="1" ht="19.5" customHeight="1">
      <c r="A137" s="86"/>
      <c r="B137" s="87"/>
      <c r="C137" s="87"/>
      <c r="D137" s="86"/>
      <c r="E137" s="87"/>
      <c r="F137" s="86"/>
      <c r="G137" s="86"/>
      <c r="H137" s="87"/>
      <c r="I137" s="87"/>
      <c r="J137" s="87"/>
      <c r="K137" s="87"/>
      <c r="L137" s="87"/>
      <c r="M137" s="122"/>
      <c r="N137" s="120"/>
      <c r="O137" s="109"/>
      <c r="P137" s="109"/>
      <c r="Q137" s="87"/>
      <c r="R137" s="87"/>
      <c r="S137" s="87"/>
      <c r="T137" s="87"/>
      <c r="U137" s="87"/>
      <c r="V137" s="87"/>
      <c r="W137" s="87"/>
      <c r="X137" s="87"/>
      <c r="Y137" s="87"/>
      <c r="Z137" s="87"/>
      <c r="AA137" s="87"/>
      <c r="AB137" s="121"/>
      <c r="AC137" s="121"/>
      <c r="AD137" s="166"/>
      <c r="AE137" s="166"/>
      <c r="AF137" s="166"/>
      <c r="AG137" s="166"/>
      <c r="AH137" s="88"/>
      <c r="AI137" s="88"/>
      <c r="AJ137" s="88"/>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row>
    <row r="138" spans="1:76" s="28" customFormat="1" ht="19.5" customHeight="1">
      <c r="A138" s="86"/>
      <c r="B138" s="87"/>
      <c r="C138" s="87"/>
      <c r="D138" s="86"/>
      <c r="E138" s="87"/>
      <c r="F138" s="86"/>
      <c r="G138" s="86"/>
      <c r="H138" s="87"/>
      <c r="I138" s="87"/>
      <c r="J138" s="87"/>
      <c r="K138" s="87"/>
      <c r="L138" s="87"/>
      <c r="M138" s="122"/>
      <c r="N138" s="120"/>
      <c r="O138" s="109"/>
      <c r="P138" s="109"/>
      <c r="Q138" s="87"/>
      <c r="R138" s="87"/>
      <c r="S138" s="87"/>
      <c r="T138" s="87"/>
      <c r="U138" s="87"/>
      <c r="V138" s="87"/>
      <c r="W138" s="87"/>
      <c r="X138" s="87"/>
      <c r="Y138" s="87"/>
      <c r="Z138" s="87"/>
      <c r="AA138" s="87"/>
      <c r="AB138" s="121"/>
      <c r="AC138" s="121"/>
      <c r="AD138" s="166"/>
      <c r="AE138" s="166"/>
      <c r="AF138" s="166"/>
      <c r="AG138" s="166"/>
      <c r="AH138" s="88"/>
      <c r="AI138" s="88"/>
      <c r="AJ138" s="88"/>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row>
    <row r="139" spans="1:76" s="28" customFormat="1" ht="19.5" customHeight="1">
      <c r="A139" s="86"/>
      <c r="B139" s="87"/>
      <c r="C139" s="87"/>
      <c r="D139" s="86"/>
      <c r="E139" s="87"/>
      <c r="F139" s="86"/>
      <c r="G139" s="86"/>
      <c r="H139" s="87"/>
      <c r="I139" s="87"/>
      <c r="J139" s="87"/>
      <c r="K139" s="87"/>
      <c r="L139" s="87"/>
      <c r="M139" s="122"/>
      <c r="N139" s="120"/>
      <c r="O139" s="109"/>
      <c r="P139" s="109"/>
      <c r="Q139" s="87"/>
      <c r="R139" s="87"/>
      <c r="S139" s="87"/>
      <c r="T139" s="87"/>
      <c r="U139" s="87"/>
      <c r="V139" s="87"/>
      <c r="W139" s="87"/>
      <c r="X139" s="87"/>
      <c r="Y139" s="87"/>
      <c r="Z139" s="87"/>
      <c r="AA139" s="87"/>
      <c r="AB139" s="121"/>
      <c r="AC139" s="121"/>
      <c r="AD139" s="166"/>
      <c r="AE139" s="109" t="s">
        <v>1261</v>
      </c>
      <c r="AF139" s="166"/>
      <c r="AG139" s="166"/>
      <c r="AH139" s="88"/>
      <c r="AI139" s="88"/>
      <c r="AJ139" s="88"/>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row>
    <row r="140" spans="1:76" s="28" customFormat="1" ht="19.5" customHeight="1" thickBot="1">
      <c r="A140" s="86"/>
      <c r="B140" s="87"/>
      <c r="C140" s="87"/>
      <c r="D140" s="86"/>
      <c r="E140" s="87"/>
      <c r="F140" s="86"/>
      <c r="G140" s="87"/>
      <c r="H140" s="186" t="s">
        <v>957</v>
      </c>
      <c r="I140" s="187"/>
      <c r="J140" s="187"/>
      <c r="K140" s="187"/>
      <c r="L140" s="188"/>
      <c r="M140" s="186" t="s">
        <v>1339</v>
      </c>
      <c r="N140" s="187"/>
      <c r="O140" s="187"/>
      <c r="P140" s="187"/>
      <c r="Q140" s="187"/>
      <c r="R140" s="187"/>
      <c r="S140" s="187"/>
      <c r="T140" s="187"/>
      <c r="U140" s="187"/>
      <c r="V140" s="187"/>
      <c r="W140" s="187"/>
      <c r="X140" s="187"/>
      <c r="Y140" s="187"/>
      <c r="Z140" s="187"/>
      <c r="AA140" s="187"/>
      <c r="AB140" s="187"/>
      <c r="AC140" s="187"/>
      <c r="AD140" s="188"/>
      <c r="AE140" s="186" t="s">
        <v>1258</v>
      </c>
      <c r="AF140" s="187"/>
      <c r="AG140" s="187"/>
      <c r="AH140" s="188"/>
      <c r="AI140" s="186" t="s">
        <v>187</v>
      </c>
      <c r="AJ140" s="187"/>
      <c r="AK140" s="187"/>
      <c r="AL140" s="187"/>
      <c r="AM140" s="187"/>
      <c r="AN140" s="188"/>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row>
    <row r="141" spans="1:76" s="28" customFormat="1" ht="19.5" customHeight="1" thickBot="1" thickTop="1">
      <c r="A141" s="86"/>
      <c r="B141" s="87"/>
      <c r="C141" s="87"/>
      <c r="D141" s="86"/>
      <c r="E141" s="87"/>
      <c r="F141" s="86"/>
      <c r="G141" s="87"/>
      <c r="H141" s="194">
        <v>1</v>
      </c>
      <c r="I141" s="195"/>
      <c r="J141" s="195"/>
      <c r="K141" s="195"/>
      <c r="L141" s="185"/>
      <c r="M141" s="357" t="str">
        <f>" "&amp;ROUND(0.6,3)&amp;" × "&amp;ROUND(0.33,3)&amp;" × "&amp;ROUND(24.5,3)</f>
        <v> 0.6 × 0.33 × 24.5</v>
      </c>
      <c r="N141" s="123"/>
      <c r="O141" s="123"/>
      <c r="P141" s="123"/>
      <c r="Q141" s="123"/>
      <c r="R141" s="123"/>
      <c r="S141" s="124"/>
      <c r="T141" s="124"/>
      <c r="U141" s="124"/>
      <c r="V141" s="124"/>
      <c r="W141" s="124"/>
      <c r="X141" s="124"/>
      <c r="Y141" s="124"/>
      <c r="Z141" s="125" t="s">
        <v>958</v>
      </c>
      <c r="AA141" s="192">
        <f>ROUND(0.6*0.33*24.5,3)</f>
        <v>4.851</v>
      </c>
      <c r="AB141" s="358"/>
      <c r="AC141" s="358"/>
      <c r="AD141" s="359"/>
      <c r="AE141" s="191">
        <v>0.3</v>
      </c>
      <c r="AF141" s="358"/>
      <c r="AG141" s="358"/>
      <c r="AH141" s="359"/>
      <c r="AI141" s="128">
        <f>AA141*AE141</f>
        <v>1.4553</v>
      </c>
      <c r="AJ141" s="126"/>
      <c r="AK141" s="126"/>
      <c r="AL141" s="126"/>
      <c r="AM141" s="127"/>
      <c r="AN141" s="129"/>
      <c r="AO141" s="86"/>
      <c r="AP141" s="86"/>
      <c r="AQ141" s="86"/>
      <c r="AR141" s="93"/>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row>
    <row r="142" spans="1:88" s="28" customFormat="1" ht="19.5" customHeight="1" thickTop="1">
      <c r="A142" s="86"/>
      <c r="B142" s="87"/>
      <c r="C142" s="87"/>
      <c r="D142" s="86"/>
      <c r="E142" s="87"/>
      <c r="F142" s="86"/>
      <c r="G142" s="87"/>
      <c r="H142" s="191" t="s">
        <v>188</v>
      </c>
      <c r="I142" s="192"/>
      <c r="J142" s="192"/>
      <c r="K142" s="192"/>
      <c r="L142" s="193"/>
      <c r="M142" s="132"/>
      <c r="N142" s="123"/>
      <c r="O142" s="123"/>
      <c r="P142" s="123"/>
      <c r="Q142" s="123"/>
      <c r="R142" s="123"/>
      <c r="S142" s="124"/>
      <c r="T142" s="124"/>
      <c r="U142" s="124"/>
      <c r="V142" s="124"/>
      <c r="W142" s="124"/>
      <c r="X142" s="124"/>
      <c r="Y142" s="124"/>
      <c r="Z142" s="125"/>
      <c r="AA142" s="126">
        <f>SUM(AA141:AA141)</f>
        <v>4.851</v>
      </c>
      <c r="AB142" s="126"/>
      <c r="AC142" s="125"/>
      <c r="AD142" s="127"/>
      <c r="AE142" s="128">
        <f>AI142/AA142</f>
        <v>0.3</v>
      </c>
      <c r="AF142" s="126"/>
      <c r="AG142" s="126"/>
      <c r="AH142" s="127"/>
      <c r="AI142" s="128">
        <f>SUM(AI141:AI141)</f>
        <v>1.4553</v>
      </c>
      <c r="AJ142" s="126"/>
      <c r="AK142" s="126"/>
      <c r="AL142" s="126"/>
      <c r="AM142" s="127"/>
      <c r="AN142" s="129"/>
      <c r="AO142" s="86"/>
      <c r="AP142" s="86"/>
      <c r="AQ142" s="86"/>
      <c r="AR142" s="86"/>
      <c r="AS142" s="86"/>
      <c r="AT142" s="86"/>
      <c r="AU142" s="86"/>
      <c r="AV142" s="86"/>
      <c r="AW142" s="86"/>
      <c r="AX142" s="86"/>
      <c r="AY142" s="86"/>
      <c r="AZ142" s="86"/>
      <c r="BA142" s="86"/>
      <c r="BB142" s="6"/>
      <c r="BC142" s="86"/>
      <c r="BD142" s="96"/>
      <c r="BE142" s="96"/>
      <c r="BF142" s="96"/>
      <c r="BG142" s="96"/>
      <c r="BH142" s="96"/>
      <c r="BI142" s="89"/>
      <c r="BJ142" s="89"/>
      <c r="BK142" s="89"/>
      <c r="BL142" s="89"/>
      <c r="BM142" s="89"/>
      <c r="BN142" s="89"/>
      <c r="BO142" s="58"/>
      <c r="BP142" s="58"/>
      <c r="BQ142" s="58"/>
      <c r="BR142" s="58"/>
      <c r="BS142" s="58"/>
      <c r="BT142" s="58"/>
      <c r="BU142" s="58"/>
      <c r="BV142" s="105"/>
      <c r="BW142" s="91"/>
      <c r="BX142" s="91"/>
      <c r="BY142" s="10"/>
      <c r="BZ142" s="18"/>
      <c r="CA142" s="16"/>
      <c r="CB142" s="16"/>
      <c r="CC142" s="16"/>
      <c r="CD142" s="18"/>
      <c r="CE142" s="16"/>
      <c r="CF142" s="16"/>
      <c r="CG142" s="16"/>
      <c r="CH142" s="16"/>
      <c r="CI142" s="18"/>
      <c r="CJ142" s="18"/>
    </row>
    <row r="143" spans="1:76" s="28" customFormat="1" ht="19.5" customHeight="1">
      <c r="A143" s="86"/>
      <c r="B143" s="87"/>
      <c r="C143" s="87"/>
      <c r="D143" s="86"/>
      <c r="E143" s="86"/>
      <c r="F143" s="86"/>
      <c r="G143" s="86"/>
      <c r="H143" s="87"/>
      <c r="I143" s="87"/>
      <c r="J143" s="87"/>
      <c r="K143" s="87"/>
      <c r="L143" s="87"/>
      <c r="M143" s="86"/>
      <c r="N143" s="109"/>
      <c r="O143" s="89" t="s">
        <v>1259</v>
      </c>
      <c r="P143" s="89"/>
      <c r="Q143" s="89"/>
      <c r="R143" s="89"/>
      <c r="S143" s="89"/>
      <c r="T143" s="58" t="s">
        <v>1235</v>
      </c>
      <c r="U143" s="58"/>
      <c r="V143" s="360">
        <v>14</v>
      </c>
      <c r="W143" s="361"/>
      <c r="X143" s="58" t="s">
        <v>191</v>
      </c>
      <c r="Y143" s="58"/>
      <c r="Z143" s="58"/>
      <c r="AA143" s="362">
        <v>1.9</v>
      </c>
      <c r="AB143" s="362"/>
      <c r="AC143" s="362"/>
      <c r="AD143" s="92" t="s">
        <v>192</v>
      </c>
      <c r="AE143" s="90"/>
      <c r="AF143" s="91"/>
      <c r="AG143" s="166"/>
      <c r="AH143" s="88"/>
      <c r="AI143" s="88"/>
      <c r="AJ143" s="88"/>
      <c r="AK143" s="86"/>
      <c r="AL143" s="86"/>
      <c r="AM143" s="86"/>
      <c r="AN143" s="86"/>
      <c r="AO143" s="86"/>
      <c r="AP143" s="86"/>
      <c r="AQ143" s="86"/>
      <c r="AR143" s="86"/>
      <c r="AS143" s="86"/>
      <c r="AT143" s="86"/>
      <c r="AU143" s="86"/>
      <c r="AV143" s="86"/>
      <c r="AW143" s="86"/>
      <c r="AX143" s="86"/>
      <c r="AY143" s="86"/>
      <c r="AZ143" s="86"/>
      <c r="BA143" s="86"/>
      <c r="BB143" s="86"/>
      <c r="BC143" s="6"/>
      <c r="BD143" s="86"/>
      <c r="BE143" s="86"/>
      <c r="BF143" s="86"/>
      <c r="BG143" s="86"/>
      <c r="BH143" s="86"/>
      <c r="BI143" s="86"/>
      <c r="BJ143" s="86"/>
      <c r="BK143" s="86"/>
      <c r="BL143" s="86"/>
      <c r="BM143" s="86"/>
      <c r="BN143" s="86"/>
      <c r="BO143" s="86"/>
      <c r="BP143" s="86"/>
      <c r="BQ143" s="86"/>
      <c r="BR143" s="86"/>
      <c r="BS143" s="86"/>
      <c r="BT143" s="86"/>
      <c r="BU143" s="86"/>
      <c r="BV143" s="86"/>
      <c r="BW143" s="86"/>
      <c r="BX143" s="86"/>
    </row>
    <row r="144" spans="1:76" s="28" customFormat="1" ht="19.5" customHeight="1">
      <c r="A144" s="86"/>
      <c r="B144" s="87"/>
      <c r="C144" s="87"/>
      <c r="D144" s="86"/>
      <c r="E144" s="86"/>
      <c r="F144" s="86"/>
      <c r="G144" s="86"/>
      <c r="H144" s="87"/>
      <c r="I144" s="87"/>
      <c r="J144" s="87"/>
      <c r="K144" s="87"/>
      <c r="L144" s="87"/>
      <c r="M144" s="86"/>
      <c r="N144" s="109"/>
      <c r="O144" s="89"/>
      <c r="P144" s="89"/>
      <c r="Q144" s="89"/>
      <c r="R144" s="89"/>
      <c r="S144" s="89"/>
      <c r="T144" s="58"/>
      <c r="U144" s="58"/>
      <c r="V144" s="90"/>
      <c r="W144" s="90"/>
      <c r="X144" s="58"/>
      <c r="Y144" s="58"/>
      <c r="Z144" s="58"/>
      <c r="AA144" s="91"/>
      <c r="AB144" s="91"/>
      <c r="AC144" s="91"/>
      <c r="AD144" s="92"/>
      <c r="AE144" s="90"/>
      <c r="AF144" s="91"/>
      <c r="AG144" s="166"/>
      <c r="AH144" s="88"/>
      <c r="AI144" s="88"/>
      <c r="AJ144" s="88"/>
      <c r="AK144" s="86"/>
      <c r="AL144" s="86"/>
      <c r="AM144" s="86"/>
      <c r="AN144" s="86"/>
      <c r="AO144" s="86"/>
      <c r="AP144" s="86"/>
      <c r="AQ144" s="86"/>
      <c r="AR144" s="86"/>
      <c r="AS144" s="86"/>
      <c r="AT144" s="86"/>
      <c r="AU144" s="86"/>
      <c r="AV144" s="86"/>
      <c r="AW144" s="86"/>
      <c r="AX144" s="86"/>
      <c r="AY144" s="86"/>
      <c r="AZ144" s="86"/>
      <c r="BA144" s="86"/>
      <c r="BB144" s="86"/>
      <c r="BC144" s="6"/>
      <c r="BD144" s="86"/>
      <c r="BE144" s="86"/>
      <c r="BF144" s="86"/>
      <c r="BG144" s="86"/>
      <c r="BH144" s="86"/>
      <c r="BI144" s="86"/>
      <c r="BJ144" s="86"/>
      <c r="BK144" s="86"/>
      <c r="BL144" s="86"/>
      <c r="BM144" s="86"/>
      <c r="BN144" s="86"/>
      <c r="BO144" s="86"/>
      <c r="BP144" s="86"/>
      <c r="BQ144" s="86"/>
      <c r="BR144" s="86"/>
      <c r="BS144" s="86"/>
      <c r="BT144" s="86"/>
      <c r="BU144" s="86"/>
      <c r="BV144" s="86"/>
      <c r="BW144" s="86"/>
      <c r="BX144" s="86"/>
    </row>
    <row r="145" spans="1:76" s="28" customFormat="1" ht="19.5" customHeight="1">
      <c r="A145" s="86"/>
      <c r="B145" s="87"/>
      <c r="C145" s="86"/>
      <c r="D145" s="86"/>
      <c r="E145" s="86"/>
      <c r="F145" s="86" t="s">
        <v>965</v>
      </c>
      <c r="G145" s="87"/>
      <c r="H145" s="87"/>
      <c r="I145" s="87"/>
      <c r="J145" s="87"/>
      <c r="K145" s="87"/>
      <c r="L145" s="87"/>
      <c r="M145" s="354">
        <v>1</v>
      </c>
      <c r="N145" s="354"/>
      <c r="O145" s="354"/>
      <c r="P145" s="354"/>
      <c r="Q145" s="277" t="s">
        <v>193</v>
      </c>
      <c r="R145" s="277"/>
      <c r="S145" s="277"/>
      <c r="T145" s="87"/>
      <c r="U145" s="87"/>
      <c r="V145" s="89" t="s">
        <v>963</v>
      </c>
      <c r="W145" s="89"/>
      <c r="X145" s="89"/>
      <c r="Y145" s="89"/>
      <c r="Z145" s="89"/>
      <c r="AA145" s="58" t="s">
        <v>1235</v>
      </c>
      <c r="AB145" s="58"/>
      <c r="AC145" s="363">
        <v>1</v>
      </c>
      <c r="AD145" s="331"/>
      <c r="AE145" s="58" t="s">
        <v>191</v>
      </c>
      <c r="AF145" s="58"/>
      <c r="AG145" s="58"/>
      <c r="AH145" s="364">
        <v>0.3</v>
      </c>
      <c r="AI145" s="333"/>
      <c r="AJ145" s="333"/>
      <c r="AK145" s="92" t="s">
        <v>192</v>
      </c>
      <c r="AL145" s="90"/>
      <c r="AM145" s="91"/>
      <c r="AN145" s="86"/>
      <c r="AO145" s="86"/>
      <c r="AP145" s="86"/>
      <c r="AQ145" s="86"/>
      <c r="AR145" s="93"/>
      <c r="AS145" s="86"/>
      <c r="AT145" s="86"/>
      <c r="AU145" s="86"/>
      <c r="AV145" s="86"/>
      <c r="AW145" s="86"/>
      <c r="AX145" s="86"/>
      <c r="AY145" s="86"/>
      <c r="AZ145" s="86"/>
      <c r="BA145" s="86"/>
      <c r="BB145" s="93"/>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row>
    <row r="146" spans="1:76" s="28" customFormat="1" ht="19.5" customHeight="1">
      <c r="A146" s="86"/>
      <c r="B146" s="87"/>
      <c r="C146" s="86"/>
      <c r="D146" s="86"/>
      <c r="E146" s="86"/>
      <c r="F146" s="86" t="s">
        <v>966</v>
      </c>
      <c r="G146" s="87"/>
      <c r="H146" s="87"/>
      <c r="I146" s="87"/>
      <c r="J146" s="87"/>
      <c r="K146" s="87"/>
      <c r="L146" s="87"/>
      <c r="M146" s="354">
        <v>1</v>
      </c>
      <c r="N146" s="354"/>
      <c r="O146" s="354"/>
      <c r="P146" s="354"/>
      <c r="Q146" s="277" t="s">
        <v>193</v>
      </c>
      <c r="R146" s="277"/>
      <c r="S146" s="277"/>
      <c r="T146" s="87"/>
      <c r="U146" s="87"/>
      <c r="V146" s="89" t="s">
        <v>963</v>
      </c>
      <c r="W146" s="89"/>
      <c r="X146" s="89"/>
      <c r="Y146" s="89"/>
      <c r="Z146" s="89"/>
      <c r="AA146" s="58" t="s">
        <v>1235</v>
      </c>
      <c r="AB146" s="58"/>
      <c r="AC146" s="363">
        <v>14</v>
      </c>
      <c r="AD146" s="331"/>
      <c r="AE146" s="58" t="s">
        <v>191</v>
      </c>
      <c r="AF146" s="58"/>
      <c r="AG146" s="58"/>
      <c r="AH146" s="364">
        <v>1.9</v>
      </c>
      <c r="AI146" s="333"/>
      <c r="AJ146" s="333"/>
      <c r="AK146" s="92" t="s">
        <v>192</v>
      </c>
      <c r="AL146" s="90"/>
      <c r="AM146" s="91"/>
      <c r="AN146" s="86"/>
      <c r="AO146" s="86"/>
      <c r="AP146" s="86"/>
      <c r="AQ146" s="86"/>
      <c r="AR146" s="93"/>
      <c r="AS146" s="86"/>
      <c r="AT146" s="86"/>
      <c r="AU146" s="86"/>
      <c r="AV146" s="86"/>
      <c r="AW146" s="86"/>
      <c r="AX146" s="86"/>
      <c r="AY146" s="86"/>
      <c r="AZ146" s="86"/>
      <c r="BA146" s="86"/>
      <c r="BB146" s="93"/>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row>
    <row r="147" spans="2:54" s="86" customFormat="1" ht="19.5" customHeight="1">
      <c r="B147" s="87"/>
      <c r="G147" s="87"/>
      <c r="H147" s="87"/>
      <c r="I147" s="87"/>
      <c r="J147" s="87"/>
      <c r="K147" s="87"/>
      <c r="L147" s="87"/>
      <c r="M147" s="166"/>
      <c r="N147" s="166"/>
      <c r="O147" s="166"/>
      <c r="P147" s="166"/>
      <c r="Q147" s="88"/>
      <c r="R147" s="88"/>
      <c r="S147" s="88"/>
      <c r="T147" s="87"/>
      <c r="U147" s="87"/>
      <c r="V147" s="89"/>
      <c r="W147" s="89"/>
      <c r="X147" s="89"/>
      <c r="Y147" s="89"/>
      <c r="Z147" s="89"/>
      <c r="AA147" s="58"/>
      <c r="AB147" s="58"/>
      <c r="AC147" s="90"/>
      <c r="AD147" s="90"/>
      <c r="AE147" s="58"/>
      <c r="AF147" s="58"/>
      <c r="AG147" s="58"/>
      <c r="AH147" s="91"/>
      <c r="AI147" s="91"/>
      <c r="AJ147" s="91"/>
      <c r="AK147" s="92"/>
      <c r="AL147" s="90"/>
      <c r="AM147" s="91"/>
      <c r="AR147" s="93"/>
      <c r="BB147" s="93"/>
    </row>
    <row r="148" spans="1:12" ht="19.5" customHeight="1">
      <c r="A148" s="4"/>
      <c r="B148" s="4"/>
      <c r="C148" s="4"/>
      <c r="D148" s="4"/>
      <c r="E148" s="4"/>
      <c r="F148" s="4"/>
      <c r="G148" s="4"/>
      <c r="H148" s="4"/>
      <c r="I148" s="4"/>
      <c r="J148" s="4"/>
      <c r="K148" s="4"/>
      <c r="L148" s="4"/>
    </row>
    <row r="149" spans="1:44" ht="19.5" customHeight="1">
      <c r="A149" s="4"/>
      <c r="B149" s="4"/>
      <c r="C149" s="4"/>
      <c r="D149" s="4"/>
      <c r="E149" s="30" t="s">
        <v>1414</v>
      </c>
      <c r="G149" s="4"/>
      <c r="H149" s="4"/>
      <c r="I149" s="4"/>
      <c r="J149" s="4"/>
      <c r="K149" s="4"/>
      <c r="L149" s="4"/>
      <c r="AR149" s="36"/>
    </row>
    <row r="150" spans="1:42" ht="19.5" customHeight="1">
      <c r="A150" s="4"/>
      <c r="B150" s="4"/>
      <c r="C150" s="4"/>
      <c r="D150" s="4"/>
      <c r="E150" s="4"/>
      <c r="F150" s="4" t="s">
        <v>1262</v>
      </c>
      <c r="G150" s="4"/>
      <c r="H150" s="4"/>
      <c r="I150" s="4"/>
      <c r="J150" s="4"/>
      <c r="K150" s="4"/>
      <c r="L150" s="4"/>
      <c r="M150" s="4"/>
      <c r="N150" s="4"/>
      <c r="O150" s="4"/>
      <c r="P150" s="4"/>
      <c r="Q150" s="4"/>
      <c r="R150" s="133">
        <v>2.5</v>
      </c>
      <c r="S150" s="133"/>
      <c r="T150" s="133"/>
      <c r="U150" s="4" t="s">
        <v>197</v>
      </c>
      <c r="V150" s="4"/>
      <c r="W150" s="4"/>
      <c r="AG150" s="29"/>
      <c r="AP150" s="27"/>
    </row>
    <row r="151" spans="1:44" ht="19.5" customHeight="1">
      <c r="A151" s="4"/>
      <c r="B151" s="4"/>
      <c r="C151" s="4"/>
      <c r="D151" s="4"/>
      <c r="E151" s="4"/>
      <c r="F151" s="4" t="s">
        <v>1263</v>
      </c>
      <c r="G151" s="4"/>
      <c r="H151" s="4"/>
      <c r="I151" s="4"/>
      <c r="J151" s="4"/>
      <c r="K151" s="4"/>
      <c r="L151" s="4"/>
      <c r="M151" s="19">
        <v>1.1</v>
      </c>
      <c r="N151" s="19"/>
      <c r="O151" s="19"/>
      <c r="P151" s="4" t="s">
        <v>198</v>
      </c>
      <c r="Q151" s="365">
        <v>0.08</v>
      </c>
      <c r="R151" s="333"/>
      <c r="S151" s="333"/>
      <c r="T151" s="4" t="s">
        <v>198</v>
      </c>
      <c r="U151" s="365">
        <v>0.25</v>
      </c>
      <c r="V151" s="333"/>
      <c r="W151" s="333"/>
      <c r="X151" s="30" t="s">
        <v>199</v>
      </c>
      <c r="Y151" s="33">
        <v>2</v>
      </c>
      <c r="Z151" s="4" t="s">
        <v>200</v>
      </c>
      <c r="AA151" s="19">
        <f>M151+Q151+U151/2</f>
        <v>1.3050000000000002</v>
      </c>
      <c r="AB151" s="19"/>
      <c r="AC151" s="19"/>
      <c r="AD151" s="4" t="s">
        <v>201</v>
      </c>
      <c r="AG151" s="29"/>
      <c r="AP151" s="27"/>
      <c r="AR151" s="36"/>
    </row>
    <row r="152" spans="1:42" ht="19.5" customHeight="1">
      <c r="A152" s="4"/>
      <c r="B152" s="4"/>
      <c r="C152" s="4"/>
      <c r="D152" s="4"/>
      <c r="E152" s="4"/>
      <c r="F152" s="4" t="s">
        <v>202</v>
      </c>
      <c r="G152" s="4"/>
      <c r="H152" s="4"/>
      <c r="I152" s="133">
        <f>-R150</f>
        <v>-2.5</v>
      </c>
      <c r="J152" s="133"/>
      <c r="K152" s="133"/>
      <c r="L152" s="6" t="s">
        <v>203</v>
      </c>
      <c r="M152" s="19">
        <f>AA151</f>
        <v>1.3050000000000002</v>
      </c>
      <c r="N152" s="19"/>
      <c r="O152" s="19"/>
      <c r="P152" s="4" t="s">
        <v>200</v>
      </c>
      <c r="Q152" s="19">
        <f>I152*M152</f>
        <v>-3.2625</v>
      </c>
      <c r="R152" s="19"/>
      <c r="S152" s="19"/>
      <c r="T152" s="19"/>
      <c r="U152" s="4" t="s">
        <v>204</v>
      </c>
      <c r="V152" s="4"/>
      <c r="W152" s="4"/>
      <c r="AG152" s="29"/>
      <c r="AP152" s="27"/>
    </row>
    <row r="153" spans="1:42" ht="19.5" customHeight="1">
      <c r="A153" s="4"/>
      <c r="B153" s="4"/>
      <c r="C153" s="4"/>
      <c r="D153" s="4"/>
      <c r="E153" s="4"/>
      <c r="F153" s="4"/>
      <c r="G153" s="4"/>
      <c r="H153" s="4"/>
      <c r="I153" s="133"/>
      <c r="J153" s="133"/>
      <c r="K153" s="133"/>
      <c r="L153" s="6"/>
      <c r="M153" s="19"/>
      <c r="N153" s="19"/>
      <c r="O153" s="19"/>
      <c r="P153" s="4"/>
      <c r="Q153" s="19"/>
      <c r="R153" s="19"/>
      <c r="S153" s="19"/>
      <c r="T153" s="19"/>
      <c r="U153" s="4"/>
      <c r="V153" s="4"/>
      <c r="W153" s="4"/>
      <c r="AG153" s="29"/>
      <c r="AP153" s="27"/>
    </row>
    <row r="154" spans="1:44" ht="19.5" customHeight="1">
      <c r="A154" s="4"/>
      <c r="B154" s="4"/>
      <c r="C154" s="4"/>
      <c r="D154" s="4"/>
      <c r="E154" s="30" t="s">
        <v>1416</v>
      </c>
      <c r="G154" s="4"/>
      <c r="H154" s="4"/>
      <c r="I154" s="4"/>
      <c r="J154" s="4"/>
      <c r="K154" s="4"/>
      <c r="L154" s="4"/>
      <c r="AR154" s="36"/>
    </row>
    <row r="155" spans="1:42" ht="19.5" customHeight="1">
      <c r="A155" s="4"/>
      <c r="B155" s="4"/>
      <c r="C155" s="4"/>
      <c r="D155" s="4"/>
      <c r="E155" s="4"/>
      <c r="F155" s="4" t="s">
        <v>1262</v>
      </c>
      <c r="G155" s="4"/>
      <c r="H155" s="4"/>
      <c r="I155" s="4"/>
      <c r="J155" s="4"/>
      <c r="K155" s="4"/>
      <c r="L155" s="4"/>
      <c r="M155" s="4"/>
      <c r="N155" s="4"/>
      <c r="O155" s="4"/>
      <c r="P155" s="4"/>
      <c r="Q155" s="4"/>
      <c r="R155" s="133">
        <v>2.5</v>
      </c>
      <c r="S155" s="133"/>
      <c r="T155" s="133"/>
      <c r="U155" s="4" t="s">
        <v>197</v>
      </c>
      <c r="V155" s="4"/>
      <c r="W155" s="4"/>
      <c r="AG155" s="29"/>
      <c r="AP155" s="27"/>
    </row>
    <row r="156" spans="1:44" ht="19.5" customHeight="1">
      <c r="A156" s="4"/>
      <c r="B156" s="4"/>
      <c r="C156" s="4"/>
      <c r="D156" s="4"/>
      <c r="E156" s="4"/>
      <c r="F156" s="4" t="s">
        <v>1263</v>
      </c>
      <c r="G156" s="4"/>
      <c r="H156" s="4"/>
      <c r="I156" s="4"/>
      <c r="J156" s="4"/>
      <c r="K156" s="4"/>
      <c r="L156" s="4"/>
      <c r="M156" s="19">
        <v>1.1</v>
      </c>
      <c r="N156" s="19"/>
      <c r="O156" s="19"/>
      <c r="P156" s="4" t="s">
        <v>198</v>
      </c>
      <c r="Q156" s="365">
        <v>0.08</v>
      </c>
      <c r="R156" s="333"/>
      <c r="S156" s="333"/>
      <c r="T156" s="4" t="s">
        <v>198</v>
      </c>
      <c r="U156" s="365">
        <v>0.25</v>
      </c>
      <c r="V156" s="333"/>
      <c r="W156" s="333"/>
      <c r="X156" s="30" t="s">
        <v>199</v>
      </c>
      <c r="Y156" s="33">
        <v>2</v>
      </c>
      <c r="Z156" s="4" t="s">
        <v>200</v>
      </c>
      <c r="AA156" s="19">
        <f>M156+Q156+U156/2</f>
        <v>1.3050000000000002</v>
      </c>
      <c r="AB156" s="19"/>
      <c r="AC156" s="19"/>
      <c r="AD156" s="4" t="s">
        <v>201</v>
      </c>
      <c r="AG156" s="29"/>
      <c r="AP156" s="27"/>
      <c r="AR156" s="36"/>
    </row>
    <row r="157" spans="1:42" ht="19.5" customHeight="1">
      <c r="A157" s="4"/>
      <c r="B157" s="4"/>
      <c r="C157" s="4"/>
      <c r="D157" s="4"/>
      <c r="E157" s="4"/>
      <c r="F157" s="4" t="s">
        <v>202</v>
      </c>
      <c r="G157" s="4"/>
      <c r="H157" s="4"/>
      <c r="I157" s="133">
        <f>-R155</f>
        <v>-2.5</v>
      </c>
      <c r="J157" s="133"/>
      <c r="K157" s="133"/>
      <c r="L157" s="6" t="s">
        <v>203</v>
      </c>
      <c r="M157" s="19">
        <f>AA156</f>
        <v>1.3050000000000002</v>
      </c>
      <c r="N157" s="19"/>
      <c r="O157" s="19"/>
      <c r="P157" s="4" t="s">
        <v>200</v>
      </c>
      <c r="Q157" s="19">
        <f>I157*M157</f>
        <v>-3.2625</v>
      </c>
      <c r="R157" s="19"/>
      <c r="S157" s="19"/>
      <c r="T157" s="19"/>
      <c r="U157" s="4" t="s">
        <v>204</v>
      </c>
      <c r="V157" s="4"/>
      <c r="W157" s="4"/>
      <c r="AG157" s="29"/>
      <c r="AP157" s="27"/>
    </row>
    <row r="158" spans="1:42" ht="19.5" customHeight="1">
      <c r="A158" s="4"/>
      <c r="B158" s="4"/>
      <c r="C158" s="4"/>
      <c r="D158" s="4"/>
      <c r="E158" s="4"/>
      <c r="F158" s="4"/>
      <c r="G158" s="4"/>
      <c r="H158" s="4"/>
      <c r="I158" s="133"/>
      <c r="J158" s="133"/>
      <c r="K158" s="133"/>
      <c r="L158" s="6"/>
      <c r="M158" s="19"/>
      <c r="N158" s="19"/>
      <c r="O158" s="19"/>
      <c r="P158" s="4"/>
      <c r="Q158" s="19"/>
      <c r="R158" s="19"/>
      <c r="S158" s="19"/>
      <c r="T158" s="19"/>
      <c r="U158" s="4"/>
      <c r="V158" s="4"/>
      <c r="W158" s="4"/>
      <c r="AG158" s="29"/>
      <c r="AP158" s="27"/>
    </row>
    <row r="159" spans="1:24" ht="19.5" customHeight="1">
      <c r="A159" s="4"/>
      <c r="B159" s="4"/>
      <c r="C159" s="4"/>
      <c r="E159" s="30" t="s">
        <v>1415</v>
      </c>
      <c r="F159" s="4"/>
      <c r="G159" s="4"/>
      <c r="H159" s="4"/>
      <c r="I159" s="4"/>
      <c r="J159" s="4"/>
      <c r="K159" s="4"/>
      <c r="L159" s="4"/>
      <c r="M159" s="4"/>
      <c r="N159" s="4"/>
      <c r="O159" s="4"/>
      <c r="P159" s="4"/>
      <c r="Q159" s="4"/>
      <c r="R159" s="4"/>
      <c r="S159" s="133"/>
      <c r="T159" s="133"/>
      <c r="U159" s="133"/>
      <c r="V159" s="4"/>
      <c r="W159" s="4"/>
      <c r="X159" s="4"/>
    </row>
    <row r="160" spans="1:76" s="2" customFormat="1" ht="19.5" customHeight="1">
      <c r="A160" s="4"/>
      <c r="B160" s="4"/>
      <c r="C160" s="4"/>
      <c r="D160" s="4"/>
      <c r="E160" s="4"/>
      <c r="F160" s="4" t="s">
        <v>1264</v>
      </c>
      <c r="G160" s="4"/>
      <c r="H160" s="4"/>
      <c r="I160" s="4"/>
      <c r="J160" s="4"/>
      <c r="K160" s="4"/>
      <c r="L160" s="4"/>
      <c r="M160" s="4"/>
      <c r="N160" s="4"/>
      <c r="O160" s="4"/>
      <c r="P160" s="366">
        <v>0</v>
      </c>
      <c r="Q160" s="366"/>
      <c r="R160" s="366"/>
      <c r="S160" s="6" t="s">
        <v>992</v>
      </c>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row>
    <row r="161" spans="1:76" s="2" customFormat="1" ht="19.5" customHeight="1">
      <c r="A161" s="4"/>
      <c r="B161" s="4"/>
      <c r="C161" s="4"/>
      <c r="D161" s="4"/>
      <c r="E161" s="4"/>
      <c r="F161" s="4" t="s">
        <v>205</v>
      </c>
      <c r="G161" s="4"/>
      <c r="H161" s="4"/>
      <c r="I161" s="4"/>
      <c r="J161" s="4"/>
      <c r="K161" s="4"/>
      <c r="L161" s="4"/>
      <c r="M161" s="365">
        <v>0.9</v>
      </c>
      <c r="N161" s="365"/>
      <c r="O161" s="365"/>
      <c r="P161" s="4" t="s">
        <v>206</v>
      </c>
      <c r="Q161" s="365">
        <v>0.08</v>
      </c>
      <c r="R161" s="333"/>
      <c r="S161" s="333"/>
      <c r="T161" s="4" t="s">
        <v>206</v>
      </c>
      <c r="U161" s="365">
        <v>0.25</v>
      </c>
      <c r="V161" s="333"/>
      <c r="W161" s="333"/>
      <c r="X161" s="30" t="s">
        <v>207</v>
      </c>
      <c r="Y161" s="33">
        <v>2</v>
      </c>
      <c r="Z161" s="4" t="s">
        <v>993</v>
      </c>
      <c r="AA161" s="19">
        <f>M161+Q161+U161/2</f>
        <v>1.105</v>
      </c>
      <c r="AB161" s="19"/>
      <c r="AC161" s="19"/>
      <c r="AD161" s="4" t="s">
        <v>208</v>
      </c>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row>
    <row r="162" spans="1:76" s="2" customFormat="1" ht="19.5" customHeight="1">
      <c r="A162" s="4"/>
      <c r="B162" s="4"/>
      <c r="C162" s="4"/>
      <c r="D162" s="4"/>
      <c r="E162" s="4"/>
      <c r="F162" s="4" t="s">
        <v>1265</v>
      </c>
      <c r="G162" s="4"/>
      <c r="H162" s="4"/>
      <c r="I162" s="4"/>
      <c r="J162" s="4"/>
      <c r="K162" s="4"/>
      <c r="L162" s="4"/>
      <c r="M162" s="365">
        <v>2</v>
      </c>
      <c r="N162" s="365"/>
      <c r="O162" s="365"/>
      <c r="P162" s="4" t="s">
        <v>209</v>
      </c>
      <c r="Q162" s="19"/>
      <c r="R162" s="19"/>
      <c r="S162" s="19"/>
      <c r="T162" s="4"/>
      <c r="U162" s="19"/>
      <c r="V162" s="19"/>
      <c r="W162" s="19"/>
      <c r="X162" s="30"/>
      <c r="Y162" s="33"/>
      <c r="Z162" s="4"/>
      <c r="AA162" s="19"/>
      <c r="AB162" s="19"/>
      <c r="AC162" s="19"/>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row>
    <row r="163" spans="1:76" s="2" customFormat="1" ht="19.5" customHeight="1">
      <c r="A163" s="4"/>
      <c r="B163" s="4"/>
      <c r="C163" s="4"/>
      <c r="D163" s="4"/>
      <c r="E163" s="4"/>
      <c r="F163" s="4" t="s">
        <v>210</v>
      </c>
      <c r="G163" s="4"/>
      <c r="H163" s="4"/>
      <c r="I163" s="4"/>
      <c r="J163" s="4"/>
      <c r="K163" s="4"/>
      <c r="L163" s="4"/>
      <c r="M163" s="4"/>
      <c r="N163" s="4"/>
      <c r="O163" s="4"/>
      <c r="P163" s="33" t="s">
        <v>211</v>
      </c>
      <c r="Q163" s="133">
        <v>0.5</v>
      </c>
      <c r="R163" s="133"/>
      <c r="S163" s="133"/>
      <c r="T163" s="6" t="s">
        <v>1349</v>
      </c>
      <c r="U163" s="19">
        <f>P160</f>
        <v>0</v>
      </c>
      <c r="V163" s="19"/>
      <c r="W163" s="19"/>
      <c r="X163" s="6" t="s">
        <v>1349</v>
      </c>
      <c r="Y163" s="19">
        <f>AA161</f>
        <v>1.105</v>
      </c>
      <c r="Z163" s="19"/>
      <c r="AA163" s="19"/>
      <c r="AB163" s="30" t="s">
        <v>212</v>
      </c>
      <c r="AC163" s="19">
        <f>M162</f>
        <v>2</v>
      </c>
      <c r="AD163" s="19"/>
      <c r="AE163" s="19"/>
      <c r="AF163" s="4" t="s">
        <v>1350</v>
      </c>
      <c r="AG163" s="19">
        <f>-Q163*U163*Y163/AC163</f>
        <v>0</v>
      </c>
      <c r="AH163" s="19"/>
      <c r="AI163" s="19"/>
      <c r="AJ163" s="19"/>
      <c r="AK163" s="4" t="s">
        <v>959</v>
      </c>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row>
    <row r="164" spans="1:76" s="2" customFormat="1" ht="19.5" customHeight="1">
      <c r="A164" s="4"/>
      <c r="B164" s="4"/>
      <c r="C164" s="4"/>
      <c r="D164" s="4"/>
      <c r="E164" s="4"/>
      <c r="F164" s="4"/>
      <c r="G164" s="4" t="s">
        <v>213</v>
      </c>
      <c r="H164" s="4"/>
      <c r="I164" s="4"/>
      <c r="J164" s="4"/>
      <c r="K164" s="4" t="s">
        <v>1266</v>
      </c>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row>
    <row r="165" spans="1:76" s="2" customFormat="1" ht="19.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row>
    <row r="166" spans="1:24" ht="19.5" customHeight="1">
      <c r="A166" s="4"/>
      <c r="B166" s="4"/>
      <c r="C166" s="4"/>
      <c r="E166" s="30" t="s">
        <v>1417</v>
      </c>
      <c r="F166" s="4"/>
      <c r="G166" s="4"/>
      <c r="H166" s="4"/>
      <c r="I166" s="4"/>
      <c r="J166" s="4"/>
      <c r="K166" s="4"/>
      <c r="L166" s="4"/>
      <c r="M166" s="4"/>
      <c r="N166" s="4"/>
      <c r="O166" s="4"/>
      <c r="P166" s="4"/>
      <c r="Q166" s="4"/>
      <c r="R166" s="4"/>
      <c r="S166" s="133"/>
      <c r="T166" s="133"/>
      <c r="U166" s="133"/>
      <c r="V166" s="4"/>
      <c r="W166" s="4"/>
      <c r="X166" s="4"/>
    </row>
    <row r="167" spans="1:76" s="2" customFormat="1" ht="19.5" customHeight="1">
      <c r="A167" s="4"/>
      <c r="B167" s="4"/>
      <c r="C167" s="4"/>
      <c r="D167" s="4"/>
      <c r="E167" s="4"/>
      <c r="F167" s="4" t="s">
        <v>1264</v>
      </c>
      <c r="G167" s="4"/>
      <c r="H167" s="4"/>
      <c r="I167" s="4"/>
      <c r="J167" s="4"/>
      <c r="K167" s="4"/>
      <c r="L167" s="4"/>
      <c r="M167" s="4"/>
      <c r="N167" s="4"/>
      <c r="O167" s="4"/>
      <c r="P167" s="366">
        <v>0</v>
      </c>
      <c r="Q167" s="366"/>
      <c r="R167" s="366"/>
      <c r="S167" s="6" t="s">
        <v>992</v>
      </c>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row>
    <row r="168" spans="1:76" s="2" customFormat="1" ht="19.5" customHeight="1">
      <c r="A168" s="4"/>
      <c r="B168" s="4"/>
      <c r="C168" s="4"/>
      <c r="D168" s="4"/>
      <c r="E168" s="4"/>
      <c r="F168" s="4" t="s">
        <v>205</v>
      </c>
      <c r="G168" s="4"/>
      <c r="H168" s="4"/>
      <c r="I168" s="4"/>
      <c r="J168" s="4"/>
      <c r="K168" s="4"/>
      <c r="L168" s="4"/>
      <c r="M168" s="365">
        <v>0.9</v>
      </c>
      <c r="N168" s="365"/>
      <c r="O168" s="365"/>
      <c r="P168" s="4" t="s">
        <v>206</v>
      </c>
      <c r="Q168" s="365">
        <v>0.08</v>
      </c>
      <c r="R168" s="333"/>
      <c r="S168" s="333"/>
      <c r="T168" s="4" t="s">
        <v>206</v>
      </c>
      <c r="U168" s="365">
        <v>0.25</v>
      </c>
      <c r="V168" s="333"/>
      <c r="W168" s="333"/>
      <c r="X168" s="30" t="s">
        <v>207</v>
      </c>
      <c r="Y168" s="33">
        <v>2</v>
      </c>
      <c r="Z168" s="4" t="s">
        <v>993</v>
      </c>
      <c r="AA168" s="19">
        <f>M168+Q168+U168/2</f>
        <v>1.105</v>
      </c>
      <c r="AB168" s="19"/>
      <c r="AC168" s="19"/>
      <c r="AD168" s="4" t="s">
        <v>208</v>
      </c>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row>
    <row r="169" spans="1:76" s="2" customFormat="1" ht="19.5" customHeight="1">
      <c r="A169" s="4"/>
      <c r="B169" s="4"/>
      <c r="C169" s="4"/>
      <c r="D169" s="4"/>
      <c r="E169" s="4"/>
      <c r="F169" s="4" t="s">
        <v>1265</v>
      </c>
      <c r="G169" s="4"/>
      <c r="H169" s="4"/>
      <c r="I169" s="4"/>
      <c r="J169" s="4"/>
      <c r="K169" s="4"/>
      <c r="L169" s="4"/>
      <c r="M169" s="365">
        <v>2</v>
      </c>
      <c r="N169" s="365"/>
      <c r="O169" s="365"/>
      <c r="P169" s="4" t="s">
        <v>209</v>
      </c>
      <c r="Q169" s="19"/>
      <c r="R169" s="19"/>
      <c r="S169" s="19"/>
      <c r="T169" s="4"/>
      <c r="U169" s="19"/>
      <c r="V169" s="19"/>
      <c r="W169" s="19"/>
      <c r="X169" s="30"/>
      <c r="Y169" s="33"/>
      <c r="Z169" s="4"/>
      <c r="AA169" s="19"/>
      <c r="AB169" s="19"/>
      <c r="AC169" s="19"/>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row>
    <row r="170" spans="1:76" s="2" customFormat="1" ht="19.5" customHeight="1">
      <c r="A170" s="4"/>
      <c r="B170" s="4"/>
      <c r="C170" s="4"/>
      <c r="D170" s="4"/>
      <c r="E170" s="4"/>
      <c r="F170" s="4" t="s">
        <v>210</v>
      </c>
      <c r="G170" s="4"/>
      <c r="H170" s="4"/>
      <c r="I170" s="4"/>
      <c r="J170" s="4"/>
      <c r="K170" s="4"/>
      <c r="L170" s="4"/>
      <c r="M170" s="4"/>
      <c r="N170" s="4"/>
      <c r="O170" s="4"/>
      <c r="P170" s="33" t="s">
        <v>211</v>
      </c>
      <c r="Q170" s="133">
        <v>0.5</v>
      </c>
      <c r="R170" s="133"/>
      <c r="S170" s="133"/>
      <c r="T170" s="6" t="s">
        <v>1349</v>
      </c>
      <c r="U170" s="19">
        <f>P167</f>
        <v>0</v>
      </c>
      <c r="V170" s="19"/>
      <c r="W170" s="19"/>
      <c r="X170" s="6" t="s">
        <v>1349</v>
      </c>
      <c r="Y170" s="19">
        <f>AA168</f>
        <v>1.105</v>
      </c>
      <c r="Z170" s="19"/>
      <c r="AA170" s="19"/>
      <c r="AB170" s="30" t="s">
        <v>212</v>
      </c>
      <c r="AC170" s="19">
        <f>M169</f>
        <v>2</v>
      </c>
      <c r="AD170" s="19"/>
      <c r="AE170" s="19"/>
      <c r="AF170" s="4" t="s">
        <v>1350</v>
      </c>
      <c r="AG170" s="19">
        <f>-Q170*U170*Y170/AC170</f>
        <v>0</v>
      </c>
      <c r="AH170" s="19"/>
      <c r="AI170" s="19"/>
      <c r="AJ170" s="19"/>
      <c r="AK170" s="4" t="s">
        <v>959</v>
      </c>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row>
    <row r="171" spans="1:76" s="2" customFormat="1" ht="19.5" customHeight="1">
      <c r="A171" s="4"/>
      <c r="B171" s="4"/>
      <c r="C171" s="4"/>
      <c r="D171" s="4"/>
      <c r="E171" s="4"/>
      <c r="F171" s="4"/>
      <c r="G171" s="4" t="s">
        <v>213</v>
      </c>
      <c r="H171" s="4"/>
      <c r="I171" s="4"/>
      <c r="J171" s="4"/>
      <c r="K171" s="4" t="s">
        <v>1266</v>
      </c>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row>
    <row r="172" spans="1:76" s="2" customFormat="1" ht="19.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row>
    <row r="173" spans="1:76" s="2" customFormat="1" ht="19.5" customHeight="1">
      <c r="A173" s="4"/>
      <c r="B173" s="4"/>
      <c r="C173" s="4"/>
      <c r="D173" s="4"/>
      <c r="E173" s="30" t="s">
        <v>1267</v>
      </c>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row>
    <row r="174" spans="1:76" s="2" customFormat="1" ht="19.5" customHeight="1">
      <c r="A174" s="4"/>
      <c r="B174" s="4"/>
      <c r="C174" s="4"/>
      <c r="D174" s="4"/>
      <c r="E174" s="4"/>
      <c r="F174" s="4" t="s">
        <v>1268</v>
      </c>
      <c r="G174" s="4"/>
      <c r="H174" s="4"/>
      <c r="I174" s="4"/>
      <c r="J174" s="4"/>
      <c r="K174" s="4"/>
      <c r="L174" s="133">
        <v>3</v>
      </c>
      <c r="M174" s="133"/>
      <c r="N174" s="133"/>
      <c r="O174" s="4" t="s">
        <v>214</v>
      </c>
      <c r="P174" s="4"/>
      <c r="Q174" s="4"/>
      <c r="R174" s="4"/>
      <c r="S174" s="4" t="s">
        <v>1269</v>
      </c>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row>
    <row r="175" spans="1:76" s="2" customFormat="1" ht="19.5" customHeight="1">
      <c r="A175" s="4"/>
      <c r="B175" s="4"/>
      <c r="C175" s="4"/>
      <c r="D175" s="4"/>
      <c r="E175" s="4"/>
      <c r="F175" s="4" t="s">
        <v>215</v>
      </c>
      <c r="G175" s="4"/>
      <c r="H175" s="4"/>
      <c r="I175" s="4"/>
      <c r="J175" s="4"/>
      <c r="K175" s="4"/>
      <c r="L175" s="4"/>
      <c r="M175" s="365">
        <f>0.33+0.4</f>
        <v>0.73</v>
      </c>
      <c r="N175" s="365"/>
      <c r="O175" s="365"/>
      <c r="P175" s="30" t="s">
        <v>212</v>
      </c>
      <c r="Q175" s="33">
        <v>2</v>
      </c>
      <c r="R175" s="4" t="s">
        <v>216</v>
      </c>
      <c r="S175" s="365">
        <v>0.08</v>
      </c>
      <c r="T175" s="333"/>
      <c r="U175" s="333"/>
      <c r="V175" s="4" t="s">
        <v>216</v>
      </c>
      <c r="W175" s="365">
        <v>0.25</v>
      </c>
      <c r="X175" s="333"/>
      <c r="Y175" s="333"/>
      <c r="Z175" s="30" t="s">
        <v>212</v>
      </c>
      <c r="AA175" s="33">
        <v>2</v>
      </c>
      <c r="AB175" s="4" t="s">
        <v>1350</v>
      </c>
      <c r="AC175" s="19">
        <f>M175/2+S175+W175/2</f>
        <v>0.5700000000000001</v>
      </c>
      <c r="AD175" s="19"/>
      <c r="AE175" s="19"/>
      <c r="AF175" s="4" t="s">
        <v>209</v>
      </c>
      <c r="AG175" s="4"/>
      <c r="AH175" s="4"/>
      <c r="AI175" s="4"/>
      <c r="AJ175" s="4"/>
      <c r="AK175" s="4"/>
      <c r="AL175" s="4"/>
      <c r="AM175" s="4"/>
      <c r="AN175" s="4"/>
      <c r="AO175" s="4"/>
      <c r="AP175" s="4"/>
      <c r="AQ175" s="4"/>
      <c r="AR175" s="106"/>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row>
    <row r="176" spans="1:76" s="2" customFormat="1" ht="19.5" customHeight="1">
      <c r="A176" s="4"/>
      <c r="B176" s="4"/>
      <c r="C176" s="4"/>
      <c r="D176" s="4"/>
      <c r="E176" s="4"/>
      <c r="F176" s="4" t="s">
        <v>217</v>
      </c>
      <c r="G176" s="4"/>
      <c r="H176" s="133">
        <f>-L174</f>
        <v>-3</v>
      </c>
      <c r="I176" s="133"/>
      <c r="J176" s="133"/>
      <c r="K176" s="6" t="s">
        <v>1349</v>
      </c>
      <c r="L176" s="19">
        <f>M175</f>
        <v>0.73</v>
      </c>
      <c r="M176" s="104"/>
      <c r="N176" s="19"/>
      <c r="O176" s="19"/>
      <c r="P176" s="6" t="s">
        <v>1349</v>
      </c>
      <c r="Q176" s="19">
        <f>AC175</f>
        <v>0.5700000000000001</v>
      </c>
      <c r="R176" s="19"/>
      <c r="S176" s="19"/>
      <c r="T176" s="4" t="s">
        <v>1350</v>
      </c>
      <c r="U176" s="19">
        <f>H176*L176*Q176</f>
        <v>-1.2483000000000002</v>
      </c>
      <c r="V176" s="19"/>
      <c r="W176" s="19"/>
      <c r="X176" s="4" t="s">
        <v>1351</v>
      </c>
      <c r="Y176" s="4"/>
      <c r="Z176" s="4"/>
      <c r="AA176" s="4"/>
      <c r="AB176" s="4"/>
      <c r="AC176" s="4"/>
      <c r="AD176" s="4"/>
      <c r="AE176" s="4"/>
      <c r="AF176" s="4"/>
      <c r="AG176" s="4"/>
      <c r="AH176" s="4"/>
      <c r="AI176" s="4"/>
      <c r="AJ176" s="4"/>
      <c r="AK176" s="4"/>
      <c r="AL176" s="4"/>
      <c r="AM176" s="4"/>
      <c r="AN176" s="4"/>
      <c r="AO176" s="4"/>
      <c r="AP176" s="4"/>
      <c r="AQ176" s="4"/>
      <c r="AR176" s="106"/>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row>
    <row r="177" spans="1:76" s="2" customFormat="1" ht="19.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row>
    <row r="178" spans="1:76" s="2" customFormat="1" ht="19.5" customHeight="1">
      <c r="A178" s="4"/>
      <c r="B178" s="4"/>
      <c r="C178" s="4"/>
      <c r="D178" s="4"/>
      <c r="E178" s="30" t="s">
        <v>1270</v>
      </c>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row>
    <row r="179" spans="1:76" s="2" customFormat="1" ht="19.5" customHeight="1">
      <c r="A179" s="4"/>
      <c r="B179" s="4"/>
      <c r="C179" s="4"/>
      <c r="D179" s="4"/>
      <c r="E179" s="4"/>
      <c r="F179" s="4" t="s">
        <v>1268</v>
      </c>
      <c r="G179" s="4"/>
      <c r="H179" s="4"/>
      <c r="I179" s="4"/>
      <c r="J179" s="4"/>
      <c r="K179" s="4"/>
      <c r="L179" s="133">
        <v>3</v>
      </c>
      <c r="M179" s="133"/>
      <c r="N179" s="133"/>
      <c r="O179" s="4" t="s">
        <v>214</v>
      </c>
      <c r="P179" s="4"/>
      <c r="Q179" s="4"/>
      <c r="R179" s="4"/>
      <c r="S179" s="4" t="s">
        <v>1269</v>
      </c>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36"/>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row>
    <row r="180" spans="1:76" s="2" customFormat="1" ht="19.5" customHeight="1">
      <c r="A180" s="4"/>
      <c r="B180" s="4"/>
      <c r="C180" s="4"/>
      <c r="D180" s="4"/>
      <c r="E180" s="4"/>
      <c r="F180" s="4" t="s">
        <v>215</v>
      </c>
      <c r="G180" s="4"/>
      <c r="H180" s="4"/>
      <c r="I180" s="4"/>
      <c r="J180" s="4"/>
      <c r="K180" s="4"/>
      <c r="L180" s="4"/>
      <c r="M180" s="365">
        <f>0.33+0.4</f>
        <v>0.73</v>
      </c>
      <c r="N180" s="365"/>
      <c r="O180" s="365"/>
      <c r="P180" s="30" t="s">
        <v>212</v>
      </c>
      <c r="Q180" s="33">
        <v>2</v>
      </c>
      <c r="R180" s="4" t="s">
        <v>216</v>
      </c>
      <c r="S180" s="365">
        <v>0.08</v>
      </c>
      <c r="T180" s="333"/>
      <c r="U180" s="333"/>
      <c r="V180" s="4" t="s">
        <v>216</v>
      </c>
      <c r="W180" s="365">
        <v>0.25</v>
      </c>
      <c r="X180" s="333"/>
      <c r="Y180" s="333"/>
      <c r="Z180" s="30" t="s">
        <v>212</v>
      </c>
      <c r="AA180" s="33">
        <v>2</v>
      </c>
      <c r="AB180" s="4" t="s">
        <v>1350</v>
      </c>
      <c r="AC180" s="19">
        <f>M180/2+S180+W180/2</f>
        <v>0.5700000000000001</v>
      </c>
      <c r="AD180" s="19"/>
      <c r="AE180" s="19"/>
      <c r="AF180" s="4" t="s">
        <v>209</v>
      </c>
      <c r="AG180" s="4"/>
      <c r="AH180" s="4"/>
      <c r="AI180" s="4"/>
      <c r="AJ180" s="4"/>
      <c r="AK180" s="4"/>
      <c r="AL180" s="4"/>
      <c r="AM180" s="4"/>
      <c r="AN180" s="4"/>
      <c r="AO180" s="4"/>
      <c r="AP180" s="4"/>
      <c r="AQ180" s="4"/>
      <c r="AR180" s="106"/>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row>
    <row r="181" spans="1:76" s="2" customFormat="1" ht="19.5" customHeight="1">
      <c r="A181" s="4"/>
      <c r="B181" s="4"/>
      <c r="C181" s="4"/>
      <c r="D181" s="4"/>
      <c r="E181" s="4"/>
      <c r="F181" s="4" t="s">
        <v>217</v>
      </c>
      <c r="G181" s="4"/>
      <c r="H181" s="133">
        <f>-L179</f>
        <v>-3</v>
      </c>
      <c r="I181" s="133"/>
      <c r="J181" s="133"/>
      <c r="K181" s="6" t="s">
        <v>1349</v>
      </c>
      <c r="L181" s="19">
        <f>M180</f>
        <v>0.73</v>
      </c>
      <c r="M181" s="104"/>
      <c r="N181" s="19"/>
      <c r="O181" s="19"/>
      <c r="P181" s="6" t="s">
        <v>1349</v>
      </c>
      <c r="Q181" s="19">
        <f>AC180</f>
        <v>0.5700000000000001</v>
      </c>
      <c r="R181" s="19"/>
      <c r="S181" s="19"/>
      <c r="T181" s="4" t="s">
        <v>1350</v>
      </c>
      <c r="U181" s="19">
        <f>H181*L181*Q181</f>
        <v>-1.2483000000000002</v>
      </c>
      <c r="V181" s="19"/>
      <c r="W181" s="19"/>
      <c r="X181" s="4" t="s">
        <v>1351</v>
      </c>
      <c r="Y181" s="4"/>
      <c r="Z181" s="4"/>
      <c r="AA181" s="4"/>
      <c r="AB181" s="4"/>
      <c r="AC181" s="4"/>
      <c r="AD181" s="4"/>
      <c r="AE181" s="4"/>
      <c r="AF181" s="4"/>
      <c r="AG181" s="4"/>
      <c r="AH181" s="4"/>
      <c r="AI181" s="4"/>
      <c r="AJ181" s="4"/>
      <c r="AK181" s="4"/>
      <c r="AL181" s="4"/>
      <c r="AM181" s="4"/>
      <c r="AN181" s="4"/>
      <c r="AO181" s="4"/>
      <c r="AP181" s="4"/>
      <c r="AQ181" s="4"/>
      <c r="AR181" s="106"/>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row>
    <row r="182" spans="1:76" s="2" customFormat="1" ht="19.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row>
    <row r="183" spans="1:12" ht="19.5" customHeight="1">
      <c r="A183" s="4" t="s">
        <v>991</v>
      </c>
      <c r="B183" s="4"/>
      <c r="C183" s="4"/>
      <c r="D183" s="4"/>
      <c r="E183" s="4"/>
      <c r="F183" s="4"/>
      <c r="G183" s="4"/>
      <c r="H183" s="4"/>
      <c r="I183" s="4"/>
      <c r="J183" s="4"/>
      <c r="K183" s="4"/>
      <c r="L183" s="4"/>
    </row>
    <row r="184" spans="1:32" ht="19.5" customHeight="1">
      <c r="A184" s="4"/>
      <c r="D184" s="4" t="s">
        <v>1271</v>
      </c>
      <c r="E184" s="4"/>
      <c r="F184" s="4"/>
      <c r="G184" s="4"/>
      <c r="H184" s="4"/>
      <c r="I184" s="4"/>
      <c r="J184" s="4"/>
      <c r="K184" s="4"/>
      <c r="L184" s="4"/>
      <c r="AF184" s="92" t="s">
        <v>933</v>
      </c>
    </row>
    <row r="185" spans="1:44" ht="19.5" customHeight="1">
      <c r="A185" s="4"/>
      <c r="C185" s="4"/>
      <c r="D185" s="4"/>
      <c r="E185" s="4" t="s">
        <v>1367</v>
      </c>
      <c r="F185" s="4"/>
      <c r="G185" s="4"/>
      <c r="H185" s="4"/>
      <c r="I185" s="4"/>
      <c r="J185" s="4"/>
      <c r="K185" s="367" t="s">
        <v>218</v>
      </c>
      <c r="L185" s="4" t="s">
        <v>967</v>
      </c>
      <c r="P185" s="6" t="s">
        <v>1352</v>
      </c>
      <c r="Q185" s="4"/>
      <c r="R185" s="4"/>
      <c r="S185" s="6"/>
      <c r="T185" s="6"/>
      <c r="U185" s="6"/>
      <c r="V185" s="6"/>
      <c r="W185" s="4"/>
      <c r="X185" s="368">
        <v>100</v>
      </c>
      <c r="Y185" s="368"/>
      <c r="Z185" s="368"/>
      <c r="AA185" s="6" t="s">
        <v>219</v>
      </c>
      <c r="AH185" s="27"/>
      <c r="AR185" s="36"/>
    </row>
    <row r="186" spans="1:44" ht="19.5" customHeight="1">
      <c r="A186" s="4" t="s">
        <v>991</v>
      </c>
      <c r="B186" s="4"/>
      <c r="D186" s="4" t="s">
        <v>1024</v>
      </c>
      <c r="E186" s="4"/>
      <c r="F186" s="4"/>
      <c r="G186" s="4"/>
      <c r="H186" s="4"/>
      <c r="I186" s="4"/>
      <c r="J186" s="4"/>
      <c r="L186" s="4" t="str">
        <f>IF(Y186&lt;=1.5,"L ≤ 1.5 m",IF(Y186&lt;=3,"1.5 m ＜ L ≤ 3.0 m","ERROR"))</f>
        <v>1.5 m ＜ L ≤ 3.0 m</v>
      </c>
      <c r="M186" s="4"/>
      <c r="W186" s="27" t="s">
        <v>220</v>
      </c>
      <c r="Y186" s="332">
        <v>1.547</v>
      </c>
      <c r="Z186" s="332"/>
      <c r="AA186" s="332"/>
      <c r="AB186" s="27" t="s">
        <v>209</v>
      </c>
      <c r="AR186" s="36"/>
    </row>
    <row r="187" spans="1:17" ht="19.5" customHeight="1">
      <c r="A187" s="4"/>
      <c r="B187" s="4"/>
      <c r="D187" s="4" t="s">
        <v>991</v>
      </c>
      <c r="E187" s="100" t="s">
        <v>1368</v>
      </c>
      <c r="F187" s="4"/>
      <c r="G187" s="4"/>
      <c r="H187" s="4"/>
      <c r="I187" s="4"/>
      <c r="J187" s="4"/>
      <c r="K187" s="4"/>
      <c r="L187" s="4"/>
      <c r="M187" s="4"/>
      <c r="N187" s="27" t="s">
        <v>221</v>
      </c>
      <c r="Q187" s="27" t="str">
        <f>IF(Y186&lt;=1.5,"1.0",IF(Y186&lt;=3,"1.0 + ( L - 1.5 ) / 25 = "&amp;ROUND(1+(Y186-1.5)/25,4),"ERROR"))</f>
        <v>1.0 + ( L - 1.5 ) / 25 = 1.0019</v>
      </c>
    </row>
    <row r="188" spans="1:13" ht="19.5" customHeight="1">
      <c r="A188" s="4"/>
      <c r="B188" s="4"/>
      <c r="D188" s="4" t="s">
        <v>222</v>
      </c>
      <c r="E188" s="4" t="s">
        <v>223</v>
      </c>
      <c r="F188" s="4"/>
      <c r="G188" s="4" t="str">
        <f>IF(K185="B",IF(Y186&lt;=1.5,"α1 × - PL / ( 1.30L + 0.25 ) × 2 ",IF(Y186&lt;=3,"α1 × - ( 0.6L - 0.22 ) P × 2 ","ERROR")),IF(K185="A",IF(Y186&lt;=1.5,"α1 × - PL / ( 1.30L + 0.25 ) × 0.8 × 2",IF(Y186&lt;=3,"α1 × - ( 0.6L - 0.22 ) P × 0.8 × 2","ERROR"))))</f>
        <v>α1 × - ( 0.6L - 0.22 ) P × 2 </v>
      </c>
      <c r="H188" s="4"/>
      <c r="I188" s="4"/>
      <c r="J188" s="4"/>
      <c r="K188" s="4"/>
      <c r="L188" s="4"/>
      <c r="M188" s="4"/>
    </row>
    <row r="189" spans="1:13" ht="19.5" customHeight="1">
      <c r="A189" s="4"/>
      <c r="B189" s="4"/>
      <c r="D189" s="4"/>
      <c r="E189" s="4" t="s">
        <v>222</v>
      </c>
      <c r="F189" s="4" t="s">
        <v>224</v>
      </c>
      <c r="G189" s="42">
        <f>IF(Y186&lt;=1.5,1,IF(Y186&lt;=3,ROUND(1+(Y186-1.5)/25,4),"ERROR"))</f>
        <v>1.0019</v>
      </c>
      <c r="H189" s="42"/>
      <c r="I189" s="42"/>
      <c r="J189" s="4" t="str">
        <f>IF(K185="B",IF(Y186&lt;=1.5," × - "&amp;X185&amp;" × "&amp;Y186&amp;" / ( 1.30 × "&amp;Y186&amp;" + 0.25 ) × 2 ",IF(Y186&lt;=3," × - ( 0.6 × "&amp;Y186&amp;" - 0.22 ) × "&amp;X185&amp;" × 2","ERROR")),IF(K185="A",IF(Y186&lt;=1.5," × - "&amp;X185&amp;" × "&amp;Y186&amp;" / ( 1.30 × "&amp;Y186&amp;" + 0.25 ) × 0.8 × 2",IF(Y186&lt;=3," × - ( 0.6 × "&amp;Y186&amp;" - 0.22 ) × "&amp;X185&amp;" × 0.8 × 2","ERROR"))))</f>
        <v> × - ( 0.6 × 1.547 - 0.22 ) × 100 × 2</v>
      </c>
      <c r="K189" s="4"/>
      <c r="L189" s="4"/>
      <c r="M189" s="4"/>
    </row>
    <row r="190" spans="1:13" ht="19.5" customHeight="1">
      <c r="A190" s="4"/>
      <c r="B190" s="4"/>
      <c r="D190" s="4"/>
      <c r="E190" s="4"/>
      <c r="F190" s="4" t="s">
        <v>224</v>
      </c>
      <c r="G190" s="266">
        <f>IF(K185="B",IF(Y186&lt;=1.5,G189*-X185*Y186/(1.3*Y186+0.25)*2,IF(Y186&lt;=3,G189*-(0.6*Y186-0.22)*X185*2,"ERROR")),IF(K185="A",IF(Y186&lt;=1.5,0.8*G189*-X185*Y186/(1.3*Y186*0.25)*2,IF(Y186&lt;=3,0.8*G189*-(0.6*Y186-0.22)*X185*2,"ERROR"))))</f>
        <v>-141.90911599999998</v>
      </c>
      <c r="H190" s="266"/>
      <c r="I190" s="266"/>
      <c r="J190" s="266"/>
      <c r="K190" s="4" t="s">
        <v>225</v>
      </c>
      <c r="L190" s="4"/>
      <c r="M190" s="4"/>
    </row>
    <row r="191" spans="1:44" ht="19.5" customHeight="1">
      <c r="A191" s="4" t="s">
        <v>222</v>
      </c>
      <c r="B191" s="4"/>
      <c r="D191" s="4" t="s">
        <v>1025</v>
      </c>
      <c r="E191" s="4"/>
      <c r="F191" s="4"/>
      <c r="G191" s="4"/>
      <c r="H191" s="4"/>
      <c r="I191" s="4"/>
      <c r="J191" s="4"/>
      <c r="L191" s="4" t="str">
        <f>IF(Y191&lt;=1.5,"L ≤ 1.5 m",IF(Y191&lt;=3,"1.5 m ＜ L ≤ 3.0 m","ERROR"))</f>
        <v>1.5 m ＜ L ≤ 3.0 m</v>
      </c>
      <c r="M191" s="4"/>
      <c r="W191" s="27" t="s">
        <v>220</v>
      </c>
      <c r="Y191" s="332">
        <v>1.547</v>
      </c>
      <c r="Z191" s="332"/>
      <c r="AA191" s="332"/>
      <c r="AB191" s="27" t="s">
        <v>209</v>
      </c>
      <c r="AR191" s="36"/>
    </row>
    <row r="192" spans="1:17" ht="19.5" customHeight="1">
      <c r="A192" s="4"/>
      <c r="B192" s="4"/>
      <c r="D192" s="4" t="s">
        <v>991</v>
      </c>
      <c r="E192" s="100" t="s">
        <v>1368</v>
      </c>
      <c r="F192" s="4"/>
      <c r="G192" s="4"/>
      <c r="H192" s="4"/>
      <c r="I192" s="4"/>
      <c r="J192" s="4"/>
      <c r="K192" s="4"/>
      <c r="L192" s="4"/>
      <c r="M192" s="4"/>
      <c r="N192" s="27" t="s">
        <v>221</v>
      </c>
      <c r="Q192" s="27" t="str">
        <f>IF(Y191&lt;=1.5,"1.0",IF(Y191&lt;=3,"1.0 + ( L - 1.5 ) / 25 = "&amp;ROUND(1+(Y191-1.5)/25,4),"ERROR"))</f>
        <v>1.0 + ( L - 1.5 ) / 25 = 1.0019</v>
      </c>
    </row>
    <row r="193" spans="1:13" ht="19.5" customHeight="1">
      <c r="A193" s="4"/>
      <c r="B193" s="4"/>
      <c r="D193" s="4" t="s">
        <v>222</v>
      </c>
      <c r="E193" s="4" t="s">
        <v>223</v>
      </c>
      <c r="F193" s="4"/>
      <c r="G193" s="4" t="str">
        <f>IF(K185="B",IF(Y191&lt;=1.5,"α1 × - PL / ( 1.30L + 0.25 ) × 2 ",IF(Y191&lt;=3,"α1 × - ( 0.6L - 0.22 ) P × 2 ","ERROR")),IF(K185="A",IF(Y191&lt;=1.5,"α1 × - PL / ( 1.30L + 0.25 ) × 0.8 × 2",IF(Y191&lt;=3,"α1 × - ( 0.6L - 0.22 ) P × 0.8 × 2","ERROR"))))</f>
        <v>α1 × - ( 0.6L - 0.22 ) P × 2 </v>
      </c>
      <c r="H193" s="4"/>
      <c r="I193" s="4"/>
      <c r="J193" s="4"/>
      <c r="K193" s="4"/>
      <c r="L193" s="4"/>
      <c r="M193" s="4"/>
    </row>
    <row r="194" spans="1:13" ht="19.5" customHeight="1">
      <c r="A194" s="4"/>
      <c r="B194" s="4"/>
      <c r="D194" s="4"/>
      <c r="E194" s="4" t="s">
        <v>222</v>
      </c>
      <c r="F194" s="4" t="s">
        <v>224</v>
      </c>
      <c r="G194" s="42">
        <f>IF(Y191&lt;=1.5,1,IF(Y191&lt;=3,ROUND(1+(Y191-1.5)/25,4),"ERROR"))</f>
        <v>1.0019</v>
      </c>
      <c r="H194" s="42"/>
      <c r="I194" s="42"/>
      <c r="J194" s="4" t="str">
        <f>IF(K185="B",IF(Y191&lt;=1.5," × - "&amp;X185&amp;" × "&amp;Y191&amp;" / ( 1.30 × "&amp;Y191&amp;" + 0.25 ) × 2 ",IF(Y191&lt;=3," × - ( 0.6 × "&amp;Y191&amp;" - 0.22 ) × "&amp;X185&amp;" × 2","ERROR")),IF(K185="A",IF(Y191&lt;=1.5," × - "&amp;X185&amp;" × "&amp;Y191&amp;" / ( 1.30 × "&amp;Y191&amp;" + 0.25 ) × 0.8 × 2",IF(Y191&lt;=3," × - ( 0.6 × "&amp;Y191&amp;" - 0.22 ) × "&amp;X185&amp;" × 0.8 × 2","ERROR"))))</f>
        <v> × - ( 0.6 × 1.547 - 0.22 ) × 100 × 2</v>
      </c>
      <c r="K194" s="4"/>
      <c r="L194" s="4"/>
      <c r="M194" s="4"/>
    </row>
    <row r="195" spans="1:13" ht="19.5" customHeight="1">
      <c r="A195" s="4"/>
      <c r="B195" s="4"/>
      <c r="D195" s="4"/>
      <c r="E195" s="4"/>
      <c r="F195" s="4" t="s">
        <v>224</v>
      </c>
      <c r="G195" s="266">
        <f>IF(K185="B",IF(Y191&lt;=1.5,G194*-X185*Y191/(1.3*Y191+0.25)*2,IF(Y191&lt;=3,G194*-(0.6*Y191-0.22)*X185*2,"ERROR")),IF(K185="A",IF(Y191&lt;=1.5,0.8*G194*-X185*Y191/(1.3*Y191*0.25)*2,IF(Y191&lt;=3,0.8*G194*-(0.6*Y191-0.22)*X185*2,"ERROR"))))</f>
        <v>-141.90911599999998</v>
      </c>
      <c r="H195" s="266"/>
      <c r="I195" s="266"/>
      <c r="J195" s="266"/>
      <c r="K195" s="4" t="s">
        <v>225</v>
      </c>
      <c r="L195" s="4"/>
      <c r="M195" s="4"/>
    </row>
    <row r="196" spans="1:44" ht="19.5" customHeight="1">
      <c r="A196" s="4"/>
      <c r="B196" s="4"/>
      <c r="D196" s="4" t="s">
        <v>1107</v>
      </c>
      <c r="E196" s="4"/>
      <c r="F196" s="4"/>
      <c r="G196" s="4"/>
      <c r="H196" s="4"/>
      <c r="I196" s="4"/>
      <c r="J196" s="4"/>
      <c r="L196" s="4" t="str">
        <f>IF(Y196&lt;=2.5,"L ≤ 1.5 m",IF(Y196&lt;=4,"1.5 m ＜ L ≤ 4.0 m",IF(Y196&lt;=6,"4.0 m ＜ L ≤ 6.0 m","ERROR")))</f>
        <v>4.0 m ＜ L ≤ 6.0 m</v>
      </c>
      <c r="M196" s="4"/>
      <c r="W196" s="27" t="s">
        <v>226</v>
      </c>
      <c r="Y196" s="332">
        <v>5</v>
      </c>
      <c r="Z196" s="332"/>
      <c r="AA196" s="332"/>
      <c r="AB196" s="27" t="s">
        <v>227</v>
      </c>
      <c r="AR196" s="36"/>
    </row>
    <row r="197" spans="1:17" ht="19.5" customHeight="1">
      <c r="A197" s="4"/>
      <c r="B197" s="4"/>
      <c r="C197" s="4" t="s">
        <v>1109</v>
      </c>
      <c r="D197" s="4"/>
      <c r="E197" s="100" t="s">
        <v>1369</v>
      </c>
      <c r="F197" s="4"/>
      <c r="G197" s="4"/>
      <c r="H197" s="4"/>
      <c r="I197" s="4"/>
      <c r="J197" s="4"/>
      <c r="K197" s="4"/>
      <c r="L197" s="4"/>
      <c r="M197" s="4"/>
      <c r="N197" s="27" t="s">
        <v>228</v>
      </c>
      <c r="Q197" s="27" t="str">
        <f>IF(Y196&lt;=2.5,"1.0",IF(Y196&lt;=4,"1.0 + ( L -2.5 ) / 12 = "&amp;ROUND(1+(Y196-2.5)/12,4),IF(Y196&lt;=6,"1.125 + (L -4.0 ) / 26 = "&amp;ROUND(1.125+(Y196-4)/26,4),"ERROR")))</f>
        <v>1.125 + (L -4.0 ) / 26 = 1.1635</v>
      </c>
    </row>
    <row r="198" spans="1:12" ht="19.5" customHeight="1">
      <c r="A198" s="4"/>
      <c r="B198" s="4"/>
      <c r="C198" s="4" t="s">
        <v>877</v>
      </c>
      <c r="D198" s="4"/>
      <c r="E198" s="4" t="s">
        <v>229</v>
      </c>
      <c r="F198" s="4"/>
      <c r="G198" s="4" t="str">
        <f>IF(K185="B",IF(Y196&lt;=6,"α2 × ( 0.12L + 0.07 ) P × 2","ERROR"),IF(K185="A",IF(Y196&lt;=6,"α2 × ( 0.12L + 0.07 ) P × 0.8 × 2","ERROR")))</f>
        <v>α2 × ( 0.12L + 0.07 ) P × 2</v>
      </c>
      <c r="H198" s="4"/>
      <c r="I198" s="4"/>
      <c r="J198" s="4"/>
      <c r="K198" s="4"/>
      <c r="L198" s="4"/>
    </row>
    <row r="199" spans="1:21" ht="19.5" customHeight="1">
      <c r="A199" s="4"/>
      <c r="B199" s="4" t="s">
        <v>877</v>
      </c>
      <c r="C199" s="4"/>
      <c r="D199" s="4"/>
      <c r="E199" s="4"/>
      <c r="F199" s="4" t="s">
        <v>993</v>
      </c>
      <c r="G199" s="42">
        <f>IF(Y196&lt;=2.5,1,IF(Y196&lt;=4,ROUND(1+(Y196-2.5)/12,4),IF(Y196&lt;=6,ROUND(1.125+(Y196-4)/26,4),"ERROR")))</f>
        <v>1.1635</v>
      </c>
      <c r="H199" s="42"/>
      <c r="I199" s="42"/>
      <c r="J199" s="4" t="str">
        <f>IF(K185="B",IF(Y196&lt;=6," × ( 0.12 × "&amp;Y196&amp;" + 0.07 ) × "&amp;X185&amp;" × 2","ERROR"),IF(K185="A",IF(Y196&lt;=6," × ( 0.12 × "&amp;Y196&amp;" + 0.07 ) × "&amp;X185&amp;" × 0.8 × 2","ERROR")))</f>
        <v> × ( 0.12 × 5 + 0.07 ) × 100 × 2</v>
      </c>
      <c r="M199" s="29"/>
      <c r="N199" s="29"/>
      <c r="O199" s="29"/>
      <c r="P199" s="29"/>
      <c r="Q199" s="29"/>
      <c r="R199" s="29"/>
      <c r="S199" s="29"/>
      <c r="T199" s="29"/>
      <c r="U199" s="29"/>
    </row>
    <row r="200" spans="1:12" ht="19.5" customHeight="1">
      <c r="A200" s="4"/>
      <c r="B200" s="4"/>
      <c r="C200" s="4" t="s">
        <v>877</v>
      </c>
      <c r="D200" s="4"/>
      <c r="E200" s="4"/>
      <c r="F200" s="4" t="s">
        <v>993</v>
      </c>
      <c r="G200" s="266">
        <f>IF(K185="B",IF(Y196&lt;=6,G199*(0.12*Y196+0.07)*X185*2,"ERROR"),IF(K185="A",IF(Y196&lt;=6,0.8*G199*(0.12*Y196+0.07)*X185*2,"ERROR")))</f>
        <v>155.909</v>
      </c>
      <c r="H200" s="266"/>
      <c r="I200" s="266"/>
      <c r="J200" s="266"/>
      <c r="K200" s="4" t="s">
        <v>230</v>
      </c>
      <c r="L200" s="4"/>
    </row>
    <row r="201" spans="1:12" ht="19.5" customHeight="1">
      <c r="A201" s="4"/>
      <c r="B201" s="4"/>
      <c r="C201" s="4"/>
      <c r="D201" s="4"/>
      <c r="E201" s="4"/>
      <c r="F201" s="4"/>
      <c r="G201" s="101"/>
      <c r="H201" s="101"/>
      <c r="I201" s="101"/>
      <c r="J201" s="101"/>
      <c r="K201" s="4"/>
      <c r="L201" s="4"/>
    </row>
    <row r="202" spans="1:12" ht="19.5" customHeight="1">
      <c r="A202" s="4"/>
      <c r="B202" s="4"/>
      <c r="C202" s="4"/>
      <c r="D202" s="4" t="s">
        <v>1370</v>
      </c>
      <c r="E202" s="4"/>
      <c r="F202" s="4"/>
      <c r="G202" s="4"/>
      <c r="H202" s="4"/>
      <c r="I202" s="4"/>
      <c r="J202" s="4"/>
      <c r="K202" s="4"/>
      <c r="L202" s="4"/>
    </row>
    <row r="203" spans="1:12" ht="19.5" customHeight="1">
      <c r="A203" s="4"/>
      <c r="D203" s="4" t="s">
        <v>1371</v>
      </c>
      <c r="E203" s="4"/>
      <c r="F203" s="4"/>
      <c r="G203" s="4"/>
      <c r="H203" s="4"/>
      <c r="I203" s="4"/>
      <c r="J203" s="4"/>
      <c r="K203" s="4"/>
      <c r="L203" s="4"/>
    </row>
    <row r="204" spans="1:39" ht="19.5" customHeight="1">
      <c r="A204" s="4"/>
      <c r="B204" s="4"/>
      <c r="D204" s="221" t="s">
        <v>1372</v>
      </c>
      <c r="E204" s="222"/>
      <c r="F204" s="222"/>
      <c r="G204" s="222"/>
      <c r="H204" s="222"/>
      <c r="I204" s="222"/>
      <c r="J204" s="222"/>
      <c r="K204" s="222"/>
      <c r="L204" s="222"/>
      <c r="M204" s="222"/>
      <c r="N204" s="222"/>
      <c r="O204" s="222"/>
      <c r="P204" s="222"/>
      <c r="Q204" s="222"/>
      <c r="R204" s="222"/>
      <c r="S204" s="223"/>
      <c r="T204" s="183" t="s">
        <v>1004</v>
      </c>
      <c r="U204" s="183"/>
      <c r="V204" s="183"/>
      <c r="W204" s="183"/>
      <c r="X204" s="183" t="s">
        <v>1005</v>
      </c>
      <c r="Y204" s="183"/>
      <c r="Z204" s="183"/>
      <c r="AA204" s="183"/>
      <c r="AB204" s="183" t="s">
        <v>1006</v>
      </c>
      <c r="AC204" s="183"/>
      <c r="AD204" s="183"/>
      <c r="AE204" s="183"/>
      <c r="AF204" s="49"/>
      <c r="AG204" s="49"/>
      <c r="AH204" s="49"/>
      <c r="AI204" s="49"/>
      <c r="AJ204" s="49"/>
      <c r="AK204" s="49"/>
      <c r="AL204" s="49"/>
      <c r="AM204" s="49"/>
    </row>
    <row r="205" spans="1:39" ht="19.5" customHeight="1">
      <c r="A205" s="4"/>
      <c r="B205" s="4"/>
      <c r="C205" s="4" t="s">
        <v>877</v>
      </c>
      <c r="D205" s="224"/>
      <c r="E205" s="225"/>
      <c r="F205" s="225"/>
      <c r="G205" s="225"/>
      <c r="H205" s="225"/>
      <c r="I205" s="225"/>
      <c r="J205" s="225"/>
      <c r="K205" s="225"/>
      <c r="L205" s="225"/>
      <c r="M205" s="225"/>
      <c r="N205" s="225"/>
      <c r="O205" s="225"/>
      <c r="P205" s="225"/>
      <c r="Q205" s="225"/>
      <c r="R205" s="225"/>
      <c r="S205" s="226"/>
      <c r="T205" s="204" t="s">
        <v>231</v>
      </c>
      <c r="U205" s="204"/>
      <c r="V205" s="204"/>
      <c r="W205" s="204"/>
      <c r="X205" s="204" t="s">
        <v>231</v>
      </c>
      <c r="Y205" s="204"/>
      <c r="Z205" s="204"/>
      <c r="AA205" s="204"/>
      <c r="AB205" s="204" t="s">
        <v>231</v>
      </c>
      <c r="AC205" s="204"/>
      <c r="AD205" s="204"/>
      <c r="AE205" s="204"/>
      <c r="AF205" s="45"/>
      <c r="AG205" s="45"/>
      <c r="AH205" s="45"/>
      <c r="AI205" s="45"/>
      <c r="AJ205" s="45"/>
      <c r="AK205" s="45"/>
      <c r="AL205" s="45"/>
      <c r="AM205" s="45"/>
    </row>
    <row r="206" spans="1:57" ht="19.5" customHeight="1">
      <c r="A206" s="4"/>
      <c r="D206" s="97" t="s">
        <v>1373</v>
      </c>
      <c r="E206" s="98"/>
      <c r="F206" s="98"/>
      <c r="G206" s="98"/>
      <c r="H206" s="98"/>
      <c r="I206" s="98"/>
      <c r="J206" s="98"/>
      <c r="K206" s="65"/>
      <c r="L206" s="66"/>
      <c r="M206" s="65"/>
      <c r="N206" s="65"/>
      <c r="O206" s="65"/>
      <c r="P206" s="65"/>
      <c r="Q206" s="65"/>
      <c r="R206" s="65"/>
      <c r="S206" s="67"/>
      <c r="T206" s="254">
        <v>-24.897</v>
      </c>
      <c r="U206" s="254"/>
      <c r="V206" s="254"/>
      <c r="W206" s="254"/>
      <c r="X206" s="254">
        <v>12.472</v>
      </c>
      <c r="Y206" s="254"/>
      <c r="Z206" s="254"/>
      <c r="AA206" s="254"/>
      <c r="AB206" s="254">
        <v>-24.897</v>
      </c>
      <c r="AC206" s="254"/>
      <c r="AD206" s="254"/>
      <c r="AE206" s="254"/>
      <c r="AH206" s="27"/>
      <c r="BE206" s="4"/>
    </row>
    <row r="207" spans="1:57" ht="19.5" customHeight="1">
      <c r="A207" s="4"/>
      <c r="D207" s="94" t="s">
        <v>1003</v>
      </c>
      <c r="E207" s="95"/>
      <c r="F207" s="95"/>
      <c r="G207" s="95"/>
      <c r="H207" s="95"/>
      <c r="I207" s="95"/>
      <c r="J207" s="95"/>
      <c r="K207" s="134"/>
      <c r="L207" s="130"/>
      <c r="M207" s="134"/>
      <c r="N207" s="134"/>
      <c r="O207" s="134"/>
      <c r="P207" s="134"/>
      <c r="Q207" s="134"/>
      <c r="R207" s="134"/>
      <c r="S207" s="135"/>
      <c r="T207" s="254">
        <v>-3.594</v>
      </c>
      <c r="U207" s="254"/>
      <c r="V207" s="254"/>
      <c r="W207" s="254"/>
      <c r="X207" s="254">
        <v>2.411</v>
      </c>
      <c r="Y207" s="254"/>
      <c r="Z207" s="254"/>
      <c r="AA207" s="254"/>
      <c r="AB207" s="254">
        <v>-3.594</v>
      </c>
      <c r="AC207" s="254"/>
      <c r="AD207" s="254"/>
      <c r="AE207" s="254"/>
      <c r="AH207" s="27"/>
      <c r="BE207" s="4"/>
    </row>
    <row r="208" spans="1:57" ht="19.5" customHeight="1">
      <c r="A208" s="4"/>
      <c r="D208" s="70" t="s">
        <v>1374</v>
      </c>
      <c r="E208" s="62"/>
      <c r="F208" s="62"/>
      <c r="G208" s="62"/>
      <c r="H208" s="62"/>
      <c r="I208" s="62"/>
      <c r="J208" s="62"/>
      <c r="K208" s="29"/>
      <c r="L208" s="58"/>
      <c r="M208" s="29"/>
      <c r="N208" s="29"/>
      <c r="O208" s="29"/>
      <c r="P208" s="29"/>
      <c r="Q208" s="29"/>
      <c r="R208" s="29"/>
      <c r="S208" s="59"/>
      <c r="T208" s="254">
        <v>-13.457</v>
      </c>
      <c r="U208" s="254"/>
      <c r="V208" s="254"/>
      <c r="W208" s="254"/>
      <c r="X208" s="254">
        <v>0</v>
      </c>
      <c r="Y208" s="254"/>
      <c r="Z208" s="254"/>
      <c r="AA208" s="254"/>
      <c r="AB208" s="254">
        <v>-13.457</v>
      </c>
      <c r="AC208" s="254"/>
      <c r="AD208" s="254"/>
      <c r="AE208" s="254"/>
      <c r="AH208" s="27"/>
      <c r="AR208" s="36"/>
      <c r="BE208" s="4"/>
    </row>
    <row r="209" spans="1:57" ht="19.5" customHeight="1">
      <c r="A209" s="4"/>
      <c r="D209" s="94" t="s">
        <v>968</v>
      </c>
      <c r="E209" s="95"/>
      <c r="F209" s="95"/>
      <c r="G209" s="95"/>
      <c r="H209" s="95"/>
      <c r="I209" s="95"/>
      <c r="J209" s="95"/>
      <c r="K209" s="134"/>
      <c r="L209" s="130"/>
      <c r="M209" s="134"/>
      <c r="N209" s="134"/>
      <c r="O209" s="134"/>
      <c r="P209" s="134"/>
      <c r="Q209" s="134"/>
      <c r="R209" s="134"/>
      <c r="S209" s="135"/>
      <c r="T209" s="254">
        <f>G190</f>
        <v>-141.90911599999998</v>
      </c>
      <c r="U209" s="254"/>
      <c r="V209" s="254"/>
      <c r="W209" s="254"/>
      <c r="X209" s="254">
        <f>G200</f>
        <v>155.909</v>
      </c>
      <c r="Y209" s="254"/>
      <c r="Z209" s="254"/>
      <c r="AA209" s="254"/>
      <c r="AB209" s="254">
        <f>G195</f>
        <v>-141.90911599999998</v>
      </c>
      <c r="AC209" s="254"/>
      <c r="AD209" s="254"/>
      <c r="AE209" s="254"/>
      <c r="AH209" s="27"/>
      <c r="BE209" s="4"/>
    </row>
    <row r="210" spans="1:57" ht="19.5" customHeight="1">
      <c r="A210" s="4"/>
      <c r="D210" s="70" t="s">
        <v>1375</v>
      </c>
      <c r="E210" s="62"/>
      <c r="F210" s="62"/>
      <c r="G210" s="62"/>
      <c r="H210" s="62"/>
      <c r="I210" s="62"/>
      <c r="J210" s="62"/>
      <c r="K210" s="29"/>
      <c r="L210" s="58"/>
      <c r="M210" s="29"/>
      <c r="N210" s="29"/>
      <c r="O210" s="29"/>
      <c r="P210" s="29"/>
      <c r="Q210" s="29"/>
      <c r="R210" s="29"/>
      <c r="S210" s="59"/>
      <c r="T210" s="254">
        <f>Q152</f>
        <v>-3.2625</v>
      </c>
      <c r="U210" s="254"/>
      <c r="V210" s="254"/>
      <c r="W210" s="254"/>
      <c r="X210" s="254">
        <v>0</v>
      </c>
      <c r="Y210" s="254"/>
      <c r="Z210" s="254"/>
      <c r="AA210" s="254"/>
      <c r="AB210" s="254">
        <f>Q157</f>
        <v>-3.2625</v>
      </c>
      <c r="AC210" s="254"/>
      <c r="AD210" s="254"/>
      <c r="AE210" s="254"/>
      <c r="AH210" s="27"/>
      <c r="BE210" s="4"/>
    </row>
    <row r="211" spans="1:57" ht="19.5" customHeight="1">
      <c r="A211" s="4"/>
      <c r="D211" s="94" t="s">
        <v>1376</v>
      </c>
      <c r="E211" s="95"/>
      <c r="F211" s="95"/>
      <c r="G211" s="95"/>
      <c r="H211" s="95"/>
      <c r="I211" s="95"/>
      <c r="J211" s="95"/>
      <c r="K211" s="134"/>
      <c r="L211" s="130"/>
      <c r="M211" s="134"/>
      <c r="N211" s="134"/>
      <c r="O211" s="134"/>
      <c r="P211" s="134"/>
      <c r="Q211" s="134"/>
      <c r="R211" s="134"/>
      <c r="S211" s="135"/>
      <c r="T211" s="254">
        <f>AG163</f>
        <v>0</v>
      </c>
      <c r="U211" s="254"/>
      <c r="V211" s="254"/>
      <c r="W211" s="254"/>
      <c r="X211" s="254">
        <v>0</v>
      </c>
      <c r="Y211" s="254"/>
      <c r="Z211" s="254"/>
      <c r="AA211" s="254"/>
      <c r="AB211" s="254">
        <f>AG170</f>
        <v>0</v>
      </c>
      <c r="AC211" s="254"/>
      <c r="AD211" s="254"/>
      <c r="AE211" s="254"/>
      <c r="AH211" s="27"/>
      <c r="AR211" s="36"/>
      <c r="BE211" s="4"/>
    </row>
    <row r="212" spans="1:57" ht="19.5" customHeight="1" thickBot="1">
      <c r="A212" s="4"/>
      <c r="D212" s="136" t="s">
        <v>1377</v>
      </c>
      <c r="E212" s="137"/>
      <c r="F212" s="137"/>
      <c r="G212" s="137"/>
      <c r="H212" s="137"/>
      <c r="I212" s="137"/>
      <c r="J212" s="137"/>
      <c r="K212" s="138"/>
      <c r="L212" s="131"/>
      <c r="M212" s="138"/>
      <c r="N212" s="138"/>
      <c r="O212" s="138"/>
      <c r="P212" s="138"/>
      <c r="Q212" s="138"/>
      <c r="R212" s="138"/>
      <c r="S212" s="139"/>
      <c r="T212" s="262">
        <f>U176</f>
        <v>-1.2483000000000002</v>
      </c>
      <c r="U212" s="262"/>
      <c r="V212" s="262"/>
      <c r="W212" s="262"/>
      <c r="X212" s="262">
        <v>0</v>
      </c>
      <c r="Y212" s="262"/>
      <c r="Z212" s="262"/>
      <c r="AA212" s="262"/>
      <c r="AB212" s="262">
        <f>U181</f>
        <v>-1.2483000000000002</v>
      </c>
      <c r="AC212" s="262"/>
      <c r="AD212" s="262"/>
      <c r="AE212" s="262"/>
      <c r="AH212" s="27"/>
      <c r="BE212" s="4"/>
    </row>
    <row r="213" spans="1:57" ht="19.5" customHeight="1" thickTop="1">
      <c r="A213" s="4"/>
      <c r="D213" s="140" t="s">
        <v>1042</v>
      </c>
      <c r="E213" s="141"/>
      <c r="F213" s="141"/>
      <c r="G213" s="141"/>
      <c r="H213" s="141"/>
      <c r="I213" s="141"/>
      <c r="J213" s="141"/>
      <c r="K213" s="73"/>
      <c r="L213" s="53"/>
      <c r="M213" s="73"/>
      <c r="N213" s="73"/>
      <c r="O213" s="73"/>
      <c r="P213" s="73"/>
      <c r="Q213" s="73"/>
      <c r="R213" s="73"/>
      <c r="S213" s="74"/>
      <c r="T213" s="263">
        <f>T206+T207+T208</f>
        <v>-41.948</v>
      </c>
      <c r="U213" s="263"/>
      <c r="V213" s="263"/>
      <c r="W213" s="263"/>
      <c r="X213" s="263">
        <f>X206+X207+X208</f>
        <v>14.883</v>
      </c>
      <c r="Y213" s="263"/>
      <c r="Z213" s="263"/>
      <c r="AA213" s="263"/>
      <c r="AB213" s="263">
        <f>AB206+AB207+AB208</f>
        <v>-41.948</v>
      </c>
      <c r="AC213" s="263"/>
      <c r="AD213" s="263"/>
      <c r="AE213" s="263"/>
      <c r="AH213" s="27"/>
      <c r="BE213" s="4"/>
    </row>
    <row r="214" spans="1:57" ht="19.5" customHeight="1">
      <c r="A214" s="4"/>
      <c r="D214" s="70" t="s">
        <v>1378</v>
      </c>
      <c r="E214" s="62"/>
      <c r="F214" s="62"/>
      <c r="G214" s="62"/>
      <c r="H214" s="62"/>
      <c r="I214" s="62"/>
      <c r="J214" s="62"/>
      <c r="K214" s="29"/>
      <c r="L214" s="58"/>
      <c r="M214" s="29"/>
      <c r="N214" s="29"/>
      <c r="O214" s="29"/>
      <c r="P214" s="29"/>
      <c r="Q214" s="29"/>
      <c r="R214" s="29"/>
      <c r="S214" s="59"/>
      <c r="T214" s="254">
        <f>T213+T209+T210</f>
        <v>-187.11961599999998</v>
      </c>
      <c r="U214" s="254"/>
      <c r="V214" s="254"/>
      <c r="W214" s="254"/>
      <c r="X214" s="254">
        <f>X213+X209+X210</f>
        <v>170.792</v>
      </c>
      <c r="Y214" s="254"/>
      <c r="Z214" s="254"/>
      <c r="AA214" s="254"/>
      <c r="AB214" s="254">
        <f>AB213+AB209+AB210</f>
        <v>-187.11961599999998</v>
      </c>
      <c r="AC214" s="254"/>
      <c r="AD214" s="254"/>
      <c r="AE214" s="254"/>
      <c r="AH214" s="27"/>
      <c r="BE214" s="4"/>
    </row>
    <row r="215" spans="1:57" ht="19.5" customHeight="1">
      <c r="A215" s="4"/>
      <c r="D215" s="94" t="s">
        <v>1043</v>
      </c>
      <c r="E215" s="95"/>
      <c r="F215" s="95"/>
      <c r="G215" s="95"/>
      <c r="H215" s="95"/>
      <c r="I215" s="95"/>
      <c r="J215" s="95"/>
      <c r="K215" s="134"/>
      <c r="L215" s="130"/>
      <c r="M215" s="134"/>
      <c r="N215" s="134"/>
      <c r="O215" s="134"/>
      <c r="P215" s="134"/>
      <c r="Q215" s="134"/>
      <c r="R215" s="134"/>
      <c r="S215" s="135"/>
      <c r="T215" s="309">
        <f>T213+T209+T210+T212/2</f>
        <v>-187.74376599999997</v>
      </c>
      <c r="U215" s="310"/>
      <c r="V215" s="310"/>
      <c r="W215" s="311"/>
      <c r="X215" s="309">
        <f>X213+X209+X210+X212/2</f>
        <v>170.792</v>
      </c>
      <c r="Y215" s="310"/>
      <c r="Z215" s="310"/>
      <c r="AA215" s="311"/>
      <c r="AB215" s="309">
        <f>AB213+AB209+AB210+AB212/2</f>
        <v>-187.74376599999997</v>
      </c>
      <c r="AC215" s="310"/>
      <c r="AD215" s="310"/>
      <c r="AE215" s="311"/>
      <c r="AH215" s="27"/>
      <c r="BE215" s="4"/>
    </row>
    <row r="216" spans="1:57" ht="19.5" customHeight="1">
      <c r="A216" s="4"/>
      <c r="D216" s="142" t="s">
        <v>1379</v>
      </c>
      <c r="E216" s="143"/>
      <c r="F216" s="143"/>
      <c r="G216" s="143"/>
      <c r="H216" s="143"/>
      <c r="I216" s="143"/>
      <c r="J216" s="143"/>
      <c r="K216" s="53"/>
      <c r="L216" s="53"/>
      <c r="M216" s="73"/>
      <c r="N216" s="73"/>
      <c r="O216" s="73"/>
      <c r="P216" s="73"/>
      <c r="Q216" s="73"/>
      <c r="R216" s="73"/>
      <c r="S216" s="74"/>
      <c r="T216" s="254">
        <f>T213+T212</f>
        <v>-43.1963</v>
      </c>
      <c r="U216" s="254"/>
      <c r="V216" s="254"/>
      <c r="W216" s="254"/>
      <c r="X216" s="254">
        <f>X213+X212</f>
        <v>14.883</v>
      </c>
      <c r="Y216" s="254"/>
      <c r="Z216" s="254"/>
      <c r="AA216" s="254"/>
      <c r="AB216" s="254">
        <f>AB213+AB212</f>
        <v>-43.1963</v>
      </c>
      <c r="AC216" s="254"/>
      <c r="AD216" s="254"/>
      <c r="AE216" s="254"/>
      <c r="AH216" s="27"/>
      <c r="BE216" s="4"/>
    </row>
    <row r="217" spans="1:34" ht="19.5" customHeight="1">
      <c r="A217" s="4"/>
      <c r="D217" s="94" t="s">
        <v>1380</v>
      </c>
      <c r="E217" s="95"/>
      <c r="F217" s="95"/>
      <c r="G217" s="95"/>
      <c r="H217" s="95"/>
      <c r="I217" s="95"/>
      <c r="J217" s="95"/>
      <c r="K217" s="130"/>
      <c r="L217" s="130"/>
      <c r="M217" s="134"/>
      <c r="N217" s="134"/>
      <c r="O217" s="134"/>
      <c r="P217" s="134"/>
      <c r="Q217" s="134"/>
      <c r="R217" s="134"/>
      <c r="S217" s="135"/>
      <c r="T217" s="254">
        <f>T213+T209+T211</f>
        <v>-183.857116</v>
      </c>
      <c r="U217" s="254"/>
      <c r="V217" s="254"/>
      <c r="W217" s="254"/>
      <c r="X217" s="254">
        <f>X213+X209+X211</f>
        <v>170.792</v>
      </c>
      <c r="Y217" s="254"/>
      <c r="Z217" s="254"/>
      <c r="AA217" s="254"/>
      <c r="AB217" s="254">
        <f>AB213+AB209+AB211</f>
        <v>-183.857116</v>
      </c>
      <c r="AC217" s="254"/>
      <c r="AD217" s="254"/>
      <c r="AE217" s="254"/>
      <c r="AH217" s="27"/>
    </row>
    <row r="218" spans="1:34" ht="19.5" customHeight="1">
      <c r="A218" s="4"/>
      <c r="B218" s="4"/>
      <c r="C218" s="4"/>
      <c r="AH218" s="27"/>
    </row>
    <row r="219" spans="1:31" ht="19.5" customHeight="1">
      <c r="A219" s="4"/>
      <c r="B219" s="4"/>
      <c r="D219" s="221" t="s">
        <v>1381</v>
      </c>
      <c r="E219" s="222"/>
      <c r="F219" s="222"/>
      <c r="G219" s="222"/>
      <c r="H219" s="222"/>
      <c r="I219" s="222"/>
      <c r="J219" s="222"/>
      <c r="K219" s="222"/>
      <c r="L219" s="222"/>
      <c r="M219" s="222"/>
      <c r="N219" s="222"/>
      <c r="O219" s="222"/>
      <c r="P219" s="222"/>
      <c r="Q219" s="222"/>
      <c r="R219" s="222"/>
      <c r="S219" s="223"/>
      <c r="T219" s="183" t="s">
        <v>1004</v>
      </c>
      <c r="U219" s="183"/>
      <c r="V219" s="183"/>
      <c r="W219" s="183"/>
      <c r="X219" s="183" t="s">
        <v>1005</v>
      </c>
      <c r="Y219" s="183"/>
      <c r="Z219" s="183"/>
      <c r="AA219" s="183"/>
      <c r="AB219" s="183" t="s">
        <v>1006</v>
      </c>
      <c r="AC219" s="183"/>
      <c r="AD219" s="183"/>
      <c r="AE219" s="183"/>
    </row>
    <row r="220" spans="1:31" ht="19.5" customHeight="1">
      <c r="A220" s="4"/>
      <c r="B220" s="4"/>
      <c r="C220" s="4" t="s">
        <v>877</v>
      </c>
      <c r="D220" s="224"/>
      <c r="E220" s="225"/>
      <c r="F220" s="225"/>
      <c r="G220" s="225"/>
      <c r="H220" s="225"/>
      <c r="I220" s="225"/>
      <c r="J220" s="225"/>
      <c r="K220" s="225"/>
      <c r="L220" s="225"/>
      <c r="M220" s="225"/>
      <c r="N220" s="225"/>
      <c r="O220" s="225"/>
      <c r="P220" s="225"/>
      <c r="Q220" s="225"/>
      <c r="R220" s="225"/>
      <c r="S220" s="226"/>
      <c r="T220" s="204" t="s">
        <v>231</v>
      </c>
      <c r="U220" s="204"/>
      <c r="V220" s="204"/>
      <c r="W220" s="204"/>
      <c r="X220" s="204" t="s">
        <v>231</v>
      </c>
      <c r="Y220" s="204"/>
      <c r="Z220" s="204"/>
      <c r="AA220" s="204"/>
      <c r="AB220" s="204" t="s">
        <v>231</v>
      </c>
      <c r="AC220" s="204"/>
      <c r="AD220" s="204"/>
      <c r="AE220" s="204"/>
    </row>
    <row r="221" spans="1:34" ht="19.5" customHeight="1">
      <c r="A221" s="4"/>
      <c r="D221" s="97" t="s">
        <v>232</v>
      </c>
      <c r="E221" s="98"/>
      <c r="F221" s="98"/>
      <c r="G221" s="98"/>
      <c r="H221" s="98"/>
      <c r="I221" s="98"/>
      <c r="J221" s="98"/>
      <c r="K221" s="65"/>
      <c r="L221" s="66"/>
      <c r="M221" s="65"/>
      <c r="N221" s="65"/>
      <c r="O221" s="65"/>
      <c r="P221" s="65"/>
      <c r="Q221" s="65"/>
      <c r="R221" s="65"/>
      <c r="S221" s="67"/>
      <c r="T221" s="254">
        <v>-24.897</v>
      </c>
      <c r="U221" s="254"/>
      <c r="V221" s="254"/>
      <c r="W221" s="254"/>
      <c r="X221" s="254">
        <v>11.013</v>
      </c>
      <c r="Y221" s="254"/>
      <c r="Z221" s="254"/>
      <c r="AA221" s="254"/>
      <c r="AB221" s="254">
        <v>-24.897</v>
      </c>
      <c r="AC221" s="254"/>
      <c r="AD221" s="254"/>
      <c r="AE221" s="254"/>
      <c r="AH221" s="27"/>
    </row>
    <row r="222" spans="1:34" ht="19.5" customHeight="1">
      <c r="A222" s="4"/>
      <c r="D222" s="94" t="s">
        <v>233</v>
      </c>
      <c r="E222" s="95"/>
      <c r="F222" s="95"/>
      <c r="G222" s="95"/>
      <c r="H222" s="95"/>
      <c r="I222" s="95"/>
      <c r="J222" s="95"/>
      <c r="K222" s="134"/>
      <c r="L222" s="130"/>
      <c r="M222" s="134"/>
      <c r="N222" s="134"/>
      <c r="O222" s="134"/>
      <c r="P222" s="134"/>
      <c r="Q222" s="134"/>
      <c r="R222" s="134"/>
      <c r="S222" s="135"/>
      <c r="T222" s="254">
        <v>-3.594</v>
      </c>
      <c r="U222" s="254"/>
      <c r="V222" s="254"/>
      <c r="W222" s="254"/>
      <c r="X222" s="254">
        <v>3.349</v>
      </c>
      <c r="Y222" s="254"/>
      <c r="Z222" s="254"/>
      <c r="AA222" s="254"/>
      <c r="AB222" s="254">
        <v>-3.594</v>
      </c>
      <c r="AC222" s="254"/>
      <c r="AD222" s="254"/>
      <c r="AE222" s="254"/>
      <c r="AH222" s="27"/>
    </row>
    <row r="223" spans="1:57" ht="19.5" customHeight="1">
      <c r="A223" s="4"/>
      <c r="D223" s="70" t="s">
        <v>234</v>
      </c>
      <c r="E223" s="62"/>
      <c r="F223" s="62"/>
      <c r="G223" s="62"/>
      <c r="H223" s="62"/>
      <c r="I223" s="62"/>
      <c r="J223" s="62"/>
      <c r="K223" s="29"/>
      <c r="L223" s="58"/>
      <c r="M223" s="29"/>
      <c r="N223" s="29"/>
      <c r="O223" s="29"/>
      <c r="P223" s="29"/>
      <c r="Q223" s="29"/>
      <c r="R223" s="29"/>
      <c r="S223" s="59"/>
      <c r="T223" s="254">
        <v>-13.457</v>
      </c>
      <c r="U223" s="254"/>
      <c r="V223" s="254"/>
      <c r="W223" s="254"/>
      <c r="X223" s="254">
        <v>-13.457</v>
      </c>
      <c r="Y223" s="254"/>
      <c r="Z223" s="254"/>
      <c r="AA223" s="254"/>
      <c r="AB223" s="254">
        <v>-13.457</v>
      </c>
      <c r="AC223" s="254"/>
      <c r="AD223" s="254"/>
      <c r="AE223" s="254"/>
      <c r="AH223" s="27"/>
      <c r="AR223" s="36"/>
      <c r="BE223" s="4"/>
    </row>
    <row r="224" spans="1:34" ht="19.5" customHeight="1">
      <c r="A224" s="4"/>
      <c r="D224" s="94" t="s">
        <v>968</v>
      </c>
      <c r="E224" s="95"/>
      <c r="F224" s="95"/>
      <c r="G224" s="95"/>
      <c r="H224" s="95"/>
      <c r="I224" s="95"/>
      <c r="J224" s="95"/>
      <c r="K224" s="134"/>
      <c r="L224" s="130"/>
      <c r="M224" s="134"/>
      <c r="N224" s="134"/>
      <c r="O224" s="134"/>
      <c r="P224" s="134"/>
      <c r="Q224" s="134"/>
      <c r="R224" s="134"/>
      <c r="S224" s="135"/>
      <c r="T224" s="254">
        <f>T209</f>
        <v>-141.90911599999998</v>
      </c>
      <c r="U224" s="254"/>
      <c r="V224" s="254"/>
      <c r="W224" s="254"/>
      <c r="X224" s="254">
        <f>X209</f>
        <v>155.909</v>
      </c>
      <c r="Y224" s="254"/>
      <c r="Z224" s="254"/>
      <c r="AA224" s="254"/>
      <c r="AB224" s="254">
        <f>AB209</f>
        <v>-141.90911599999998</v>
      </c>
      <c r="AC224" s="254"/>
      <c r="AD224" s="254"/>
      <c r="AE224" s="254"/>
      <c r="AH224" s="27"/>
    </row>
    <row r="225" spans="1:34" ht="19.5" customHeight="1">
      <c r="A225" s="4"/>
      <c r="D225" s="70" t="s">
        <v>235</v>
      </c>
      <c r="E225" s="62"/>
      <c r="F225" s="62"/>
      <c r="G225" s="62"/>
      <c r="H225" s="62"/>
      <c r="I225" s="62"/>
      <c r="J225" s="62"/>
      <c r="K225" s="29"/>
      <c r="L225" s="58"/>
      <c r="M225" s="29"/>
      <c r="N225" s="29"/>
      <c r="O225" s="29"/>
      <c r="P225" s="29"/>
      <c r="Q225" s="29"/>
      <c r="R225" s="29"/>
      <c r="S225" s="59"/>
      <c r="T225" s="254">
        <f>T210</f>
        <v>-3.2625</v>
      </c>
      <c r="U225" s="254"/>
      <c r="V225" s="254"/>
      <c r="W225" s="254"/>
      <c r="X225" s="254">
        <f>X210</f>
        <v>0</v>
      </c>
      <c r="Y225" s="254"/>
      <c r="Z225" s="254"/>
      <c r="AA225" s="254"/>
      <c r="AB225" s="254">
        <f>AB210</f>
        <v>-3.2625</v>
      </c>
      <c r="AC225" s="254"/>
      <c r="AD225" s="254"/>
      <c r="AE225" s="254"/>
      <c r="AH225" s="27"/>
    </row>
    <row r="226" spans="1:44" ht="19.5" customHeight="1">
      <c r="A226" s="4"/>
      <c r="D226" s="94" t="s">
        <v>236</v>
      </c>
      <c r="E226" s="95"/>
      <c r="F226" s="95"/>
      <c r="G226" s="95"/>
      <c r="H226" s="95"/>
      <c r="I226" s="95"/>
      <c r="J226" s="95"/>
      <c r="K226" s="134"/>
      <c r="L226" s="130"/>
      <c r="M226" s="134"/>
      <c r="N226" s="134"/>
      <c r="O226" s="134"/>
      <c r="P226" s="134"/>
      <c r="Q226" s="134"/>
      <c r="R226" s="134"/>
      <c r="S226" s="135"/>
      <c r="T226" s="254">
        <f>T211</f>
        <v>0</v>
      </c>
      <c r="U226" s="254"/>
      <c r="V226" s="254"/>
      <c r="W226" s="254"/>
      <c r="X226" s="254">
        <f>X211</f>
        <v>0</v>
      </c>
      <c r="Y226" s="254"/>
      <c r="Z226" s="254"/>
      <c r="AA226" s="254"/>
      <c r="AB226" s="254">
        <f>AB211</f>
        <v>0</v>
      </c>
      <c r="AC226" s="254"/>
      <c r="AD226" s="254"/>
      <c r="AE226" s="254"/>
      <c r="AH226" s="27"/>
      <c r="AR226" s="36"/>
    </row>
    <row r="227" spans="1:34" ht="19.5" customHeight="1" thickBot="1">
      <c r="A227" s="4"/>
      <c r="D227" s="136" t="s">
        <v>237</v>
      </c>
      <c r="E227" s="137"/>
      <c r="F227" s="137"/>
      <c r="G227" s="137"/>
      <c r="H227" s="137"/>
      <c r="I227" s="137"/>
      <c r="J227" s="137"/>
      <c r="K227" s="138"/>
      <c r="L227" s="131"/>
      <c r="M227" s="138"/>
      <c r="N227" s="138"/>
      <c r="O227" s="138"/>
      <c r="P227" s="138"/>
      <c r="Q227" s="138"/>
      <c r="R227" s="138"/>
      <c r="S227" s="139"/>
      <c r="T227" s="262">
        <f>T212</f>
        <v>-1.2483000000000002</v>
      </c>
      <c r="U227" s="262"/>
      <c r="V227" s="262"/>
      <c r="W227" s="262"/>
      <c r="X227" s="262">
        <f>X212</f>
        <v>0</v>
      </c>
      <c r="Y227" s="262"/>
      <c r="Z227" s="262"/>
      <c r="AA227" s="262"/>
      <c r="AB227" s="262">
        <f>AB212</f>
        <v>-1.2483000000000002</v>
      </c>
      <c r="AC227" s="262"/>
      <c r="AD227" s="262"/>
      <c r="AE227" s="262"/>
      <c r="AH227" s="27"/>
    </row>
    <row r="228" spans="1:57" ht="19.5" customHeight="1" thickTop="1">
      <c r="A228" s="4"/>
      <c r="D228" s="140" t="s">
        <v>238</v>
      </c>
      <c r="E228" s="141"/>
      <c r="F228" s="141"/>
      <c r="G228" s="141"/>
      <c r="H228" s="141"/>
      <c r="I228" s="141"/>
      <c r="J228" s="141"/>
      <c r="K228" s="73"/>
      <c r="L228" s="53"/>
      <c r="M228" s="73"/>
      <c r="N228" s="73"/>
      <c r="O228" s="73"/>
      <c r="P228" s="73"/>
      <c r="Q228" s="73"/>
      <c r="R228" s="73"/>
      <c r="S228" s="74"/>
      <c r="T228" s="263">
        <f>T221+T222+T223</f>
        <v>-41.948</v>
      </c>
      <c r="U228" s="263"/>
      <c r="V228" s="263"/>
      <c r="W228" s="263"/>
      <c r="X228" s="263">
        <f>X221+X222+X223</f>
        <v>0.9049999999999994</v>
      </c>
      <c r="Y228" s="263"/>
      <c r="Z228" s="263"/>
      <c r="AA228" s="263"/>
      <c r="AB228" s="263">
        <f>AB221+AB222+AB223</f>
        <v>-41.948</v>
      </c>
      <c r="AC228" s="263"/>
      <c r="AD228" s="263"/>
      <c r="AE228" s="263"/>
      <c r="AH228" s="27"/>
      <c r="BE228" s="4"/>
    </row>
    <row r="229" spans="1:57" ht="19.5" customHeight="1">
      <c r="A229" s="4"/>
      <c r="D229" s="70" t="s">
        <v>1382</v>
      </c>
      <c r="E229" s="62"/>
      <c r="F229" s="62"/>
      <c r="G229" s="62"/>
      <c r="H229" s="62"/>
      <c r="I229" s="62"/>
      <c r="J229" s="62"/>
      <c r="K229" s="29"/>
      <c r="L229" s="58"/>
      <c r="M229" s="29"/>
      <c r="N229" s="29"/>
      <c r="O229" s="29"/>
      <c r="P229" s="29"/>
      <c r="Q229" s="29"/>
      <c r="R229" s="29"/>
      <c r="S229" s="59"/>
      <c r="T229" s="254">
        <f>T228+T224+T225</f>
        <v>-187.11961599999998</v>
      </c>
      <c r="U229" s="254"/>
      <c r="V229" s="254"/>
      <c r="W229" s="254"/>
      <c r="X229" s="254">
        <f>X228+X224+X225</f>
        <v>156.814</v>
      </c>
      <c r="Y229" s="254"/>
      <c r="Z229" s="254"/>
      <c r="AA229" s="254"/>
      <c r="AB229" s="254">
        <f>AB228+AB224+AB225</f>
        <v>-187.11961599999998</v>
      </c>
      <c r="AC229" s="254"/>
      <c r="AD229" s="254"/>
      <c r="AE229" s="254"/>
      <c r="AH229" s="27"/>
      <c r="BE229" s="4"/>
    </row>
    <row r="230" spans="1:57" ht="19.5" customHeight="1">
      <c r="A230" s="4"/>
      <c r="D230" s="94" t="s">
        <v>239</v>
      </c>
      <c r="E230" s="95"/>
      <c r="F230" s="95"/>
      <c r="G230" s="95"/>
      <c r="H230" s="95"/>
      <c r="I230" s="95"/>
      <c r="J230" s="95"/>
      <c r="K230" s="134"/>
      <c r="L230" s="130"/>
      <c r="M230" s="134"/>
      <c r="N230" s="134"/>
      <c r="O230" s="134"/>
      <c r="P230" s="134"/>
      <c r="Q230" s="134"/>
      <c r="R230" s="134"/>
      <c r="S230" s="135"/>
      <c r="T230" s="309">
        <f>T228+T224+T225+T227/2</f>
        <v>-187.74376599999997</v>
      </c>
      <c r="U230" s="310"/>
      <c r="V230" s="310"/>
      <c r="W230" s="311"/>
      <c r="X230" s="309">
        <f>X228+X224+X225+X227/2</f>
        <v>156.814</v>
      </c>
      <c r="Y230" s="310"/>
      <c r="Z230" s="310"/>
      <c r="AA230" s="311"/>
      <c r="AB230" s="309">
        <f>AB228+AB224+AB225+AB227/2</f>
        <v>-187.74376599999997</v>
      </c>
      <c r="AC230" s="310"/>
      <c r="AD230" s="310"/>
      <c r="AE230" s="311"/>
      <c r="AH230" s="27"/>
      <c r="BE230" s="4"/>
    </row>
    <row r="231" spans="1:57" ht="19.5" customHeight="1">
      <c r="A231" s="4"/>
      <c r="D231" s="142" t="s">
        <v>240</v>
      </c>
      <c r="E231" s="143"/>
      <c r="F231" s="143"/>
      <c r="G231" s="143"/>
      <c r="H231" s="143"/>
      <c r="I231" s="143"/>
      <c r="J231" s="143"/>
      <c r="K231" s="53"/>
      <c r="L231" s="53"/>
      <c r="M231" s="73"/>
      <c r="N231" s="73"/>
      <c r="O231" s="73"/>
      <c r="P231" s="73"/>
      <c r="Q231" s="73"/>
      <c r="R231" s="73"/>
      <c r="S231" s="74"/>
      <c r="T231" s="254">
        <f>T228+T227</f>
        <v>-43.1963</v>
      </c>
      <c r="U231" s="254"/>
      <c r="V231" s="254"/>
      <c r="W231" s="254"/>
      <c r="X231" s="254">
        <f>X228+X227</f>
        <v>0.9049999999999994</v>
      </c>
      <c r="Y231" s="254"/>
      <c r="Z231" s="254"/>
      <c r="AA231" s="254"/>
      <c r="AB231" s="254">
        <f>AB228+AB227</f>
        <v>-43.1963</v>
      </c>
      <c r="AC231" s="254"/>
      <c r="AD231" s="254"/>
      <c r="AE231" s="254"/>
      <c r="AH231" s="27"/>
      <c r="BE231" s="4"/>
    </row>
    <row r="232" spans="1:34" ht="19.5" customHeight="1">
      <c r="A232" s="4"/>
      <c r="D232" s="94" t="s">
        <v>1380</v>
      </c>
      <c r="E232" s="95"/>
      <c r="F232" s="95"/>
      <c r="G232" s="95"/>
      <c r="H232" s="95"/>
      <c r="I232" s="95"/>
      <c r="J232" s="95"/>
      <c r="K232" s="130"/>
      <c r="L232" s="130"/>
      <c r="M232" s="134"/>
      <c r="N232" s="134"/>
      <c r="O232" s="134"/>
      <c r="P232" s="134"/>
      <c r="Q232" s="134"/>
      <c r="R232" s="134"/>
      <c r="S232" s="135"/>
      <c r="T232" s="254">
        <f>T228+T224+T226</f>
        <v>-183.857116</v>
      </c>
      <c r="U232" s="254"/>
      <c r="V232" s="254"/>
      <c r="W232" s="254"/>
      <c r="X232" s="254">
        <f>X228+X224+X226</f>
        <v>156.814</v>
      </c>
      <c r="Y232" s="254"/>
      <c r="Z232" s="254"/>
      <c r="AA232" s="254"/>
      <c r="AB232" s="254">
        <f>AB228+AB224+AB226</f>
        <v>-183.857116</v>
      </c>
      <c r="AC232" s="254"/>
      <c r="AD232" s="254"/>
      <c r="AE232" s="254"/>
      <c r="AH232" s="27"/>
    </row>
    <row r="233" spans="1:12" ht="19.5" customHeight="1">
      <c r="A233" s="4"/>
      <c r="B233" s="4"/>
      <c r="C233" s="4"/>
      <c r="D233" s="4"/>
      <c r="E233" s="4"/>
      <c r="F233" s="4"/>
      <c r="G233" s="4"/>
      <c r="H233" s="4"/>
      <c r="I233" s="4"/>
      <c r="J233" s="4"/>
      <c r="K233" s="4"/>
      <c r="L233" s="4"/>
    </row>
    <row r="234" spans="2:12" ht="19.5" customHeight="1">
      <c r="B234" s="4" t="s">
        <v>1185</v>
      </c>
      <c r="C234" s="4"/>
      <c r="D234" s="4"/>
      <c r="E234" s="4"/>
      <c r="F234" s="4"/>
      <c r="G234" s="4"/>
      <c r="H234" s="4"/>
      <c r="I234" s="4"/>
      <c r="J234" s="4"/>
      <c r="K234" s="4"/>
      <c r="L234" s="4"/>
    </row>
    <row r="235" spans="2:12" ht="19.5" customHeight="1">
      <c r="B235" s="4"/>
      <c r="C235" s="4" t="s">
        <v>880</v>
      </c>
      <c r="D235" s="4"/>
      <c r="E235" s="4"/>
      <c r="F235" s="4"/>
      <c r="G235" s="4"/>
      <c r="H235" s="4"/>
      <c r="I235" s="4"/>
      <c r="J235" s="4"/>
      <c r="K235" s="4"/>
      <c r="L235" s="4"/>
    </row>
    <row r="236" spans="2:12" ht="19.5" customHeight="1">
      <c r="B236" s="4"/>
      <c r="C236" s="4" t="s">
        <v>937</v>
      </c>
      <c r="D236" s="4"/>
      <c r="E236" s="4"/>
      <c r="F236" s="4"/>
      <c r="G236" s="4"/>
      <c r="H236" s="4"/>
      <c r="I236" s="4"/>
      <c r="J236" s="4"/>
      <c r="K236" s="4"/>
      <c r="L236" s="4"/>
    </row>
    <row r="237" spans="2:12" ht="19.5" customHeight="1">
      <c r="B237" s="4"/>
      <c r="C237" s="4"/>
      <c r="D237" s="4"/>
      <c r="E237" s="4"/>
      <c r="F237" s="4"/>
      <c r="G237" s="4"/>
      <c r="H237" s="4"/>
      <c r="I237" s="4"/>
      <c r="J237" s="4"/>
      <c r="K237" s="4"/>
      <c r="L237" s="4"/>
    </row>
    <row r="238" spans="2:15" ht="19.5" customHeight="1">
      <c r="B238" s="4"/>
      <c r="C238" s="4" t="s">
        <v>938</v>
      </c>
      <c r="D238" s="4"/>
      <c r="E238" s="4"/>
      <c r="F238" s="4"/>
      <c r="G238" s="4"/>
      <c r="H238" s="4"/>
      <c r="I238" s="4"/>
      <c r="J238" s="4"/>
      <c r="K238" s="4"/>
      <c r="L238" s="4"/>
      <c r="M238" s="47"/>
      <c r="N238" s="47"/>
      <c r="O238" s="47"/>
    </row>
    <row r="239" spans="2:44" ht="19.5" customHeight="1">
      <c r="B239" s="4"/>
      <c r="C239" s="4"/>
      <c r="D239" s="4"/>
      <c r="E239" s="27" t="s">
        <v>939</v>
      </c>
      <c r="G239" s="301">
        <v>19</v>
      </c>
      <c r="H239" s="301"/>
      <c r="I239" s="27" t="s">
        <v>241</v>
      </c>
      <c r="K239" s="330">
        <v>250</v>
      </c>
      <c r="L239" s="330"/>
      <c r="M239" s="27" t="s">
        <v>242</v>
      </c>
      <c r="O239" s="4"/>
      <c r="P239" s="4"/>
      <c r="Q239" s="4"/>
      <c r="R239" s="4"/>
      <c r="S239" s="4"/>
      <c r="T239" s="4"/>
      <c r="U239" s="4"/>
      <c r="W239" s="47"/>
      <c r="X239" s="47"/>
      <c r="AE239" s="27" t="s">
        <v>1022</v>
      </c>
      <c r="AM239" s="27"/>
      <c r="AN239" s="27"/>
      <c r="AO239" s="27"/>
      <c r="AQ239" s="29"/>
      <c r="AR239" s="36"/>
    </row>
    <row r="240" spans="2:61" ht="19.5" customHeight="1">
      <c r="B240" s="4"/>
      <c r="C240" s="4"/>
      <c r="D240" s="4"/>
      <c r="G240" s="27" t="s">
        <v>243</v>
      </c>
      <c r="I240" s="237">
        <f>IF(G239=13,126.7,IF(G239=16,198.6,IF(G239=19,286.5,IF(G239=22,387.1,IF(G239=25,506.7,IF(G239=29,642.4,"ERROR"))))))*1000/K239</f>
        <v>1146</v>
      </c>
      <c r="J240" s="237"/>
      <c r="K240" s="237"/>
      <c r="L240" s="27" t="s">
        <v>244</v>
      </c>
      <c r="O240" s="79">
        <v>40</v>
      </c>
      <c r="P240" s="4"/>
      <c r="Q240" s="4"/>
      <c r="R240" s="4"/>
      <c r="S240" s="4"/>
      <c r="T240" s="4"/>
      <c r="U240" s="4"/>
      <c r="AC240" s="300">
        <v>380</v>
      </c>
      <c r="AE240" s="264">
        <v>1</v>
      </c>
      <c r="AF240" s="264"/>
      <c r="AG240" s="35" t="s">
        <v>245</v>
      </c>
      <c r="AH240" s="265">
        <v>12.7</v>
      </c>
      <c r="AI240" s="265"/>
      <c r="AJ240" s="27" t="s">
        <v>241</v>
      </c>
      <c r="AK240" s="27"/>
      <c r="AL240" s="330">
        <v>125</v>
      </c>
      <c r="AM240" s="330"/>
      <c r="AN240" s="27" t="s">
        <v>242</v>
      </c>
      <c r="AO240" s="27"/>
      <c r="AQ240" s="29"/>
      <c r="AR240" s="36"/>
      <c r="BI240" s="36"/>
    </row>
    <row r="241" spans="2:43" ht="19.5" customHeight="1">
      <c r="B241" s="4"/>
      <c r="C241" s="4"/>
      <c r="D241" s="4"/>
      <c r="E241" s="4"/>
      <c r="O241" s="79">
        <f>AC240-O240-O242</f>
        <v>300</v>
      </c>
      <c r="P241" s="4"/>
      <c r="Q241" s="4"/>
      <c r="R241" s="4"/>
      <c r="S241" s="4"/>
      <c r="T241" s="4"/>
      <c r="U241" s="4"/>
      <c r="AA241" s="107">
        <f>AC240/2-AB242</f>
        <v>-8</v>
      </c>
      <c r="AC241" s="300"/>
      <c r="AE241" s="27" t="s">
        <v>246</v>
      </c>
      <c r="AG241" s="325">
        <v>2503.2</v>
      </c>
      <c r="AH241" s="325"/>
      <c r="AI241" s="325"/>
      <c r="AJ241" s="27" t="s">
        <v>244</v>
      </c>
      <c r="AK241" s="27"/>
      <c r="AL241" s="27"/>
      <c r="AM241" s="27"/>
      <c r="AN241" s="27"/>
      <c r="AO241" s="27"/>
      <c r="AQ241" s="29"/>
    </row>
    <row r="242" spans="2:44" ht="19.5" customHeight="1">
      <c r="B242" s="4"/>
      <c r="C242" s="4"/>
      <c r="D242" s="4"/>
      <c r="E242" s="4"/>
      <c r="O242" s="79">
        <v>40</v>
      </c>
      <c r="P242" s="4"/>
      <c r="Q242" s="4"/>
      <c r="R242" s="4"/>
      <c r="S242" s="4"/>
      <c r="T242" s="4"/>
      <c r="AB242" s="107">
        <v>198</v>
      </c>
      <c r="AH242" s="27"/>
      <c r="AI242" s="27"/>
      <c r="AJ242" s="27"/>
      <c r="AK242" s="27"/>
      <c r="AL242" s="27"/>
      <c r="AM242" s="27"/>
      <c r="AN242" s="27"/>
      <c r="AO242" s="27"/>
      <c r="AQ242" s="29"/>
      <c r="AR242" s="36"/>
    </row>
    <row r="243" spans="2:44" ht="19.5" customHeight="1">
      <c r="B243" s="4"/>
      <c r="C243" s="4"/>
      <c r="D243" s="4"/>
      <c r="E243" s="4"/>
      <c r="O243" s="4"/>
      <c r="P243" s="4"/>
      <c r="Q243" s="4"/>
      <c r="R243" s="4"/>
      <c r="S243" s="4"/>
      <c r="T243" s="4"/>
      <c r="U243" s="256">
        <v>1000</v>
      </c>
      <c r="V243" s="256"/>
      <c r="W243" s="256"/>
      <c r="AH243" s="27"/>
      <c r="AI243" s="27"/>
      <c r="AJ243" s="27"/>
      <c r="AK243" s="27"/>
      <c r="AL243" s="27"/>
      <c r="AM243" s="27"/>
      <c r="AN243" s="27"/>
      <c r="AO243" s="27"/>
      <c r="AP243" s="27"/>
      <c r="AQ243" s="29"/>
      <c r="AR243" s="29"/>
    </row>
    <row r="244" spans="1:44" ht="19.5" customHeight="1">
      <c r="A244" s="4"/>
      <c r="B244" s="4"/>
      <c r="C244" s="4"/>
      <c r="D244" s="4"/>
      <c r="E244" s="4"/>
      <c r="O244" s="4"/>
      <c r="P244" s="4"/>
      <c r="Q244" s="4"/>
      <c r="R244" s="4"/>
      <c r="S244" s="4"/>
      <c r="T244" s="4"/>
      <c r="U244" s="4"/>
      <c r="W244" s="27" t="s">
        <v>925</v>
      </c>
      <c r="Y244" s="301">
        <v>19</v>
      </c>
      <c r="Z244" s="301"/>
      <c r="AA244" s="27" t="s">
        <v>241</v>
      </c>
      <c r="AC244" s="330">
        <v>125</v>
      </c>
      <c r="AD244" s="330"/>
      <c r="AE244" s="27" t="s">
        <v>242</v>
      </c>
      <c r="AG244" s="27" t="s">
        <v>243</v>
      </c>
      <c r="AH244" s="27"/>
      <c r="AI244" s="237">
        <f>IF(Y244=13,126.7,IF(Y244=16,198.6,IF(Y244=19,286.5,IF(Y244=22,387.1,IF(Y244=25,506.7,IF(Y244=29,642.4,"ERROR"))))))*1000/AC244</f>
        <v>2292</v>
      </c>
      <c r="AJ244" s="237"/>
      <c r="AK244" s="237"/>
      <c r="AL244" s="27" t="s">
        <v>244</v>
      </c>
      <c r="AM244" s="27"/>
      <c r="AN244" s="27"/>
      <c r="AO244" s="27"/>
      <c r="AP244" s="27"/>
      <c r="AQ244" s="29"/>
      <c r="AR244" s="29"/>
    </row>
    <row r="245" spans="1:44" ht="19.5" customHeight="1">
      <c r="A245" s="4"/>
      <c r="B245" s="4"/>
      <c r="C245" s="4"/>
      <c r="D245" s="4"/>
      <c r="E245" s="4"/>
      <c r="O245" s="4"/>
      <c r="P245" s="4"/>
      <c r="Q245" s="4"/>
      <c r="R245" s="4"/>
      <c r="S245" s="4"/>
      <c r="T245" s="4"/>
      <c r="U245" s="4"/>
      <c r="Y245" s="163"/>
      <c r="Z245" s="163"/>
      <c r="AC245" s="35"/>
      <c r="AD245" s="35"/>
      <c r="AH245" s="27"/>
      <c r="AI245" s="44"/>
      <c r="AJ245" s="44"/>
      <c r="AK245" s="44"/>
      <c r="AL245" s="27"/>
      <c r="AM245" s="27"/>
      <c r="AN245" s="27"/>
      <c r="AO245" s="27"/>
      <c r="AP245" s="27"/>
      <c r="AQ245" s="29"/>
      <c r="AR245" s="29"/>
    </row>
    <row r="246" spans="1:39" ht="19.5" customHeight="1">
      <c r="A246" s="4"/>
      <c r="B246" s="4"/>
      <c r="C246" s="4"/>
      <c r="D246" s="4" t="s">
        <v>1342</v>
      </c>
      <c r="E246" s="4"/>
      <c r="F246" s="4"/>
      <c r="G246" s="4"/>
      <c r="H246" s="4"/>
      <c r="I246" s="4"/>
      <c r="J246" s="4"/>
      <c r="K246" s="4" t="s">
        <v>247</v>
      </c>
      <c r="L246" s="4"/>
      <c r="Q246" s="27" t="s">
        <v>157</v>
      </c>
      <c r="R246" s="38">
        <v>100</v>
      </c>
      <c r="S246" s="38"/>
      <c r="T246" s="38"/>
      <c r="U246" s="27" t="s">
        <v>248</v>
      </c>
      <c r="V246" s="38">
        <f>AC240/10</f>
        <v>38</v>
      </c>
      <c r="W246" s="38"/>
      <c r="X246" s="38"/>
      <c r="AG246" s="27" t="s">
        <v>157</v>
      </c>
      <c r="AH246" s="261">
        <f>R246*V246</f>
        <v>3800</v>
      </c>
      <c r="AI246" s="261"/>
      <c r="AJ246" s="261"/>
      <c r="AK246" s="261"/>
      <c r="AL246" s="261"/>
      <c r="AM246" s="29" t="s">
        <v>249</v>
      </c>
    </row>
    <row r="247" spans="1:39" ht="19.5" customHeight="1">
      <c r="A247" s="4"/>
      <c r="B247" s="4"/>
      <c r="C247" s="4"/>
      <c r="D247" s="4" t="s">
        <v>940</v>
      </c>
      <c r="E247" s="4"/>
      <c r="F247" s="4"/>
      <c r="G247" s="4"/>
      <c r="H247" s="4"/>
      <c r="I247" s="4"/>
      <c r="J247" s="4"/>
      <c r="K247" s="4" t="s">
        <v>250</v>
      </c>
      <c r="L247" s="4"/>
      <c r="Q247" s="27" t="s">
        <v>993</v>
      </c>
      <c r="R247" s="38">
        <v>100</v>
      </c>
      <c r="S247" s="38"/>
      <c r="T247" s="38"/>
      <c r="U247" s="27" t="s">
        <v>1353</v>
      </c>
      <c r="V247" s="144">
        <f>V246</f>
        <v>38</v>
      </c>
      <c r="W247" s="144"/>
      <c r="X247" s="144"/>
      <c r="Y247" s="39" t="s">
        <v>251</v>
      </c>
      <c r="AG247" s="27" t="s">
        <v>993</v>
      </c>
      <c r="AH247" s="145">
        <f>R247*V247^3/12</f>
        <v>457266.6666666667</v>
      </c>
      <c r="AI247" s="145"/>
      <c r="AJ247" s="145"/>
      <c r="AK247" s="145"/>
      <c r="AL247" s="145"/>
      <c r="AM247" s="29" t="s">
        <v>252</v>
      </c>
    </row>
    <row r="248" spans="1:39" ht="19.5" customHeight="1">
      <c r="A248" s="4"/>
      <c r="B248" s="4"/>
      <c r="C248" s="4"/>
      <c r="D248" s="4" t="s">
        <v>941</v>
      </c>
      <c r="E248" s="4"/>
      <c r="F248" s="4"/>
      <c r="G248" s="4"/>
      <c r="H248" s="4"/>
      <c r="I248" s="4"/>
      <c r="J248" s="4"/>
      <c r="K248" s="4" t="s">
        <v>253</v>
      </c>
      <c r="L248" s="4"/>
      <c r="AG248" s="27" t="s">
        <v>254</v>
      </c>
      <c r="AH248" s="261">
        <f>AA241/10</f>
        <v>-0.8</v>
      </c>
      <c r="AI248" s="261"/>
      <c r="AJ248" s="261"/>
      <c r="AK248" s="261"/>
      <c r="AL248" s="261"/>
      <c r="AM248" s="29" t="s">
        <v>255</v>
      </c>
    </row>
    <row r="249" spans="1:39" ht="19.5" customHeight="1">
      <c r="A249" s="4"/>
      <c r="B249" s="4"/>
      <c r="C249" s="4"/>
      <c r="D249" s="4" t="s">
        <v>942</v>
      </c>
      <c r="E249" s="4"/>
      <c r="F249" s="4"/>
      <c r="G249" s="4"/>
      <c r="H249" s="4"/>
      <c r="I249" s="4"/>
      <c r="J249" s="4"/>
      <c r="K249" s="4" t="s">
        <v>952</v>
      </c>
      <c r="L249" s="4"/>
      <c r="Q249" s="27" t="s">
        <v>256</v>
      </c>
      <c r="R249" s="38">
        <f>AH247</f>
        <v>457266.6666666667</v>
      </c>
      <c r="S249" s="38"/>
      <c r="T249" s="38"/>
      <c r="U249" s="42"/>
      <c r="V249" s="42"/>
      <c r="W249" s="39" t="s">
        <v>257</v>
      </c>
      <c r="X249" s="27" t="s">
        <v>258</v>
      </c>
      <c r="Y249" s="38">
        <f>-V246</f>
        <v>-38</v>
      </c>
      <c r="Z249" s="38"/>
      <c r="AA249" s="38"/>
      <c r="AB249" s="39" t="s">
        <v>259</v>
      </c>
      <c r="AG249" s="27" t="s">
        <v>256</v>
      </c>
      <c r="AH249" s="145">
        <f>R249/(Y249/2)</f>
        <v>-24066.666666666668</v>
      </c>
      <c r="AI249" s="145"/>
      <c r="AJ249" s="145"/>
      <c r="AK249" s="145"/>
      <c r="AL249" s="145"/>
      <c r="AM249" s="29" t="s">
        <v>260</v>
      </c>
    </row>
    <row r="250" spans="1:39" ht="19.5" customHeight="1">
      <c r="A250" s="4"/>
      <c r="B250" s="4"/>
      <c r="C250" s="4"/>
      <c r="D250" s="4"/>
      <c r="E250" s="4"/>
      <c r="F250" s="4"/>
      <c r="G250" s="4"/>
      <c r="H250" s="4"/>
      <c r="I250" s="4"/>
      <c r="J250" s="4"/>
      <c r="K250" s="4" t="s">
        <v>953</v>
      </c>
      <c r="L250" s="4"/>
      <c r="Q250" s="27" t="s">
        <v>256</v>
      </c>
      <c r="R250" s="38">
        <f>AH247</f>
        <v>457266.6666666667</v>
      </c>
      <c r="S250" s="38"/>
      <c r="T250" s="38"/>
      <c r="U250" s="42"/>
      <c r="V250" s="42"/>
      <c r="W250" s="39" t="s">
        <v>257</v>
      </c>
      <c r="X250" s="27" t="s">
        <v>258</v>
      </c>
      <c r="Y250" s="38">
        <f>V246</f>
        <v>38</v>
      </c>
      <c r="Z250" s="38"/>
      <c r="AA250" s="38"/>
      <c r="AB250" s="39" t="s">
        <v>259</v>
      </c>
      <c r="AG250" s="27" t="s">
        <v>256</v>
      </c>
      <c r="AH250" s="145">
        <f>R250/(Y250/2)</f>
        <v>24066.666666666668</v>
      </c>
      <c r="AI250" s="145"/>
      <c r="AJ250" s="145"/>
      <c r="AK250" s="145"/>
      <c r="AL250" s="145"/>
      <c r="AM250" s="29" t="s">
        <v>260</v>
      </c>
    </row>
    <row r="251" spans="1:39" ht="19.5" customHeight="1">
      <c r="A251" s="4"/>
      <c r="B251" s="4"/>
      <c r="C251" s="4"/>
      <c r="D251" s="4"/>
      <c r="E251" s="4"/>
      <c r="F251" s="4"/>
      <c r="G251" s="4"/>
      <c r="H251" s="4"/>
      <c r="I251" s="4"/>
      <c r="J251" s="4"/>
      <c r="K251" s="4" t="s">
        <v>954</v>
      </c>
      <c r="L251" s="4"/>
      <c r="Q251" s="27" t="s">
        <v>256</v>
      </c>
      <c r="R251" s="38">
        <f>AH247</f>
        <v>457266.6666666667</v>
      </c>
      <c r="S251" s="38"/>
      <c r="T251" s="38"/>
      <c r="U251" s="42"/>
      <c r="V251" s="42"/>
      <c r="W251" s="39" t="s">
        <v>257</v>
      </c>
      <c r="X251" s="38">
        <f>AH248</f>
        <v>-0.8</v>
      </c>
      <c r="Y251" s="38"/>
      <c r="Z251" s="38"/>
      <c r="AB251" s="39"/>
      <c r="AG251" s="27" t="s">
        <v>256</v>
      </c>
      <c r="AH251" s="145">
        <f>R251/X251</f>
        <v>-571583.3333333334</v>
      </c>
      <c r="AI251" s="145"/>
      <c r="AJ251" s="145"/>
      <c r="AK251" s="145"/>
      <c r="AL251" s="145"/>
      <c r="AM251" s="29" t="s">
        <v>260</v>
      </c>
    </row>
    <row r="252" spans="1:38" ht="19.5" customHeight="1">
      <c r="A252" s="4"/>
      <c r="B252" s="4"/>
      <c r="C252" s="4"/>
      <c r="D252" s="4"/>
      <c r="E252" s="4"/>
      <c r="F252" s="4"/>
      <c r="G252" s="4"/>
      <c r="H252" s="4"/>
      <c r="I252" s="4"/>
      <c r="J252" s="4"/>
      <c r="K252" s="4"/>
      <c r="L252" s="4"/>
      <c r="R252" s="38"/>
      <c r="S252" s="38"/>
      <c r="T252" s="38"/>
      <c r="U252" s="42"/>
      <c r="V252" s="42"/>
      <c r="W252" s="39"/>
      <c r="X252" s="38"/>
      <c r="Y252" s="38"/>
      <c r="Z252" s="38"/>
      <c r="AB252" s="39"/>
      <c r="AH252" s="145"/>
      <c r="AI252" s="145"/>
      <c r="AJ252" s="145"/>
      <c r="AK252" s="145"/>
      <c r="AL252" s="145"/>
    </row>
    <row r="253" spans="1:29" ht="19.5" customHeight="1">
      <c r="A253" s="4"/>
      <c r="B253" s="4"/>
      <c r="C253" s="4" t="s">
        <v>943</v>
      </c>
      <c r="E253" s="4"/>
      <c r="G253" s="4"/>
      <c r="H253" s="4"/>
      <c r="I253" s="4"/>
      <c r="J253" s="4"/>
      <c r="K253" s="4"/>
      <c r="L253" s="4"/>
      <c r="Q253" s="39"/>
      <c r="AC253" s="107"/>
    </row>
    <row r="254" spans="2:44" ht="19.5" customHeight="1">
      <c r="B254" s="4"/>
      <c r="C254" s="4"/>
      <c r="D254" s="4"/>
      <c r="E254" s="27" t="s">
        <v>939</v>
      </c>
      <c r="G254" s="301">
        <v>19</v>
      </c>
      <c r="H254" s="301"/>
      <c r="I254" s="27" t="s">
        <v>241</v>
      </c>
      <c r="K254" s="330">
        <v>125</v>
      </c>
      <c r="L254" s="330"/>
      <c r="M254" s="27" t="s">
        <v>242</v>
      </c>
      <c r="O254" s="4"/>
      <c r="P254" s="4"/>
      <c r="Q254" s="4"/>
      <c r="R254" s="4"/>
      <c r="S254" s="4"/>
      <c r="T254" s="4"/>
      <c r="U254" s="4"/>
      <c r="W254" s="47"/>
      <c r="X254" s="47"/>
      <c r="AE254" s="27" t="s">
        <v>947</v>
      </c>
      <c r="AH254" s="27"/>
      <c r="AN254" s="27"/>
      <c r="AO254" s="27"/>
      <c r="AQ254" s="29"/>
      <c r="AR254" s="36"/>
    </row>
    <row r="255" spans="2:44" ht="19.5" customHeight="1">
      <c r="B255" s="4"/>
      <c r="C255" s="4"/>
      <c r="D255" s="4"/>
      <c r="G255" s="27" t="s">
        <v>261</v>
      </c>
      <c r="I255" s="237">
        <f>IF(G254=13,126.7,IF(G254=16,198.6,IF(G254=19,286.5,IF(G254=22,387.1,IF(G254=25,506.7,IF(G254=29,642.4,"ERROR"))))))*1000/K254</f>
        <v>2292</v>
      </c>
      <c r="J255" s="237"/>
      <c r="K255" s="237"/>
      <c r="L255" s="27" t="s">
        <v>262</v>
      </c>
      <c r="O255" s="79">
        <v>40</v>
      </c>
      <c r="P255" s="4"/>
      <c r="Q255" s="4"/>
      <c r="R255" s="4"/>
      <c r="S255" s="4"/>
      <c r="T255" s="4"/>
      <c r="U255" s="4"/>
      <c r="AA255" s="369">
        <v>198</v>
      </c>
      <c r="AC255" s="300">
        <v>380</v>
      </c>
      <c r="AE255" s="264">
        <f>AE240</f>
        <v>1</v>
      </c>
      <c r="AF255" s="264"/>
      <c r="AG255" s="35" t="s">
        <v>263</v>
      </c>
      <c r="AH255" s="265">
        <f>AH240</f>
        <v>12.7</v>
      </c>
      <c r="AI255" s="265"/>
      <c r="AJ255" s="27" t="s">
        <v>264</v>
      </c>
      <c r="AK255" s="27"/>
      <c r="AL255" s="236">
        <f>AL240</f>
        <v>125</v>
      </c>
      <c r="AM255" s="236"/>
      <c r="AN255" s="27" t="s">
        <v>265</v>
      </c>
      <c r="AO255" s="27"/>
      <c r="AQ255" s="29"/>
      <c r="AR255" s="36"/>
    </row>
    <row r="256" spans="2:43" ht="19.5" customHeight="1">
      <c r="B256" s="4"/>
      <c r="C256" s="4"/>
      <c r="D256" s="4"/>
      <c r="E256" s="4"/>
      <c r="O256" s="79">
        <f>AC255-O255-O257</f>
        <v>300</v>
      </c>
      <c r="P256" s="4"/>
      <c r="Q256" s="4"/>
      <c r="R256" s="4"/>
      <c r="S256" s="4"/>
      <c r="T256" s="4"/>
      <c r="U256" s="4"/>
      <c r="AB256" s="107">
        <f>AC255/2-AA255</f>
        <v>-8</v>
      </c>
      <c r="AC256" s="300"/>
      <c r="AE256" s="27" t="s">
        <v>266</v>
      </c>
      <c r="AG256" s="237">
        <f>AG241</f>
        <v>2503.2</v>
      </c>
      <c r="AH256" s="237"/>
      <c r="AI256" s="237"/>
      <c r="AJ256" s="27" t="s">
        <v>262</v>
      </c>
      <c r="AK256" s="27"/>
      <c r="AL256" s="27"/>
      <c r="AM256" s="27"/>
      <c r="AN256" s="27"/>
      <c r="AO256" s="27"/>
      <c r="AQ256" s="29"/>
    </row>
    <row r="257" spans="2:43" ht="19.5" customHeight="1">
      <c r="B257" s="4"/>
      <c r="C257" s="4"/>
      <c r="D257" s="4"/>
      <c r="E257" s="4"/>
      <c r="O257" s="79">
        <v>40</v>
      </c>
      <c r="P257" s="4"/>
      <c r="Q257" s="4"/>
      <c r="R257" s="4"/>
      <c r="S257" s="4"/>
      <c r="T257" s="4"/>
      <c r="AH257" s="27"/>
      <c r="AI257" s="27"/>
      <c r="AJ257" s="27"/>
      <c r="AK257" s="27"/>
      <c r="AL257" s="27"/>
      <c r="AM257" s="27"/>
      <c r="AN257" s="27"/>
      <c r="AO257" s="27"/>
      <c r="AQ257" s="29"/>
    </row>
    <row r="258" spans="2:44" ht="19.5" customHeight="1">
      <c r="B258" s="4"/>
      <c r="C258" s="4"/>
      <c r="D258" s="4"/>
      <c r="E258" s="4"/>
      <c r="O258" s="4"/>
      <c r="P258" s="4"/>
      <c r="Q258" s="4"/>
      <c r="R258" s="4"/>
      <c r="S258" s="4"/>
      <c r="T258" s="4"/>
      <c r="U258" s="256">
        <v>1000</v>
      </c>
      <c r="V258" s="256"/>
      <c r="W258" s="256"/>
      <c r="AH258" s="27"/>
      <c r="AI258" s="27"/>
      <c r="AJ258" s="27"/>
      <c r="AK258" s="27"/>
      <c r="AL258" s="27"/>
      <c r="AM258" s="27"/>
      <c r="AN258" s="27"/>
      <c r="AO258" s="27"/>
      <c r="AQ258" s="29"/>
      <c r="AR258" s="29"/>
    </row>
    <row r="259" spans="1:44" ht="19.5" customHeight="1">
      <c r="A259" s="4"/>
      <c r="B259" s="4"/>
      <c r="C259" s="4"/>
      <c r="D259" s="4"/>
      <c r="E259" s="4"/>
      <c r="O259" s="4"/>
      <c r="P259" s="4"/>
      <c r="Q259" s="4"/>
      <c r="R259" s="4"/>
      <c r="S259" s="4"/>
      <c r="T259" s="4"/>
      <c r="U259" s="4"/>
      <c r="W259" s="27" t="s">
        <v>939</v>
      </c>
      <c r="Y259" s="301">
        <v>19</v>
      </c>
      <c r="Z259" s="301"/>
      <c r="AA259" s="27" t="s">
        <v>241</v>
      </c>
      <c r="AC259" s="330">
        <v>250</v>
      </c>
      <c r="AD259" s="330"/>
      <c r="AE259" s="27" t="s">
        <v>242</v>
      </c>
      <c r="AG259" s="27" t="s">
        <v>243</v>
      </c>
      <c r="AH259" s="27"/>
      <c r="AI259" s="237">
        <f>IF(Y259=13,126.7,IF(Y259=16,198.6,IF(Y259=19,286.5,IF(Y259=22,387.1,IF(Y259=25,506.7,IF(Y259=29,642.4,"ERROR"))))))*1000/AC259</f>
        <v>1146</v>
      </c>
      <c r="AJ259" s="237"/>
      <c r="AK259" s="237"/>
      <c r="AL259" s="27" t="s">
        <v>244</v>
      </c>
      <c r="AM259" s="27"/>
      <c r="AN259" s="27"/>
      <c r="AO259" s="27"/>
      <c r="AQ259" s="29"/>
      <c r="AR259" s="29"/>
    </row>
    <row r="260" spans="1:44" ht="19.5" customHeight="1">
      <c r="A260" s="4"/>
      <c r="B260" s="4"/>
      <c r="C260" s="4"/>
      <c r="D260" s="4"/>
      <c r="E260" s="4"/>
      <c r="O260" s="4"/>
      <c r="P260" s="4"/>
      <c r="Q260" s="4"/>
      <c r="R260" s="4"/>
      <c r="S260" s="4"/>
      <c r="T260" s="4"/>
      <c r="U260" s="4"/>
      <c r="Y260" s="163"/>
      <c r="Z260" s="163"/>
      <c r="AC260" s="35"/>
      <c r="AD260" s="35"/>
      <c r="AH260" s="27"/>
      <c r="AI260" s="44"/>
      <c r="AJ260" s="44"/>
      <c r="AK260" s="44"/>
      <c r="AL260" s="27"/>
      <c r="AM260" s="27"/>
      <c r="AN260" s="27"/>
      <c r="AO260" s="27"/>
      <c r="AQ260" s="29"/>
      <c r="AR260" s="29"/>
    </row>
    <row r="261" spans="1:39" ht="19.5" customHeight="1">
      <c r="A261" s="4"/>
      <c r="C261" s="4"/>
      <c r="D261" s="4"/>
      <c r="E261" s="4" t="s">
        <v>948</v>
      </c>
      <c r="F261" s="4"/>
      <c r="G261" s="4"/>
      <c r="H261" s="4"/>
      <c r="I261" s="4"/>
      <c r="J261" s="4"/>
      <c r="K261" s="4" t="s">
        <v>267</v>
      </c>
      <c r="L261" s="4"/>
      <c r="Q261" s="27" t="s">
        <v>268</v>
      </c>
      <c r="R261" s="38">
        <v>100</v>
      </c>
      <c r="S261" s="38"/>
      <c r="T261" s="38"/>
      <c r="U261" s="27" t="s">
        <v>269</v>
      </c>
      <c r="V261" s="38">
        <f>AC255/10</f>
        <v>38</v>
      </c>
      <c r="W261" s="38"/>
      <c r="X261" s="38"/>
      <c r="AG261" s="27" t="s">
        <v>268</v>
      </c>
      <c r="AH261" s="261">
        <f>R261*V261</f>
        <v>3800</v>
      </c>
      <c r="AI261" s="261"/>
      <c r="AJ261" s="261"/>
      <c r="AK261" s="261"/>
      <c r="AL261" s="261"/>
      <c r="AM261" s="29" t="s">
        <v>270</v>
      </c>
    </row>
    <row r="262" spans="1:39" ht="19.5" customHeight="1">
      <c r="A262" s="4"/>
      <c r="C262" s="4"/>
      <c r="D262" s="4"/>
      <c r="E262" s="4" t="s">
        <v>940</v>
      </c>
      <c r="F262" s="4"/>
      <c r="G262" s="4"/>
      <c r="H262" s="4"/>
      <c r="I262" s="4"/>
      <c r="J262" s="4"/>
      <c r="K262" s="4" t="s">
        <v>250</v>
      </c>
      <c r="L262" s="4"/>
      <c r="Q262" s="27" t="s">
        <v>993</v>
      </c>
      <c r="R262" s="38">
        <v>100</v>
      </c>
      <c r="S262" s="38"/>
      <c r="T262" s="38"/>
      <c r="U262" s="27" t="s">
        <v>1353</v>
      </c>
      <c r="V262" s="144">
        <f>V261</f>
        <v>38</v>
      </c>
      <c r="W262" s="144"/>
      <c r="X262" s="144"/>
      <c r="Y262" s="39" t="s">
        <v>251</v>
      </c>
      <c r="AG262" s="27" t="s">
        <v>993</v>
      </c>
      <c r="AH262" s="145">
        <f>R262*V262^3/12</f>
        <v>457266.6666666667</v>
      </c>
      <c r="AI262" s="145"/>
      <c r="AJ262" s="145"/>
      <c r="AK262" s="145"/>
      <c r="AL262" s="145"/>
      <c r="AM262" s="29" t="s">
        <v>252</v>
      </c>
    </row>
    <row r="263" spans="1:39" ht="19.5" customHeight="1">
      <c r="A263" s="4"/>
      <c r="C263" s="4"/>
      <c r="D263" s="4"/>
      <c r="E263" s="4" t="s">
        <v>949</v>
      </c>
      <c r="F263" s="4"/>
      <c r="G263" s="4"/>
      <c r="H263" s="4"/>
      <c r="I263" s="4"/>
      <c r="J263" s="4"/>
      <c r="K263" s="4" t="s">
        <v>253</v>
      </c>
      <c r="L263" s="4"/>
      <c r="AG263" s="27" t="s">
        <v>254</v>
      </c>
      <c r="AH263" s="261">
        <f>-AB256/10</f>
        <v>0.8</v>
      </c>
      <c r="AI263" s="261"/>
      <c r="AJ263" s="261"/>
      <c r="AK263" s="261"/>
      <c r="AL263" s="261"/>
      <c r="AM263" s="29" t="s">
        <v>255</v>
      </c>
    </row>
    <row r="264" spans="1:39" ht="19.5" customHeight="1">
      <c r="A264" s="4"/>
      <c r="C264" s="4"/>
      <c r="D264" s="4"/>
      <c r="E264" s="4" t="s">
        <v>942</v>
      </c>
      <c r="F264" s="4"/>
      <c r="G264" s="4"/>
      <c r="H264" s="4"/>
      <c r="I264" s="4"/>
      <c r="J264" s="4"/>
      <c r="K264" s="4" t="s">
        <v>952</v>
      </c>
      <c r="L264" s="4"/>
      <c r="Q264" s="27" t="s">
        <v>256</v>
      </c>
      <c r="R264" s="38">
        <f>AH262</f>
        <v>457266.6666666667</v>
      </c>
      <c r="S264" s="38"/>
      <c r="T264" s="38"/>
      <c r="U264" s="42"/>
      <c r="V264" s="42"/>
      <c r="W264" s="39" t="s">
        <v>257</v>
      </c>
      <c r="X264" s="27" t="s">
        <v>258</v>
      </c>
      <c r="Y264" s="38">
        <f>-V261</f>
        <v>-38</v>
      </c>
      <c r="Z264" s="38"/>
      <c r="AA264" s="38"/>
      <c r="AB264" s="39" t="s">
        <v>259</v>
      </c>
      <c r="AG264" s="27" t="s">
        <v>256</v>
      </c>
      <c r="AH264" s="145">
        <f>R264/(Y264/2)</f>
        <v>-24066.666666666668</v>
      </c>
      <c r="AI264" s="145"/>
      <c r="AJ264" s="145"/>
      <c r="AK264" s="145"/>
      <c r="AL264" s="145"/>
      <c r="AM264" s="29" t="s">
        <v>260</v>
      </c>
    </row>
    <row r="265" spans="1:39" ht="19.5" customHeight="1">
      <c r="A265" s="4"/>
      <c r="B265" s="4"/>
      <c r="C265" s="4"/>
      <c r="D265" s="4"/>
      <c r="E265" s="4"/>
      <c r="F265" s="4"/>
      <c r="G265" s="4"/>
      <c r="H265" s="4"/>
      <c r="I265" s="4"/>
      <c r="J265" s="4"/>
      <c r="K265" s="4" t="s">
        <v>953</v>
      </c>
      <c r="L265" s="4"/>
      <c r="Q265" s="27" t="s">
        <v>256</v>
      </c>
      <c r="R265" s="38">
        <f>AH262</f>
        <v>457266.6666666667</v>
      </c>
      <c r="S265" s="38"/>
      <c r="T265" s="38"/>
      <c r="U265" s="42"/>
      <c r="V265" s="42"/>
      <c r="W265" s="39" t="s">
        <v>257</v>
      </c>
      <c r="X265" s="27" t="s">
        <v>258</v>
      </c>
      <c r="Y265" s="38">
        <f>V261</f>
        <v>38</v>
      </c>
      <c r="Z265" s="38"/>
      <c r="AA265" s="38"/>
      <c r="AB265" s="39" t="s">
        <v>259</v>
      </c>
      <c r="AG265" s="27" t="s">
        <v>256</v>
      </c>
      <c r="AH265" s="145">
        <f>R265/(Y265/2)</f>
        <v>24066.666666666668</v>
      </c>
      <c r="AI265" s="145"/>
      <c r="AJ265" s="145"/>
      <c r="AK265" s="145"/>
      <c r="AL265" s="145"/>
      <c r="AM265" s="29" t="s">
        <v>260</v>
      </c>
    </row>
    <row r="266" spans="1:39" ht="19.5" customHeight="1">
      <c r="A266" s="4"/>
      <c r="B266" s="4"/>
      <c r="C266" s="4"/>
      <c r="D266" s="4"/>
      <c r="E266" s="4"/>
      <c r="F266" s="4"/>
      <c r="G266" s="4"/>
      <c r="H266" s="4"/>
      <c r="I266" s="4"/>
      <c r="J266" s="4"/>
      <c r="K266" s="4" t="s">
        <v>954</v>
      </c>
      <c r="L266" s="4"/>
      <c r="Q266" s="27" t="s">
        <v>256</v>
      </c>
      <c r="R266" s="38">
        <f>AH262</f>
        <v>457266.6666666667</v>
      </c>
      <c r="S266" s="38"/>
      <c r="T266" s="38"/>
      <c r="U266" s="42"/>
      <c r="V266" s="42"/>
      <c r="W266" s="39" t="s">
        <v>257</v>
      </c>
      <c r="X266" s="38">
        <f>AH263</f>
        <v>0.8</v>
      </c>
      <c r="Y266" s="38"/>
      <c r="Z266" s="38"/>
      <c r="AB266" s="39"/>
      <c r="AG266" s="27" t="s">
        <v>256</v>
      </c>
      <c r="AH266" s="145">
        <f>R266/X266</f>
        <v>571583.3333333334</v>
      </c>
      <c r="AI266" s="145"/>
      <c r="AJ266" s="145"/>
      <c r="AK266" s="145"/>
      <c r="AL266" s="145"/>
      <c r="AM266" s="29" t="s">
        <v>260</v>
      </c>
    </row>
    <row r="267" spans="1:12" ht="19.5" customHeight="1">
      <c r="A267" s="4"/>
      <c r="B267" s="4"/>
      <c r="C267" s="4"/>
      <c r="D267" s="4"/>
      <c r="E267" s="4"/>
      <c r="F267" s="4"/>
      <c r="G267" s="4"/>
      <c r="H267" s="4"/>
      <c r="I267" s="4"/>
      <c r="J267" s="4"/>
      <c r="K267" s="4"/>
      <c r="L267" s="4"/>
    </row>
    <row r="268" spans="2:12" ht="19.5" customHeight="1">
      <c r="B268" s="4" t="s">
        <v>950</v>
      </c>
      <c r="C268" s="4"/>
      <c r="D268" s="4"/>
      <c r="E268" s="4"/>
      <c r="F268" s="4"/>
      <c r="G268" s="4"/>
      <c r="H268" s="4"/>
      <c r="I268" s="4"/>
      <c r="J268" s="4"/>
      <c r="K268" s="4"/>
      <c r="L268" s="4"/>
    </row>
    <row r="269" spans="2:30" ht="19.5" customHeight="1">
      <c r="B269" s="4"/>
      <c r="C269" s="4" t="s">
        <v>1064</v>
      </c>
      <c r="D269" s="4"/>
      <c r="E269" s="4"/>
      <c r="F269" s="4"/>
      <c r="G269" s="4"/>
      <c r="H269" s="4"/>
      <c r="I269" s="4"/>
      <c r="J269" s="4"/>
      <c r="K269" s="4"/>
      <c r="L269" s="4"/>
      <c r="AD269" s="27" t="s">
        <v>955</v>
      </c>
    </row>
    <row r="270" spans="2:12" ht="19.5" customHeight="1">
      <c r="B270" s="4"/>
      <c r="C270" s="4" t="s">
        <v>1013</v>
      </c>
      <c r="D270" s="4"/>
      <c r="E270" s="4"/>
      <c r="F270" s="4"/>
      <c r="G270" s="4"/>
      <c r="H270" s="4"/>
      <c r="I270" s="4"/>
      <c r="J270" s="4"/>
      <c r="K270" s="4"/>
      <c r="L270" s="4"/>
    </row>
    <row r="271" spans="1:25" ht="19.5" customHeight="1">
      <c r="A271" s="4"/>
      <c r="C271" s="4"/>
      <c r="D271" s="183" t="s">
        <v>1372</v>
      </c>
      <c r="E271" s="183"/>
      <c r="F271" s="183"/>
      <c r="G271" s="183"/>
      <c r="H271" s="183"/>
      <c r="I271" s="183"/>
      <c r="J271" s="183"/>
      <c r="K271" s="183"/>
      <c r="L271" s="183"/>
      <c r="M271" s="183"/>
      <c r="N271" s="183" t="s">
        <v>1004</v>
      </c>
      <c r="O271" s="183"/>
      <c r="P271" s="183"/>
      <c r="Q271" s="183"/>
      <c r="R271" s="183" t="s">
        <v>1005</v>
      </c>
      <c r="S271" s="183"/>
      <c r="T271" s="183"/>
      <c r="U271" s="183"/>
      <c r="V271" s="183" t="s">
        <v>1006</v>
      </c>
      <c r="W271" s="183"/>
      <c r="X271" s="183"/>
      <c r="Y271" s="183"/>
    </row>
    <row r="272" spans="1:56" ht="19.5" customHeight="1">
      <c r="A272" s="4"/>
      <c r="D272" s="183" t="s">
        <v>1065</v>
      </c>
      <c r="E272" s="183"/>
      <c r="F272" s="183"/>
      <c r="G272" s="183"/>
      <c r="H272" s="183"/>
      <c r="I272" s="183"/>
      <c r="J272" s="204" t="s">
        <v>1008</v>
      </c>
      <c r="K272" s="204"/>
      <c r="L272" s="204"/>
      <c r="M272" s="204"/>
      <c r="N272" s="190">
        <f>T206*1000/$AH$264</f>
        <v>1.0345013850415512</v>
      </c>
      <c r="O272" s="190"/>
      <c r="P272" s="190"/>
      <c r="Q272" s="190"/>
      <c r="R272" s="190">
        <f>X206*1000/$AH$249</f>
        <v>-0.5182271468144044</v>
      </c>
      <c r="S272" s="190"/>
      <c r="T272" s="190"/>
      <c r="U272" s="190"/>
      <c r="V272" s="190">
        <f>AB206*1000/$AH$264</f>
        <v>1.0345013850415512</v>
      </c>
      <c r="W272" s="190"/>
      <c r="X272" s="190"/>
      <c r="Y272" s="190"/>
      <c r="BD272" s="4"/>
    </row>
    <row r="273" spans="1:56" ht="19.5" customHeight="1">
      <c r="A273" s="4"/>
      <c r="D273" s="183"/>
      <c r="E273" s="183"/>
      <c r="F273" s="183"/>
      <c r="G273" s="183"/>
      <c r="H273" s="183"/>
      <c r="I273" s="183"/>
      <c r="J273" s="204" t="s">
        <v>1010</v>
      </c>
      <c r="K273" s="204"/>
      <c r="L273" s="204"/>
      <c r="M273" s="204"/>
      <c r="N273" s="190">
        <f>T206*1000/$AH$265</f>
        <v>-1.0345013850415512</v>
      </c>
      <c r="O273" s="190"/>
      <c r="P273" s="190"/>
      <c r="Q273" s="190"/>
      <c r="R273" s="190">
        <f>X206*1000/$AH$250</f>
        <v>0.5182271468144044</v>
      </c>
      <c r="S273" s="190"/>
      <c r="T273" s="190"/>
      <c r="U273" s="190"/>
      <c r="V273" s="190">
        <f>AB206*1000/$AH$265</f>
        <v>-1.0345013850415512</v>
      </c>
      <c r="W273" s="190"/>
      <c r="X273" s="190"/>
      <c r="Y273" s="190"/>
      <c r="BD273" s="4"/>
    </row>
    <row r="274" spans="1:56" ht="19.5" customHeight="1">
      <c r="A274" s="4"/>
      <c r="D274" s="183"/>
      <c r="E274" s="183"/>
      <c r="F274" s="183"/>
      <c r="G274" s="183"/>
      <c r="H274" s="183"/>
      <c r="I274" s="183"/>
      <c r="J274" s="204" t="s">
        <v>1012</v>
      </c>
      <c r="K274" s="204"/>
      <c r="L274" s="204"/>
      <c r="M274" s="204"/>
      <c r="N274" s="190">
        <f>T206*1000/$AH$266</f>
        <v>-0.0435579530543811</v>
      </c>
      <c r="O274" s="190"/>
      <c r="P274" s="190"/>
      <c r="Q274" s="190"/>
      <c r="R274" s="190">
        <f>X206*1000/$AH$251</f>
        <v>-0.021820090392185448</v>
      </c>
      <c r="S274" s="190"/>
      <c r="T274" s="190"/>
      <c r="U274" s="190"/>
      <c r="V274" s="190">
        <f>AB206*1000/$AH$266</f>
        <v>-0.0435579530543811</v>
      </c>
      <c r="W274" s="190"/>
      <c r="X274" s="190"/>
      <c r="Y274" s="190"/>
      <c r="BD274" s="4"/>
    </row>
    <row r="275" spans="1:56" ht="19.5" customHeight="1">
      <c r="A275" s="4"/>
      <c r="D275" s="183" t="s">
        <v>1007</v>
      </c>
      <c r="E275" s="183"/>
      <c r="F275" s="183"/>
      <c r="G275" s="183"/>
      <c r="H275" s="183"/>
      <c r="I275" s="183"/>
      <c r="J275" s="204" t="s">
        <v>1008</v>
      </c>
      <c r="K275" s="204"/>
      <c r="L275" s="204"/>
      <c r="M275" s="204"/>
      <c r="N275" s="190">
        <f>T207*1000/$AH$264</f>
        <v>0.14933518005540167</v>
      </c>
      <c r="O275" s="190"/>
      <c r="P275" s="190"/>
      <c r="Q275" s="190"/>
      <c r="R275" s="190">
        <f>X207*1000/$AH$249</f>
        <v>-0.10018005540166204</v>
      </c>
      <c r="S275" s="190"/>
      <c r="T275" s="190"/>
      <c r="U275" s="190"/>
      <c r="V275" s="190">
        <f>AB207*1000/$AH$264</f>
        <v>0.14933518005540167</v>
      </c>
      <c r="W275" s="190"/>
      <c r="X275" s="190"/>
      <c r="Y275" s="190"/>
      <c r="BD275" s="4"/>
    </row>
    <row r="276" spans="1:56" ht="19.5" customHeight="1">
      <c r="A276" s="4"/>
      <c r="D276" s="183"/>
      <c r="E276" s="183"/>
      <c r="F276" s="183"/>
      <c r="G276" s="183"/>
      <c r="H276" s="183"/>
      <c r="I276" s="183"/>
      <c r="J276" s="204" t="s">
        <v>1010</v>
      </c>
      <c r="K276" s="204"/>
      <c r="L276" s="204"/>
      <c r="M276" s="204"/>
      <c r="N276" s="190">
        <f>T207*1000/$AH$265</f>
        <v>-0.14933518005540167</v>
      </c>
      <c r="O276" s="190"/>
      <c r="P276" s="190"/>
      <c r="Q276" s="190"/>
      <c r="R276" s="190">
        <f>X207*1000/$AH$250</f>
        <v>0.10018005540166204</v>
      </c>
      <c r="S276" s="190"/>
      <c r="T276" s="190"/>
      <c r="U276" s="190"/>
      <c r="V276" s="190">
        <f>AB207*1000/$AH$265</f>
        <v>-0.14933518005540167</v>
      </c>
      <c r="W276" s="190"/>
      <c r="X276" s="190"/>
      <c r="Y276" s="190"/>
      <c r="BD276" s="4"/>
    </row>
    <row r="277" spans="1:56" ht="19.5" customHeight="1">
      <c r="A277" s="4"/>
      <c r="D277" s="183"/>
      <c r="E277" s="183"/>
      <c r="F277" s="183"/>
      <c r="G277" s="183"/>
      <c r="H277" s="183"/>
      <c r="I277" s="183"/>
      <c r="J277" s="204" t="s">
        <v>1012</v>
      </c>
      <c r="K277" s="204"/>
      <c r="L277" s="204"/>
      <c r="M277" s="204"/>
      <c r="N277" s="190">
        <f>T207*1000/$AH$266</f>
        <v>-0.00628779705496428</v>
      </c>
      <c r="O277" s="190"/>
      <c r="P277" s="190"/>
      <c r="Q277" s="190"/>
      <c r="R277" s="190">
        <f>X207*1000/$AH$251</f>
        <v>-0.004218107595859454</v>
      </c>
      <c r="S277" s="190"/>
      <c r="T277" s="190"/>
      <c r="U277" s="190"/>
      <c r="V277" s="190">
        <f>AB207*1000/$AH$266</f>
        <v>-0.00628779705496428</v>
      </c>
      <c r="W277" s="190"/>
      <c r="X277" s="190"/>
      <c r="Y277" s="190"/>
      <c r="BD277" s="4"/>
    </row>
    <row r="278" spans="1:56" ht="19.5" customHeight="1">
      <c r="A278" s="4"/>
      <c r="D278" s="183" t="s">
        <v>1066</v>
      </c>
      <c r="E278" s="183"/>
      <c r="F278" s="183"/>
      <c r="G278" s="183"/>
      <c r="H278" s="183"/>
      <c r="I278" s="183"/>
      <c r="J278" s="204" t="s">
        <v>1008</v>
      </c>
      <c r="K278" s="204"/>
      <c r="L278" s="204"/>
      <c r="M278" s="204"/>
      <c r="N278" s="190">
        <f>T208*1000/$AH$264</f>
        <v>0.5591551246537396</v>
      </c>
      <c r="O278" s="190"/>
      <c r="P278" s="190"/>
      <c r="Q278" s="190"/>
      <c r="R278" s="190">
        <f>X208*1000/$AH$249</f>
        <v>0</v>
      </c>
      <c r="S278" s="190"/>
      <c r="T278" s="190"/>
      <c r="U278" s="190"/>
      <c r="V278" s="190">
        <f>AB208*1000/$AH$264</f>
        <v>0.5591551246537396</v>
      </c>
      <c r="W278" s="190"/>
      <c r="X278" s="190"/>
      <c r="Y278" s="190"/>
      <c r="BD278" s="4"/>
    </row>
    <row r="279" spans="1:56" ht="19.5" customHeight="1">
      <c r="A279" s="4"/>
      <c r="D279" s="183"/>
      <c r="E279" s="183"/>
      <c r="F279" s="183"/>
      <c r="G279" s="183"/>
      <c r="H279" s="183"/>
      <c r="I279" s="183"/>
      <c r="J279" s="204" t="s">
        <v>1010</v>
      </c>
      <c r="K279" s="204"/>
      <c r="L279" s="204"/>
      <c r="M279" s="204"/>
      <c r="N279" s="190">
        <f>T208*1000/$AH$265</f>
        <v>-0.5591551246537396</v>
      </c>
      <c r="O279" s="190"/>
      <c r="P279" s="190"/>
      <c r="Q279" s="190"/>
      <c r="R279" s="190">
        <f>X208*1000/$AH$250</f>
        <v>0</v>
      </c>
      <c r="S279" s="190"/>
      <c r="T279" s="190"/>
      <c r="U279" s="190"/>
      <c r="V279" s="190">
        <f>AB208*1000/$AH$265</f>
        <v>-0.5591551246537396</v>
      </c>
      <c r="W279" s="190"/>
      <c r="X279" s="190"/>
      <c r="Y279" s="190"/>
      <c r="Z279" s="77"/>
      <c r="AA279" s="77"/>
      <c r="AB279" s="77"/>
      <c r="AC279" s="77"/>
      <c r="AD279" s="77"/>
      <c r="BD279" s="4"/>
    </row>
    <row r="280" spans="1:56" ht="19.5" customHeight="1">
      <c r="A280" s="4"/>
      <c r="D280" s="183"/>
      <c r="E280" s="183"/>
      <c r="F280" s="183"/>
      <c r="G280" s="183"/>
      <c r="H280" s="183"/>
      <c r="I280" s="183"/>
      <c r="J280" s="204" t="s">
        <v>1012</v>
      </c>
      <c r="K280" s="204"/>
      <c r="L280" s="204"/>
      <c r="M280" s="204"/>
      <c r="N280" s="190">
        <f>T208*1000/$AH$266</f>
        <v>-0.02354337366963114</v>
      </c>
      <c r="O280" s="190"/>
      <c r="P280" s="190"/>
      <c r="Q280" s="190"/>
      <c r="R280" s="190">
        <f>X208*1000/$AH$251</f>
        <v>0</v>
      </c>
      <c r="S280" s="190"/>
      <c r="T280" s="190"/>
      <c r="U280" s="190"/>
      <c r="V280" s="190">
        <f>AB208*1000/$AH$266</f>
        <v>-0.02354337366963114</v>
      </c>
      <c r="W280" s="190"/>
      <c r="X280" s="190"/>
      <c r="Y280" s="190"/>
      <c r="Z280" s="77"/>
      <c r="AA280" s="77"/>
      <c r="AB280" s="77"/>
      <c r="AC280" s="77"/>
      <c r="AD280" s="77"/>
      <c r="BD280" s="4"/>
    </row>
    <row r="281" spans="1:25" ht="19.5" customHeight="1">
      <c r="A281" s="4"/>
      <c r="B281" s="4" t="s">
        <v>271</v>
      </c>
      <c r="C281" s="4"/>
      <c r="D281" s="183" t="s">
        <v>1067</v>
      </c>
      <c r="E281" s="183"/>
      <c r="F281" s="183"/>
      <c r="G281" s="183"/>
      <c r="H281" s="183"/>
      <c r="I281" s="183"/>
      <c r="J281" s="204" t="s">
        <v>1008</v>
      </c>
      <c r="K281" s="204"/>
      <c r="L281" s="204"/>
      <c r="M281" s="204"/>
      <c r="N281" s="190">
        <f>N272+N275+N278</f>
        <v>1.7429916897506925</v>
      </c>
      <c r="O281" s="190"/>
      <c r="P281" s="190"/>
      <c r="Q281" s="190"/>
      <c r="R281" s="190">
        <f>R272+R275+R278</f>
        <v>-0.6184072022160665</v>
      </c>
      <c r="S281" s="190"/>
      <c r="T281" s="190"/>
      <c r="U281" s="190"/>
      <c r="V281" s="190">
        <f>V272+V275+V278</f>
        <v>1.7429916897506925</v>
      </c>
      <c r="W281" s="190"/>
      <c r="X281" s="190"/>
      <c r="Y281" s="190"/>
    </row>
    <row r="282" spans="1:25" ht="19.5" customHeight="1">
      <c r="A282" s="4"/>
      <c r="B282" s="4"/>
      <c r="C282" s="4"/>
      <c r="D282" s="183"/>
      <c r="E282" s="183"/>
      <c r="F282" s="183"/>
      <c r="G282" s="183"/>
      <c r="H282" s="183"/>
      <c r="I282" s="183"/>
      <c r="J282" s="204" t="s">
        <v>1010</v>
      </c>
      <c r="K282" s="204"/>
      <c r="L282" s="204"/>
      <c r="M282" s="204"/>
      <c r="N282" s="190">
        <f>N273+N276+N279</f>
        <v>-1.7429916897506925</v>
      </c>
      <c r="O282" s="190"/>
      <c r="P282" s="190"/>
      <c r="Q282" s="190"/>
      <c r="R282" s="190">
        <f>R273+R276+R279</f>
        <v>0.6184072022160665</v>
      </c>
      <c r="S282" s="190"/>
      <c r="T282" s="190"/>
      <c r="U282" s="190"/>
      <c r="V282" s="190">
        <f>V273+V276+V279</f>
        <v>-1.7429916897506925</v>
      </c>
      <c r="W282" s="190"/>
      <c r="X282" s="190"/>
      <c r="Y282" s="190"/>
    </row>
    <row r="283" spans="1:25" ht="19.5" customHeight="1">
      <c r="A283" s="4"/>
      <c r="B283" s="4"/>
      <c r="C283" s="4"/>
      <c r="D283" s="183"/>
      <c r="E283" s="183"/>
      <c r="F283" s="183"/>
      <c r="G283" s="183"/>
      <c r="H283" s="183"/>
      <c r="I283" s="183"/>
      <c r="J283" s="204" t="s">
        <v>1012</v>
      </c>
      <c r="K283" s="204"/>
      <c r="L283" s="204"/>
      <c r="M283" s="204"/>
      <c r="N283" s="190">
        <f>N274+N277+N280</f>
        <v>-0.07338912377897652</v>
      </c>
      <c r="O283" s="190"/>
      <c r="P283" s="190"/>
      <c r="Q283" s="190"/>
      <c r="R283" s="190">
        <f>R274+R277+R280</f>
        <v>-0.026038197988044902</v>
      </c>
      <c r="S283" s="190"/>
      <c r="T283" s="190"/>
      <c r="U283" s="190"/>
      <c r="V283" s="190">
        <f>V274+V277+V280</f>
        <v>-0.07338912377897652</v>
      </c>
      <c r="W283" s="190"/>
      <c r="X283" s="190"/>
      <c r="Y283" s="190"/>
    </row>
    <row r="284" spans="1:25" ht="19.5" customHeight="1">
      <c r="A284" s="4"/>
      <c r="B284" s="4"/>
      <c r="C284" s="4"/>
      <c r="D284" s="4"/>
      <c r="F284" s="4"/>
      <c r="G284" s="4"/>
      <c r="H284" s="4"/>
      <c r="I284" s="4"/>
      <c r="J284" s="4"/>
      <c r="K284" s="4"/>
      <c r="L284" s="4"/>
      <c r="N284" s="146"/>
      <c r="O284" s="146"/>
      <c r="P284" s="146"/>
      <c r="Q284" s="146"/>
      <c r="R284" s="146"/>
      <c r="S284" s="146"/>
      <c r="T284" s="146"/>
      <c r="U284" s="146"/>
      <c r="V284" s="146"/>
      <c r="W284" s="146"/>
      <c r="X284" s="146"/>
      <c r="Y284" s="146"/>
    </row>
    <row r="285" spans="1:44" ht="19.5" customHeight="1">
      <c r="A285" s="4"/>
      <c r="C285" s="4"/>
      <c r="D285" s="183" t="s">
        <v>1068</v>
      </c>
      <c r="E285" s="183"/>
      <c r="F285" s="183"/>
      <c r="G285" s="183"/>
      <c r="H285" s="183"/>
      <c r="I285" s="183"/>
      <c r="J285" s="183"/>
      <c r="K285" s="183"/>
      <c r="L285" s="183"/>
      <c r="M285" s="183"/>
      <c r="N285" s="183" t="s">
        <v>1004</v>
      </c>
      <c r="O285" s="183"/>
      <c r="P285" s="183"/>
      <c r="Q285" s="183"/>
      <c r="R285" s="183" t="s">
        <v>1005</v>
      </c>
      <c r="S285" s="183"/>
      <c r="T285" s="183"/>
      <c r="U285" s="183"/>
      <c r="V285" s="183" t="s">
        <v>1006</v>
      </c>
      <c r="W285" s="183"/>
      <c r="X285" s="183"/>
      <c r="Y285" s="183"/>
      <c r="AR285" s="36"/>
    </row>
    <row r="286" spans="1:56" ht="19.5" customHeight="1">
      <c r="A286" s="4"/>
      <c r="D286" s="183" t="s">
        <v>1065</v>
      </c>
      <c r="E286" s="183"/>
      <c r="F286" s="183"/>
      <c r="G286" s="183"/>
      <c r="H286" s="183"/>
      <c r="I286" s="183"/>
      <c r="J286" s="204" t="s">
        <v>1008</v>
      </c>
      <c r="K286" s="204"/>
      <c r="L286" s="204"/>
      <c r="M286" s="204"/>
      <c r="N286" s="190">
        <f>T221*1000/$AH$264</f>
        <v>1.0345013850415512</v>
      </c>
      <c r="O286" s="190"/>
      <c r="P286" s="190"/>
      <c r="Q286" s="190"/>
      <c r="R286" s="190">
        <f>X221*1000/$AH$249</f>
        <v>-0.45760387811634345</v>
      </c>
      <c r="S286" s="190"/>
      <c r="T286" s="190"/>
      <c r="U286" s="190"/>
      <c r="V286" s="190">
        <f>AB221*1000/$AH$264</f>
        <v>1.0345013850415512</v>
      </c>
      <c r="W286" s="190"/>
      <c r="X286" s="190"/>
      <c r="Y286" s="190"/>
      <c r="BD286" s="4"/>
    </row>
    <row r="287" spans="1:56" ht="19.5" customHeight="1">
      <c r="A287" s="4"/>
      <c r="D287" s="183"/>
      <c r="E287" s="183"/>
      <c r="F287" s="183"/>
      <c r="G287" s="183"/>
      <c r="H287" s="183"/>
      <c r="I287" s="183"/>
      <c r="J287" s="204" t="s">
        <v>1010</v>
      </c>
      <c r="K287" s="204"/>
      <c r="L287" s="204"/>
      <c r="M287" s="204"/>
      <c r="N287" s="190">
        <f>T221*1000/$AH$265</f>
        <v>-1.0345013850415512</v>
      </c>
      <c r="O287" s="190"/>
      <c r="P287" s="190"/>
      <c r="Q287" s="190"/>
      <c r="R287" s="190">
        <f>X221*1000/$AH$250</f>
        <v>0.45760387811634345</v>
      </c>
      <c r="S287" s="190"/>
      <c r="T287" s="190"/>
      <c r="U287" s="190"/>
      <c r="V287" s="190">
        <f>AB221*1000/$AH$265</f>
        <v>-1.0345013850415512</v>
      </c>
      <c r="W287" s="190"/>
      <c r="X287" s="190"/>
      <c r="Y287" s="190"/>
      <c r="BD287" s="4"/>
    </row>
    <row r="288" spans="1:56" ht="19.5" customHeight="1">
      <c r="A288" s="4"/>
      <c r="D288" s="183"/>
      <c r="E288" s="183"/>
      <c r="F288" s="183"/>
      <c r="G288" s="183"/>
      <c r="H288" s="183"/>
      <c r="I288" s="183"/>
      <c r="J288" s="204" t="s">
        <v>1012</v>
      </c>
      <c r="K288" s="204"/>
      <c r="L288" s="204"/>
      <c r="M288" s="204"/>
      <c r="N288" s="190">
        <f>T221*1000/$AH$266</f>
        <v>-0.0435579530543811</v>
      </c>
      <c r="O288" s="190"/>
      <c r="P288" s="190"/>
      <c r="Q288" s="190"/>
      <c r="R288" s="190">
        <f>X221*1000/$AH$251</f>
        <v>-0.01926753171016183</v>
      </c>
      <c r="S288" s="190"/>
      <c r="T288" s="190"/>
      <c r="U288" s="190"/>
      <c r="V288" s="190">
        <f>AB221*1000/$AH$266</f>
        <v>-0.0435579530543811</v>
      </c>
      <c r="W288" s="190"/>
      <c r="X288" s="190"/>
      <c r="Y288" s="190"/>
      <c r="BD288" s="4"/>
    </row>
    <row r="289" spans="1:56" ht="19.5" customHeight="1">
      <c r="A289" s="4"/>
      <c r="D289" s="183" t="s">
        <v>272</v>
      </c>
      <c r="E289" s="183"/>
      <c r="F289" s="183"/>
      <c r="G289" s="183"/>
      <c r="H289" s="183"/>
      <c r="I289" s="183"/>
      <c r="J289" s="204" t="s">
        <v>1008</v>
      </c>
      <c r="K289" s="204"/>
      <c r="L289" s="204"/>
      <c r="M289" s="204"/>
      <c r="N289" s="190">
        <f>T222*1000/$AH$264</f>
        <v>0.14933518005540167</v>
      </c>
      <c r="O289" s="190"/>
      <c r="P289" s="190"/>
      <c r="Q289" s="190"/>
      <c r="R289" s="190">
        <f>X222*1000/$AH$249</f>
        <v>-0.1391551246537396</v>
      </c>
      <c r="S289" s="190"/>
      <c r="T289" s="190"/>
      <c r="U289" s="190"/>
      <c r="V289" s="190">
        <f>AB222*1000/$AH$264</f>
        <v>0.14933518005540167</v>
      </c>
      <c r="W289" s="190"/>
      <c r="X289" s="190"/>
      <c r="Y289" s="190"/>
      <c r="BD289" s="4"/>
    </row>
    <row r="290" spans="1:56" ht="19.5" customHeight="1">
      <c r="A290" s="4"/>
      <c r="D290" s="183"/>
      <c r="E290" s="183"/>
      <c r="F290" s="183"/>
      <c r="G290" s="183"/>
      <c r="H290" s="183"/>
      <c r="I290" s="183"/>
      <c r="J290" s="204" t="s">
        <v>1010</v>
      </c>
      <c r="K290" s="204"/>
      <c r="L290" s="204"/>
      <c r="M290" s="204"/>
      <c r="N290" s="190">
        <f>T222*1000/$AH$265</f>
        <v>-0.14933518005540167</v>
      </c>
      <c r="O290" s="190"/>
      <c r="P290" s="190"/>
      <c r="Q290" s="190"/>
      <c r="R290" s="190">
        <f>X222*1000/$AH$250</f>
        <v>0.1391551246537396</v>
      </c>
      <c r="S290" s="190"/>
      <c r="T290" s="190"/>
      <c r="U290" s="190"/>
      <c r="V290" s="190">
        <f>AB222*1000/$AH$265</f>
        <v>-0.14933518005540167</v>
      </c>
      <c r="W290" s="190"/>
      <c r="X290" s="190"/>
      <c r="Y290" s="190"/>
      <c r="BD290" s="4"/>
    </row>
    <row r="291" spans="1:56" ht="19.5" customHeight="1">
      <c r="A291" s="4"/>
      <c r="D291" s="183"/>
      <c r="E291" s="183"/>
      <c r="F291" s="183"/>
      <c r="G291" s="183"/>
      <c r="H291" s="183"/>
      <c r="I291" s="183"/>
      <c r="J291" s="204" t="s">
        <v>1012</v>
      </c>
      <c r="K291" s="204"/>
      <c r="L291" s="204"/>
      <c r="M291" s="204"/>
      <c r="N291" s="190">
        <f>T222*1000/$AH$266</f>
        <v>-0.00628779705496428</v>
      </c>
      <c r="O291" s="190"/>
      <c r="P291" s="190"/>
      <c r="Q291" s="190"/>
      <c r="R291" s="190">
        <f>X222*1000/$AH$251</f>
        <v>-0.0058591631433153515</v>
      </c>
      <c r="S291" s="190"/>
      <c r="T291" s="190"/>
      <c r="U291" s="190"/>
      <c r="V291" s="190">
        <f>AB222*1000/$AH$266</f>
        <v>-0.00628779705496428</v>
      </c>
      <c r="W291" s="190"/>
      <c r="X291" s="190"/>
      <c r="Y291" s="190"/>
      <c r="BD291" s="4"/>
    </row>
    <row r="292" spans="1:56" ht="19.5" customHeight="1">
      <c r="A292" s="4"/>
      <c r="D292" s="183" t="s">
        <v>273</v>
      </c>
      <c r="E292" s="183"/>
      <c r="F292" s="183"/>
      <c r="G292" s="183"/>
      <c r="H292" s="183"/>
      <c r="I292" s="183"/>
      <c r="J292" s="204" t="s">
        <v>1008</v>
      </c>
      <c r="K292" s="204"/>
      <c r="L292" s="204"/>
      <c r="M292" s="204"/>
      <c r="N292" s="190">
        <f>T223*1000/$AH$264</f>
        <v>0.5591551246537396</v>
      </c>
      <c r="O292" s="190"/>
      <c r="P292" s="190"/>
      <c r="Q292" s="190"/>
      <c r="R292" s="190">
        <f>X223*1000/$AH$249</f>
        <v>0.5591551246537396</v>
      </c>
      <c r="S292" s="190"/>
      <c r="T292" s="190"/>
      <c r="U292" s="190"/>
      <c r="V292" s="190">
        <f>AB223*1000/$AH$264</f>
        <v>0.5591551246537396</v>
      </c>
      <c r="W292" s="190"/>
      <c r="X292" s="190"/>
      <c r="Y292" s="190"/>
      <c r="BD292" s="4"/>
    </row>
    <row r="293" spans="1:56" ht="19.5" customHeight="1">
      <c r="A293" s="4"/>
      <c r="D293" s="183"/>
      <c r="E293" s="183"/>
      <c r="F293" s="183"/>
      <c r="G293" s="183"/>
      <c r="H293" s="183"/>
      <c r="I293" s="183"/>
      <c r="J293" s="204" t="s">
        <v>1010</v>
      </c>
      <c r="K293" s="204"/>
      <c r="L293" s="204"/>
      <c r="M293" s="204"/>
      <c r="N293" s="190">
        <f>T223*1000/$AH$265</f>
        <v>-0.5591551246537396</v>
      </c>
      <c r="O293" s="190"/>
      <c r="P293" s="190"/>
      <c r="Q293" s="190"/>
      <c r="R293" s="190">
        <f>X223*1000/$AH$250</f>
        <v>-0.5591551246537396</v>
      </c>
      <c r="S293" s="190"/>
      <c r="T293" s="190"/>
      <c r="U293" s="190"/>
      <c r="V293" s="190">
        <f>AB223*1000/$AH$265</f>
        <v>-0.5591551246537396</v>
      </c>
      <c r="W293" s="190"/>
      <c r="X293" s="190"/>
      <c r="Y293" s="190"/>
      <c r="Z293" s="77"/>
      <c r="AA293" s="77"/>
      <c r="AB293" s="77"/>
      <c r="AC293" s="77"/>
      <c r="AD293" s="77"/>
      <c r="BD293" s="4"/>
    </row>
    <row r="294" spans="1:56" ht="19.5" customHeight="1">
      <c r="A294" s="4"/>
      <c r="D294" s="183"/>
      <c r="E294" s="183"/>
      <c r="F294" s="183"/>
      <c r="G294" s="183"/>
      <c r="H294" s="183"/>
      <c r="I294" s="183"/>
      <c r="J294" s="204" t="s">
        <v>1012</v>
      </c>
      <c r="K294" s="204"/>
      <c r="L294" s="204"/>
      <c r="M294" s="204"/>
      <c r="N294" s="190">
        <f>T223*1000/$AH$266</f>
        <v>-0.02354337366963114</v>
      </c>
      <c r="O294" s="190"/>
      <c r="P294" s="190"/>
      <c r="Q294" s="190"/>
      <c r="R294" s="190">
        <f>X223*1000/$AH$251</f>
        <v>0.02354337366963114</v>
      </c>
      <c r="S294" s="190"/>
      <c r="T294" s="190"/>
      <c r="U294" s="190"/>
      <c r="V294" s="190">
        <f>AB223*1000/$AH$266</f>
        <v>-0.02354337366963114</v>
      </c>
      <c r="W294" s="190"/>
      <c r="X294" s="190"/>
      <c r="Y294" s="190"/>
      <c r="Z294" s="77"/>
      <c r="AA294" s="77"/>
      <c r="AB294" s="77"/>
      <c r="AC294" s="77"/>
      <c r="AD294" s="77"/>
      <c r="BD294" s="4"/>
    </row>
    <row r="295" spans="1:25" ht="19.5" customHeight="1">
      <c r="A295" s="4"/>
      <c r="B295" s="4" t="s">
        <v>274</v>
      </c>
      <c r="C295" s="4"/>
      <c r="D295" s="183" t="s">
        <v>1067</v>
      </c>
      <c r="E295" s="183"/>
      <c r="F295" s="183"/>
      <c r="G295" s="183"/>
      <c r="H295" s="183"/>
      <c r="I295" s="183"/>
      <c r="J295" s="204" t="s">
        <v>1008</v>
      </c>
      <c r="K295" s="204"/>
      <c r="L295" s="204"/>
      <c r="M295" s="204"/>
      <c r="N295" s="190">
        <f>N286+N289+N292</f>
        <v>1.7429916897506925</v>
      </c>
      <c r="O295" s="190"/>
      <c r="P295" s="190"/>
      <c r="Q295" s="190"/>
      <c r="R295" s="190">
        <f>R286+R289+R292</f>
        <v>-0.03760387811634347</v>
      </c>
      <c r="S295" s="190"/>
      <c r="T295" s="190"/>
      <c r="U295" s="190"/>
      <c r="V295" s="190">
        <f>V286+V289+V292</f>
        <v>1.7429916897506925</v>
      </c>
      <c r="W295" s="190"/>
      <c r="X295" s="190"/>
      <c r="Y295" s="190"/>
    </row>
    <row r="296" spans="1:25" ht="19.5" customHeight="1">
      <c r="A296" s="4"/>
      <c r="B296" s="4"/>
      <c r="C296" s="4"/>
      <c r="D296" s="183"/>
      <c r="E296" s="183"/>
      <c r="F296" s="183"/>
      <c r="G296" s="183"/>
      <c r="H296" s="183"/>
      <c r="I296" s="183"/>
      <c r="J296" s="204" t="s">
        <v>1010</v>
      </c>
      <c r="K296" s="204"/>
      <c r="L296" s="204"/>
      <c r="M296" s="204"/>
      <c r="N296" s="190">
        <f>N287+N290+N293</f>
        <v>-1.7429916897506925</v>
      </c>
      <c r="O296" s="190"/>
      <c r="P296" s="190"/>
      <c r="Q296" s="190"/>
      <c r="R296" s="190">
        <f>R287+R290+R293</f>
        <v>0.03760387811634347</v>
      </c>
      <c r="S296" s="190"/>
      <c r="T296" s="190"/>
      <c r="U296" s="190"/>
      <c r="V296" s="190">
        <f>V287+V290+V293</f>
        <v>-1.7429916897506925</v>
      </c>
      <c r="W296" s="190"/>
      <c r="X296" s="190"/>
      <c r="Y296" s="190"/>
    </row>
    <row r="297" spans="1:25" ht="19.5" customHeight="1">
      <c r="A297" s="4"/>
      <c r="B297" s="4"/>
      <c r="C297" s="4"/>
      <c r="D297" s="183"/>
      <c r="E297" s="183"/>
      <c r="F297" s="183"/>
      <c r="G297" s="183"/>
      <c r="H297" s="183"/>
      <c r="I297" s="183"/>
      <c r="J297" s="204" t="s">
        <v>1012</v>
      </c>
      <c r="K297" s="204"/>
      <c r="L297" s="204"/>
      <c r="M297" s="204"/>
      <c r="N297" s="190">
        <f>N288+N291+N294</f>
        <v>-0.07338912377897652</v>
      </c>
      <c r="O297" s="190"/>
      <c r="P297" s="190"/>
      <c r="Q297" s="190"/>
      <c r="R297" s="190">
        <f>R288+R291+R294</f>
        <v>-0.0015833211838460412</v>
      </c>
      <c r="S297" s="190"/>
      <c r="T297" s="190"/>
      <c r="U297" s="190"/>
      <c r="V297" s="190">
        <f>V288+V291+V294</f>
        <v>-0.07338912377897652</v>
      </c>
      <c r="W297" s="190"/>
      <c r="X297" s="190"/>
      <c r="Y297" s="190"/>
    </row>
    <row r="298" spans="1:12" ht="19.5" customHeight="1">
      <c r="A298" s="4"/>
      <c r="B298" s="4"/>
      <c r="C298" s="4"/>
      <c r="D298" s="4"/>
      <c r="E298" s="4"/>
      <c r="F298" s="4"/>
      <c r="G298" s="4"/>
      <c r="H298" s="4"/>
      <c r="I298" s="4"/>
      <c r="J298" s="4"/>
      <c r="K298" s="4"/>
      <c r="L298" s="4"/>
    </row>
    <row r="299" spans="2:12" ht="19.5" customHeight="1">
      <c r="B299" s="4" t="s">
        <v>1069</v>
      </c>
      <c r="C299" s="4"/>
      <c r="D299" s="4"/>
      <c r="E299" s="4"/>
      <c r="F299" s="4"/>
      <c r="G299" s="4"/>
      <c r="H299" s="4"/>
      <c r="I299" s="4"/>
      <c r="J299" s="4"/>
      <c r="K299" s="4"/>
      <c r="L299" s="4"/>
    </row>
    <row r="300" spans="1:12" ht="19.5" customHeight="1">
      <c r="A300" s="4"/>
      <c r="B300" s="4"/>
      <c r="C300" s="4"/>
      <c r="D300" s="4" t="s">
        <v>1070</v>
      </c>
      <c r="E300" s="4"/>
      <c r="F300" s="4"/>
      <c r="G300" s="4"/>
      <c r="H300" s="4"/>
      <c r="I300" s="4"/>
      <c r="J300" s="4"/>
      <c r="K300" s="4"/>
      <c r="L300" s="4"/>
    </row>
    <row r="301" spans="1:12" ht="19.5" customHeight="1">
      <c r="A301" s="4"/>
      <c r="B301" s="4"/>
      <c r="C301" s="4"/>
      <c r="E301" s="4"/>
      <c r="F301" s="4"/>
      <c r="G301" s="4"/>
      <c r="H301" s="4"/>
      <c r="I301" s="4"/>
      <c r="J301" s="4"/>
      <c r="K301" s="4"/>
      <c r="L301" s="4"/>
    </row>
    <row r="302" spans="1:12" ht="19.5" customHeight="1">
      <c r="A302" s="4"/>
      <c r="B302" s="4"/>
      <c r="C302" s="4"/>
      <c r="D302" s="4"/>
      <c r="E302" s="4"/>
      <c r="F302" s="4"/>
      <c r="G302" s="4"/>
      <c r="H302" s="4"/>
      <c r="I302" s="4"/>
      <c r="J302" s="4"/>
      <c r="K302" s="4"/>
      <c r="L302" s="4"/>
    </row>
    <row r="303" spans="1:12" ht="19.5" customHeight="1">
      <c r="A303" s="4"/>
      <c r="B303" s="4"/>
      <c r="C303" s="4"/>
      <c r="D303" s="4"/>
      <c r="E303" s="4"/>
      <c r="F303" s="4"/>
      <c r="G303" s="4"/>
      <c r="H303" s="4"/>
      <c r="I303" s="4"/>
      <c r="J303" s="4"/>
      <c r="K303" s="4"/>
      <c r="L303" s="4"/>
    </row>
    <row r="304" spans="1:12" ht="19.5" customHeight="1">
      <c r="A304" s="4"/>
      <c r="B304" s="4"/>
      <c r="C304" s="4"/>
      <c r="D304" s="4"/>
      <c r="E304" s="4"/>
      <c r="F304" s="4"/>
      <c r="G304" s="4"/>
      <c r="H304" s="4"/>
      <c r="I304" s="4"/>
      <c r="J304" s="4"/>
      <c r="K304" s="4"/>
      <c r="L304" s="4"/>
    </row>
    <row r="305" spans="1:12" ht="19.5" customHeight="1">
      <c r="A305" s="4"/>
      <c r="B305" s="4"/>
      <c r="C305" s="4"/>
      <c r="D305" s="4"/>
      <c r="E305" s="4"/>
      <c r="F305" s="4"/>
      <c r="G305" s="4"/>
      <c r="H305" s="4"/>
      <c r="I305" s="4"/>
      <c r="J305" s="4"/>
      <c r="K305" s="4"/>
      <c r="L305" s="4"/>
    </row>
    <row r="306" spans="1:12" ht="19.5" customHeight="1">
      <c r="A306" s="4"/>
      <c r="B306" s="4"/>
      <c r="C306" s="4"/>
      <c r="D306" s="4"/>
      <c r="E306" s="4"/>
      <c r="F306" s="4"/>
      <c r="G306" s="4"/>
      <c r="H306" s="4"/>
      <c r="I306" s="4"/>
      <c r="J306" s="4"/>
      <c r="K306" s="4"/>
      <c r="L306" s="4"/>
    </row>
    <row r="307" spans="1:12" ht="19.5" customHeight="1">
      <c r="A307" s="4"/>
      <c r="B307" s="4"/>
      <c r="C307" s="4"/>
      <c r="D307" s="4"/>
      <c r="E307" s="4"/>
      <c r="F307" s="4"/>
      <c r="G307" s="4"/>
      <c r="H307" s="4"/>
      <c r="I307" s="4"/>
      <c r="J307" s="4"/>
      <c r="K307" s="4"/>
      <c r="L307" s="4"/>
    </row>
    <row r="308" spans="1:12" ht="19.5" customHeight="1">
      <c r="A308" s="4"/>
      <c r="B308" s="4"/>
      <c r="C308" s="4"/>
      <c r="D308" s="4"/>
      <c r="E308" s="4"/>
      <c r="F308" s="4"/>
      <c r="G308" s="4"/>
      <c r="H308" s="4"/>
      <c r="I308" s="4"/>
      <c r="J308" s="4"/>
      <c r="K308" s="4"/>
      <c r="L308" s="4"/>
    </row>
    <row r="309" spans="1:12" ht="19.5" customHeight="1">
      <c r="A309" s="4"/>
      <c r="B309" s="4"/>
      <c r="C309" s="4"/>
      <c r="D309" s="4"/>
      <c r="E309" s="4"/>
      <c r="F309" s="4"/>
      <c r="G309" s="4"/>
      <c r="H309" s="4"/>
      <c r="I309" s="4"/>
      <c r="J309" s="4"/>
      <c r="K309" s="4"/>
      <c r="L309" s="4"/>
    </row>
    <row r="310" spans="1:12" ht="19.5" customHeight="1">
      <c r="A310" s="4"/>
      <c r="B310" s="4"/>
      <c r="C310" s="4"/>
      <c r="D310" s="4"/>
      <c r="E310" s="4"/>
      <c r="F310" s="4"/>
      <c r="G310" s="4"/>
      <c r="H310" s="4"/>
      <c r="I310" s="4"/>
      <c r="J310" s="4"/>
      <c r="K310" s="4"/>
      <c r="L310" s="4"/>
    </row>
    <row r="311" spans="1:12" ht="19.5" customHeight="1">
      <c r="A311" s="4"/>
      <c r="B311" s="4"/>
      <c r="C311" s="4"/>
      <c r="D311" s="4"/>
      <c r="E311" s="4"/>
      <c r="F311" s="4"/>
      <c r="G311" s="4"/>
      <c r="H311" s="4"/>
      <c r="I311" s="4"/>
      <c r="J311" s="4"/>
      <c r="K311" s="4"/>
      <c r="L311" s="4"/>
    </row>
    <row r="312" spans="1:12" ht="19.5" customHeight="1">
      <c r="A312" s="4"/>
      <c r="B312" s="4"/>
      <c r="C312" s="4"/>
      <c r="D312" s="4"/>
      <c r="E312" s="4"/>
      <c r="F312" s="4"/>
      <c r="G312" s="4"/>
      <c r="H312" s="4"/>
      <c r="I312" s="4"/>
      <c r="J312" s="4"/>
      <c r="K312" s="4"/>
      <c r="L312" s="4"/>
    </row>
    <row r="313" spans="1:12" ht="19.5" customHeight="1">
      <c r="A313" s="4"/>
      <c r="B313" s="4"/>
      <c r="C313" s="4"/>
      <c r="D313" s="4"/>
      <c r="E313" s="4"/>
      <c r="F313" s="4"/>
      <c r="G313" s="4"/>
      <c r="H313" s="4"/>
      <c r="I313" s="4"/>
      <c r="J313" s="4"/>
      <c r="K313" s="4"/>
      <c r="L313" s="4"/>
    </row>
    <row r="314" spans="1:12" ht="19.5" customHeight="1">
      <c r="A314" s="4"/>
      <c r="C314" s="4" t="s">
        <v>1071</v>
      </c>
      <c r="D314" s="4"/>
      <c r="E314" s="4"/>
      <c r="F314" s="4"/>
      <c r="G314" s="4"/>
      <c r="H314" s="4"/>
      <c r="I314" s="4"/>
      <c r="J314" s="4"/>
      <c r="K314" s="4"/>
      <c r="L314" s="4"/>
    </row>
    <row r="315" spans="1:12" ht="19.5" customHeight="1">
      <c r="A315" s="4"/>
      <c r="B315" s="4"/>
      <c r="D315" s="4" t="s">
        <v>922</v>
      </c>
      <c r="E315" s="4"/>
      <c r="F315" s="4"/>
      <c r="G315" s="4"/>
      <c r="H315" s="4"/>
      <c r="I315" s="4"/>
      <c r="J315" s="4"/>
      <c r="K315" s="4"/>
      <c r="L315" s="4"/>
    </row>
    <row r="316" spans="1:20" ht="19.5" customHeight="1">
      <c r="A316" s="4"/>
      <c r="B316" s="4"/>
      <c r="D316" s="4" t="s">
        <v>877</v>
      </c>
      <c r="E316" s="4" t="s">
        <v>1072</v>
      </c>
      <c r="F316" s="4"/>
      <c r="G316" s="4"/>
      <c r="H316" s="4"/>
      <c r="I316" s="4"/>
      <c r="J316" s="4"/>
      <c r="M316" s="4" t="s">
        <v>275</v>
      </c>
      <c r="N316" s="4"/>
      <c r="P316" s="325">
        <v>1320</v>
      </c>
      <c r="Q316" s="325"/>
      <c r="R316" s="325"/>
      <c r="S316" s="325"/>
      <c r="T316" s="27" t="s">
        <v>276</v>
      </c>
    </row>
    <row r="317" spans="1:44" ht="19.5" customHeight="1">
      <c r="A317" s="4"/>
      <c r="B317" s="4"/>
      <c r="D317" s="4" t="s">
        <v>877</v>
      </c>
      <c r="E317" s="4" t="s">
        <v>1073</v>
      </c>
      <c r="F317" s="4"/>
      <c r="G317" s="4"/>
      <c r="H317" s="4"/>
      <c r="I317" s="4"/>
      <c r="J317" s="4"/>
      <c r="M317" s="235">
        <f>AL240</f>
        <v>125</v>
      </c>
      <c r="N317" s="235"/>
      <c r="O317" s="235"/>
      <c r="P317" s="27" t="s">
        <v>265</v>
      </c>
      <c r="AR317" s="4"/>
    </row>
    <row r="318" spans="1:44" ht="19.5" customHeight="1">
      <c r="A318" s="4"/>
      <c r="B318" s="4"/>
      <c r="D318" s="4"/>
      <c r="E318" s="4"/>
      <c r="F318" s="4"/>
      <c r="G318" s="4"/>
      <c r="H318" s="4"/>
      <c r="I318" s="4"/>
      <c r="J318" s="4"/>
      <c r="M318" s="33"/>
      <c r="N318" s="33"/>
      <c r="O318" s="33"/>
      <c r="AR318" s="4"/>
    </row>
    <row r="319" spans="1:12" ht="19.5" customHeight="1">
      <c r="A319" s="4"/>
      <c r="C319" s="4" t="s">
        <v>1074</v>
      </c>
      <c r="D319" s="4"/>
      <c r="E319" s="4"/>
      <c r="F319" s="4"/>
      <c r="G319" s="4"/>
      <c r="H319" s="4"/>
      <c r="I319" s="4"/>
      <c r="J319" s="4"/>
      <c r="K319" s="4"/>
      <c r="L319" s="4"/>
    </row>
    <row r="320" spans="1:12" ht="19.5" customHeight="1">
      <c r="A320" s="4"/>
      <c r="C320" s="4"/>
      <c r="D320" s="4" t="s">
        <v>1075</v>
      </c>
      <c r="E320" s="4"/>
      <c r="F320" s="4"/>
      <c r="G320" s="4"/>
      <c r="H320" s="4"/>
      <c r="I320" s="4"/>
      <c r="J320" s="4"/>
      <c r="K320" s="4"/>
      <c r="L320" s="4"/>
    </row>
    <row r="321" spans="1:12" ht="19.5" customHeight="1">
      <c r="A321" s="4"/>
      <c r="B321" s="4"/>
      <c r="C321" s="4"/>
      <c r="D321" s="4" t="s">
        <v>989</v>
      </c>
      <c r="E321" s="4"/>
      <c r="F321" s="4"/>
      <c r="G321" s="4"/>
      <c r="H321" s="4" t="s">
        <v>277</v>
      </c>
      <c r="I321" s="4"/>
      <c r="J321" s="4"/>
      <c r="K321" s="4" t="s">
        <v>278</v>
      </c>
      <c r="L321" s="4"/>
    </row>
    <row r="322" spans="1:17" ht="19.5" customHeight="1">
      <c r="A322" s="4"/>
      <c r="B322" s="4"/>
      <c r="C322" s="4"/>
      <c r="D322" s="4" t="s">
        <v>989</v>
      </c>
      <c r="E322" s="4"/>
      <c r="F322" s="4"/>
      <c r="G322" s="4"/>
      <c r="H322" s="4"/>
      <c r="I322" s="4"/>
      <c r="J322" s="4" t="s">
        <v>1354</v>
      </c>
      <c r="K322" s="237">
        <f>P316</f>
        <v>1320</v>
      </c>
      <c r="L322" s="237"/>
      <c r="M322" s="237"/>
      <c r="N322" s="237"/>
      <c r="O322" s="27" t="s">
        <v>279</v>
      </c>
      <c r="P322" s="27" t="s">
        <v>280</v>
      </c>
      <c r="Q322" s="147" t="str">
        <f>"-("&amp;AC329&amp;"×"&amp;ROUND(AC330,3)&amp;" + "&amp;AC327&amp;"×"&amp;ROUND(AC328,3)&amp;")"</f>
        <v>-(0.1×0.188 + 0.003×5.361)</v>
      </c>
    </row>
    <row r="323" spans="1:27" ht="19.5" customHeight="1">
      <c r="A323" s="4"/>
      <c r="B323" s="4"/>
      <c r="C323" s="4"/>
      <c r="D323" s="4" t="s">
        <v>989</v>
      </c>
      <c r="E323" s="4"/>
      <c r="F323" s="4"/>
      <c r="G323" s="4"/>
      <c r="H323" s="4"/>
      <c r="I323" s="4"/>
      <c r="J323" s="4" t="s">
        <v>1354</v>
      </c>
      <c r="K323" s="148">
        <f>AC326*EXP(-(AC329*AC330+AC327*AC328))</f>
        <v>1274.7482862848087</v>
      </c>
      <c r="L323" s="148"/>
      <c r="M323" s="38"/>
      <c r="N323" s="38"/>
      <c r="O323" s="29" t="s">
        <v>281</v>
      </c>
      <c r="R323" s="147"/>
      <c r="S323" s="147"/>
      <c r="T323" s="147"/>
      <c r="U323" s="147"/>
      <c r="V323" s="147"/>
      <c r="W323" s="147"/>
      <c r="X323" s="147"/>
      <c r="Y323" s="147"/>
      <c r="Z323" s="147"/>
      <c r="AA323" s="147"/>
    </row>
    <row r="324" spans="1:27" ht="19.5" customHeight="1">
      <c r="A324" s="4"/>
      <c r="B324" s="4"/>
      <c r="C324" s="4"/>
      <c r="D324" s="4"/>
      <c r="E324" s="4"/>
      <c r="F324" s="4"/>
      <c r="G324" s="4"/>
      <c r="H324" s="4"/>
      <c r="I324" s="4"/>
      <c r="J324" s="4"/>
      <c r="K324" s="148"/>
      <c r="L324" s="148"/>
      <c r="M324" s="38"/>
      <c r="N324" s="38"/>
      <c r="O324" s="29"/>
      <c r="R324" s="147"/>
      <c r="S324" s="147"/>
      <c r="T324" s="147"/>
      <c r="U324" s="147"/>
      <c r="V324" s="147"/>
      <c r="W324" s="147"/>
      <c r="X324" s="147"/>
      <c r="Y324" s="147"/>
      <c r="Z324" s="147"/>
      <c r="AA324" s="147"/>
    </row>
    <row r="325" spans="1:12" ht="19.5" customHeight="1">
      <c r="A325" s="4"/>
      <c r="B325" s="4"/>
      <c r="C325" s="4"/>
      <c r="E325" s="4" t="s">
        <v>282</v>
      </c>
      <c r="G325" s="4"/>
      <c r="H325" s="4" t="s">
        <v>283</v>
      </c>
      <c r="I325" s="4"/>
      <c r="J325" s="4" t="s">
        <v>1076</v>
      </c>
      <c r="L325" s="4"/>
    </row>
    <row r="326" spans="1:55" ht="19.5" customHeight="1">
      <c r="A326" s="4"/>
      <c r="B326" s="4"/>
      <c r="C326" s="4"/>
      <c r="D326" s="4"/>
      <c r="E326" s="4"/>
      <c r="G326" s="4"/>
      <c r="H326" s="4" t="s">
        <v>284</v>
      </c>
      <c r="I326" s="4"/>
      <c r="J326" s="4" t="s">
        <v>1077</v>
      </c>
      <c r="L326" s="4"/>
      <c r="AA326" s="27" t="s">
        <v>1355</v>
      </c>
      <c r="AB326" s="27" t="s">
        <v>993</v>
      </c>
      <c r="AC326" s="237">
        <f>P316</f>
        <v>1320</v>
      </c>
      <c r="AD326" s="237"/>
      <c r="AE326" s="237"/>
      <c r="AF326" s="237"/>
      <c r="AG326" s="29" t="s">
        <v>285</v>
      </c>
      <c r="AR326" s="36"/>
      <c r="BC326" s="29"/>
    </row>
    <row r="327" spans="1:55" ht="19.5" customHeight="1">
      <c r="A327" s="4"/>
      <c r="B327" s="4"/>
      <c r="C327" s="4"/>
      <c r="D327" s="4"/>
      <c r="E327" s="4"/>
      <c r="G327" s="4"/>
      <c r="H327" s="104" t="s">
        <v>286</v>
      </c>
      <c r="I327" s="104"/>
      <c r="J327" s="4" t="s">
        <v>1078</v>
      </c>
      <c r="L327" s="4"/>
      <c r="AA327" s="27" t="s">
        <v>287</v>
      </c>
      <c r="AB327" s="27" t="s">
        <v>1356</v>
      </c>
      <c r="AC327" s="370">
        <v>0.003</v>
      </c>
      <c r="AD327" s="370"/>
      <c r="AE327" s="370"/>
      <c r="AF327" s="370"/>
      <c r="AG327" s="27" t="s">
        <v>288</v>
      </c>
      <c r="BB327" s="29"/>
      <c r="BC327" s="29"/>
    </row>
    <row r="328" spans="1:33" ht="19.5" customHeight="1">
      <c r="A328" s="4"/>
      <c r="B328" s="4"/>
      <c r="C328" s="4"/>
      <c r="D328" s="4"/>
      <c r="E328" s="4"/>
      <c r="G328" s="4"/>
      <c r="H328" s="104" t="s">
        <v>289</v>
      </c>
      <c r="I328" s="104"/>
      <c r="J328" s="4" t="s">
        <v>1128</v>
      </c>
      <c r="L328" s="4"/>
      <c r="AA328" s="27" t="s">
        <v>1357</v>
      </c>
      <c r="AB328" s="27" t="s">
        <v>290</v>
      </c>
      <c r="AC328" s="243">
        <f>K340</f>
        <v>5.361</v>
      </c>
      <c r="AD328" s="243"/>
      <c r="AE328" s="243"/>
      <c r="AF328" s="243"/>
      <c r="AG328" s="27" t="s">
        <v>1110</v>
      </c>
    </row>
    <row r="329" spans="1:33" ht="19.5" customHeight="1">
      <c r="A329" s="4"/>
      <c r="B329" s="4"/>
      <c r="C329" s="4"/>
      <c r="D329" s="4"/>
      <c r="E329" s="4"/>
      <c r="G329" s="4"/>
      <c r="H329" s="104" t="s">
        <v>291</v>
      </c>
      <c r="I329" s="104"/>
      <c r="J329" s="4" t="s">
        <v>1129</v>
      </c>
      <c r="L329" s="4"/>
      <c r="AA329" s="27" t="s">
        <v>287</v>
      </c>
      <c r="AB329" s="27" t="s">
        <v>1356</v>
      </c>
      <c r="AC329" s="327">
        <v>0.1</v>
      </c>
      <c r="AD329" s="327"/>
      <c r="AE329" s="327"/>
      <c r="AF329" s="327"/>
      <c r="AG329" s="27" t="s">
        <v>288</v>
      </c>
    </row>
    <row r="330" spans="1:33" ht="19.5" customHeight="1">
      <c r="A330" s="4"/>
      <c r="B330" s="4"/>
      <c r="C330" s="4"/>
      <c r="D330" s="4"/>
      <c r="E330" s="4"/>
      <c r="G330" s="4"/>
      <c r="H330" s="104" t="s">
        <v>292</v>
      </c>
      <c r="I330" s="104"/>
      <c r="J330" s="4" t="s">
        <v>1130</v>
      </c>
      <c r="L330" s="4"/>
      <c r="AA330" s="27" t="s">
        <v>1358</v>
      </c>
      <c r="AB330" s="27" t="s">
        <v>1350</v>
      </c>
      <c r="AC330" s="243">
        <f>N340</f>
        <v>0.188</v>
      </c>
      <c r="AD330" s="243"/>
      <c r="AE330" s="243"/>
      <c r="AF330" s="243"/>
      <c r="AG330" s="29" t="s">
        <v>1111</v>
      </c>
    </row>
    <row r="331" spans="1:12" ht="19.5" customHeight="1">
      <c r="A331" s="4"/>
      <c r="B331" s="4"/>
      <c r="C331" s="4"/>
      <c r="D331" s="4"/>
      <c r="E331" s="4"/>
      <c r="F331" s="4" t="s">
        <v>1108</v>
      </c>
      <c r="G331" s="4"/>
      <c r="H331" s="4"/>
      <c r="I331" s="4"/>
      <c r="J331" s="4"/>
      <c r="K331" s="4"/>
      <c r="L331" s="4"/>
    </row>
    <row r="332" spans="1:12" ht="19.5" customHeight="1">
      <c r="A332" s="4"/>
      <c r="B332" s="4"/>
      <c r="E332" s="4" t="s">
        <v>1131</v>
      </c>
      <c r="F332" s="4"/>
      <c r="G332" s="4"/>
      <c r="H332" s="4"/>
      <c r="I332" s="4"/>
      <c r="J332" s="4"/>
      <c r="K332" s="4"/>
      <c r="L332" s="4"/>
    </row>
    <row r="333" spans="1:44" ht="19.5" customHeight="1">
      <c r="A333" s="4"/>
      <c r="B333" s="4"/>
      <c r="C333" s="4"/>
      <c r="D333" s="4"/>
      <c r="E333" s="231"/>
      <c r="F333" s="232"/>
      <c r="G333" s="233"/>
      <c r="H333" s="183" t="s">
        <v>1132</v>
      </c>
      <c r="I333" s="183"/>
      <c r="J333" s="183"/>
      <c r="K333" s="183"/>
      <c r="L333" s="183"/>
      <c r="M333" s="183"/>
      <c r="N333" s="183"/>
      <c r="O333" s="183"/>
      <c r="P333" s="183"/>
      <c r="Q333" s="183"/>
      <c r="R333" s="183"/>
      <c r="S333" s="183"/>
      <c r="T333" s="183" t="s">
        <v>1133</v>
      </c>
      <c r="U333" s="183"/>
      <c r="V333" s="183"/>
      <c r="W333" s="183"/>
      <c r="X333" s="183"/>
      <c r="Y333" s="183"/>
      <c r="Z333" s="183"/>
      <c r="AA333" s="183"/>
      <c r="AB333" s="183"/>
      <c r="AC333" s="183"/>
      <c r="AD333" s="183"/>
      <c r="AE333" s="183"/>
      <c r="AF333" s="287" t="s">
        <v>1014</v>
      </c>
      <c r="AG333" s="288"/>
      <c r="AH333" s="288"/>
      <c r="AI333" s="288"/>
      <c r="AJ333" s="289"/>
      <c r="AR333" s="36"/>
    </row>
    <row r="334" spans="1:36" ht="19.5" customHeight="1">
      <c r="A334" s="4"/>
      <c r="B334" s="4"/>
      <c r="C334" s="4"/>
      <c r="D334" s="4"/>
      <c r="E334" s="221" t="s">
        <v>964</v>
      </c>
      <c r="F334" s="222"/>
      <c r="G334" s="223"/>
      <c r="H334" s="183" t="s">
        <v>293</v>
      </c>
      <c r="I334" s="183"/>
      <c r="J334" s="183"/>
      <c r="K334" s="183" t="s">
        <v>294</v>
      </c>
      <c r="L334" s="183"/>
      <c r="M334" s="183"/>
      <c r="N334" s="183" t="s">
        <v>295</v>
      </c>
      <c r="O334" s="183"/>
      <c r="P334" s="183"/>
      <c r="Q334" s="183" t="s">
        <v>296</v>
      </c>
      <c r="R334" s="183"/>
      <c r="S334" s="183"/>
      <c r="T334" s="183" t="s">
        <v>293</v>
      </c>
      <c r="U334" s="183"/>
      <c r="V334" s="183"/>
      <c r="W334" s="183" t="s">
        <v>294</v>
      </c>
      <c r="X334" s="183"/>
      <c r="Y334" s="183"/>
      <c r="Z334" s="183" t="s">
        <v>295</v>
      </c>
      <c r="AA334" s="183"/>
      <c r="AB334" s="183"/>
      <c r="AC334" s="183" t="s">
        <v>296</v>
      </c>
      <c r="AD334" s="183"/>
      <c r="AE334" s="183"/>
      <c r="AF334" s="302"/>
      <c r="AG334" s="303"/>
      <c r="AH334" s="303"/>
      <c r="AI334" s="303"/>
      <c r="AJ334" s="304"/>
    </row>
    <row r="335" spans="1:36" ht="19.5" customHeight="1">
      <c r="A335" s="4"/>
      <c r="B335" s="4"/>
      <c r="C335" s="4"/>
      <c r="D335" s="4"/>
      <c r="E335" s="224"/>
      <c r="F335" s="225"/>
      <c r="G335" s="226"/>
      <c r="H335" s="204" t="s">
        <v>297</v>
      </c>
      <c r="I335" s="204"/>
      <c r="J335" s="204"/>
      <c r="K335" s="204" t="s">
        <v>298</v>
      </c>
      <c r="L335" s="204"/>
      <c r="M335" s="204"/>
      <c r="N335" s="204" t="s">
        <v>299</v>
      </c>
      <c r="O335" s="204"/>
      <c r="P335" s="204"/>
      <c r="Q335" s="204" t="s">
        <v>297</v>
      </c>
      <c r="R335" s="204"/>
      <c r="S335" s="204"/>
      <c r="T335" s="204" t="s">
        <v>297</v>
      </c>
      <c r="U335" s="204"/>
      <c r="V335" s="204"/>
      <c r="W335" s="204" t="s">
        <v>298</v>
      </c>
      <c r="X335" s="204"/>
      <c r="Y335" s="204"/>
      <c r="Z335" s="204" t="s">
        <v>299</v>
      </c>
      <c r="AA335" s="204"/>
      <c r="AB335" s="204"/>
      <c r="AC335" s="204" t="s">
        <v>297</v>
      </c>
      <c r="AD335" s="204"/>
      <c r="AE335" s="204"/>
      <c r="AF335" s="305"/>
      <c r="AG335" s="306"/>
      <c r="AH335" s="306"/>
      <c r="AI335" s="306"/>
      <c r="AJ335" s="307"/>
    </row>
    <row r="336" spans="1:36" ht="19.5" customHeight="1">
      <c r="A336" s="4"/>
      <c r="B336" s="4"/>
      <c r="C336" s="4"/>
      <c r="D336" s="4"/>
      <c r="E336" s="183" t="s">
        <v>1134</v>
      </c>
      <c r="F336" s="183"/>
      <c r="G336" s="183"/>
      <c r="H336" s="213">
        <f aca="true" t="shared" si="1" ref="H336:H344">$AC$326</f>
        <v>1320</v>
      </c>
      <c r="I336" s="213"/>
      <c r="J336" s="213"/>
      <c r="K336" s="342">
        <v>0</v>
      </c>
      <c r="L336" s="343"/>
      <c r="M336" s="344"/>
      <c r="N336" s="342">
        <v>0</v>
      </c>
      <c r="O336" s="343"/>
      <c r="P336" s="344"/>
      <c r="Q336" s="213">
        <f aca="true" t="shared" si="2" ref="Q336:Q344">$AC$326*EXP(-($AC$329*N336+$AC$327*K336))</f>
        <v>1320</v>
      </c>
      <c r="R336" s="213"/>
      <c r="S336" s="213"/>
      <c r="T336" s="213">
        <f aca="true" t="shared" si="3" ref="T336:T344">$AC$326</f>
        <v>1320</v>
      </c>
      <c r="U336" s="213"/>
      <c r="V336" s="213"/>
      <c r="W336" s="342">
        <v>10.722</v>
      </c>
      <c r="X336" s="343"/>
      <c r="Y336" s="344"/>
      <c r="Z336" s="342">
        <v>0.376</v>
      </c>
      <c r="AA336" s="343"/>
      <c r="AB336" s="344"/>
      <c r="AC336" s="213">
        <f aca="true" t="shared" si="4" ref="AC336:AC344">$AC$326*EXP(-($AC$329*Z336+$AC$327*W336))</f>
        <v>1231.0478737773155</v>
      </c>
      <c r="AD336" s="213"/>
      <c r="AE336" s="213"/>
      <c r="AF336" s="204"/>
      <c r="AG336" s="204"/>
      <c r="AH336" s="204"/>
      <c r="AI336" s="204"/>
      <c r="AJ336" s="204"/>
    </row>
    <row r="337" spans="1:36" ht="19.5" customHeight="1">
      <c r="A337" s="4"/>
      <c r="B337" s="4"/>
      <c r="C337" s="4"/>
      <c r="D337" s="4"/>
      <c r="E337" s="204" t="s">
        <v>300</v>
      </c>
      <c r="F337" s="204"/>
      <c r="G337" s="204"/>
      <c r="H337" s="213">
        <f t="shared" si="1"/>
        <v>1320</v>
      </c>
      <c r="I337" s="213"/>
      <c r="J337" s="213"/>
      <c r="K337" s="371">
        <v>2.601</v>
      </c>
      <c r="L337" s="372"/>
      <c r="M337" s="373"/>
      <c r="N337" s="371">
        <v>0</v>
      </c>
      <c r="O337" s="372"/>
      <c r="P337" s="373"/>
      <c r="Q337" s="213">
        <f t="shared" si="2"/>
        <v>1309.7401209755687</v>
      </c>
      <c r="R337" s="213"/>
      <c r="S337" s="213"/>
      <c r="T337" s="213">
        <f t="shared" si="3"/>
        <v>1320</v>
      </c>
      <c r="U337" s="213"/>
      <c r="V337" s="213"/>
      <c r="W337" s="371">
        <v>8.121</v>
      </c>
      <c r="X337" s="372"/>
      <c r="Y337" s="373"/>
      <c r="Z337" s="371">
        <v>0.376</v>
      </c>
      <c r="AA337" s="372"/>
      <c r="AB337" s="373"/>
      <c r="AC337" s="213">
        <f t="shared" si="4"/>
        <v>1240.6913152936606</v>
      </c>
      <c r="AD337" s="213"/>
      <c r="AE337" s="213"/>
      <c r="AF337" s="204"/>
      <c r="AG337" s="204"/>
      <c r="AH337" s="204"/>
      <c r="AI337" s="204"/>
      <c r="AJ337" s="204"/>
    </row>
    <row r="338" spans="1:36" ht="19.5" customHeight="1">
      <c r="A338" s="4"/>
      <c r="B338" s="4"/>
      <c r="C338" s="4"/>
      <c r="D338" s="4"/>
      <c r="E338" s="204" t="s">
        <v>301</v>
      </c>
      <c r="F338" s="204"/>
      <c r="G338" s="204"/>
      <c r="H338" s="213">
        <f t="shared" si="1"/>
        <v>1320</v>
      </c>
      <c r="I338" s="213"/>
      <c r="J338" s="213"/>
      <c r="K338" s="371">
        <v>3.518</v>
      </c>
      <c r="L338" s="372"/>
      <c r="M338" s="373"/>
      <c r="N338" s="371">
        <v>0.106</v>
      </c>
      <c r="O338" s="372"/>
      <c r="P338" s="373"/>
      <c r="Q338" s="213">
        <f t="shared" si="2"/>
        <v>1292.3699929270658</v>
      </c>
      <c r="R338" s="213"/>
      <c r="S338" s="213"/>
      <c r="T338" s="213">
        <f t="shared" si="3"/>
        <v>1320</v>
      </c>
      <c r="U338" s="213"/>
      <c r="V338" s="213"/>
      <c r="W338" s="371">
        <v>7.204</v>
      </c>
      <c r="X338" s="372"/>
      <c r="Y338" s="373"/>
      <c r="Z338" s="371">
        <v>0.27</v>
      </c>
      <c r="AA338" s="372"/>
      <c r="AB338" s="373"/>
      <c r="AC338" s="213">
        <f t="shared" si="4"/>
        <v>1257.3668549094527</v>
      </c>
      <c r="AD338" s="213"/>
      <c r="AE338" s="213"/>
      <c r="AF338" s="204"/>
      <c r="AG338" s="204"/>
      <c r="AH338" s="204"/>
      <c r="AI338" s="204"/>
      <c r="AJ338" s="204"/>
    </row>
    <row r="339" spans="1:36" ht="19.5" customHeight="1">
      <c r="A339" s="4"/>
      <c r="B339" s="4"/>
      <c r="C339" s="4"/>
      <c r="D339" s="4"/>
      <c r="E339" s="204" t="s">
        <v>302</v>
      </c>
      <c r="F339" s="204"/>
      <c r="G339" s="204"/>
      <c r="H339" s="213">
        <f t="shared" si="1"/>
        <v>1320</v>
      </c>
      <c r="I339" s="213"/>
      <c r="J339" s="213"/>
      <c r="K339" s="371">
        <v>4.743</v>
      </c>
      <c r="L339" s="372"/>
      <c r="M339" s="373"/>
      <c r="N339" s="371">
        <v>0.188</v>
      </c>
      <c r="O339" s="372"/>
      <c r="P339" s="373"/>
      <c r="Q339" s="213">
        <f t="shared" si="2"/>
        <v>1277.113861818498</v>
      </c>
      <c r="R339" s="213"/>
      <c r="S339" s="213"/>
      <c r="T339" s="213">
        <f t="shared" si="3"/>
        <v>1320</v>
      </c>
      <c r="U339" s="213"/>
      <c r="V339" s="213"/>
      <c r="W339" s="371">
        <v>5.979</v>
      </c>
      <c r="X339" s="372"/>
      <c r="Y339" s="373"/>
      <c r="Z339" s="371">
        <v>0.188</v>
      </c>
      <c r="AA339" s="372"/>
      <c r="AB339" s="373"/>
      <c r="AC339" s="213">
        <f t="shared" si="4"/>
        <v>1272.387092465055</v>
      </c>
      <c r="AD339" s="213"/>
      <c r="AE339" s="213"/>
      <c r="AF339" s="204"/>
      <c r="AG339" s="204"/>
      <c r="AH339" s="204"/>
      <c r="AI339" s="204"/>
      <c r="AJ339" s="204"/>
    </row>
    <row r="340" spans="1:36" ht="19.5" customHeight="1">
      <c r="A340" s="4"/>
      <c r="B340" s="4"/>
      <c r="C340" s="4"/>
      <c r="D340" s="4"/>
      <c r="E340" s="204" t="s">
        <v>303</v>
      </c>
      <c r="F340" s="204"/>
      <c r="G340" s="204"/>
      <c r="H340" s="213">
        <f t="shared" si="1"/>
        <v>1320</v>
      </c>
      <c r="I340" s="213"/>
      <c r="J340" s="213"/>
      <c r="K340" s="371">
        <v>5.361</v>
      </c>
      <c r="L340" s="372"/>
      <c r="M340" s="373"/>
      <c r="N340" s="371">
        <v>0.188</v>
      </c>
      <c r="O340" s="372"/>
      <c r="P340" s="373"/>
      <c r="Q340" s="213">
        <f t="shared" si="2"/>
        <v>1274.7482862848087</v>
      </c>
      <c r="R340" s="213"/>
      <c r="S340" s="213"/>
      <c r="T340" s="213">
        <f t="shared" si="3"/>
        <v>1320</v>
      </c>
      <c r="U340" s="213"/>
      <c r="V340" s="213"/>
      <c r="W340" s="371">
        <v>5.361</v>
      </c>
      <c r="X340" s="372"/>
      <c r="Y340" s="373"/>
      <c r="Z340" s="371">
        <v>0.188</v>
      </c>
      <c r="AA340" s="372"/>
      <c r="AB340" s="373"/>
      <c r="AC340" s="213">
        <f t="shared" si="4"/>
        <v>1274.7482862848087</v>
      </c>
      <c r="AD340" s="213"/>
      <c r="AE340" s="213"/>
      <c r="AF340" s="204"/>
      <c r="AG340" s="204"/>
      <c r="AH340" s="204"/>
      <c r="AI340" s="204"/>
      <c r="AJ340" s="204"/>
    </row>
    <row r="341" spans="1:36" ht="19.5" customHeight="1">
      <c r="A341" s="4"/>
      <c r="B341" s="4"/>
      <c r="C341" s="4"/>
      <c r="D341" s="4"/>
      <c r="E341" s="204" t="s">
        <v>304</v>
      </c>
      <c r="F341" s="204"/>
      <c r="G341" s="204"/>
      <c r="H341" s="213">
        <f t="shared" si="1"/>
        <v>1320</v>
      </c>
      <c r="I341" s="213"/>
      <c r="J341" s="213"/>
      <c r="K341" s="371">
        <v>5.979</v>
      </c>
      <c r="L341" s="372"/>
      <c r="M341" s="373"/>
      <c r="N341" s="371">
        <v>0.27</v>
      </c>
      <c r="O341" s="372"/>
      <c r="P341" s="373"/>
      <c r="Q341" s="213">
        <f t="shared" si="2"/>
        <v>1261.9961792746074</v>
      </c>
      <c r="R341" s="213"/>
      <c r="S341" s="213"/>
      <c r="T341" s="213">
        <f t="shared" si="3"/>
        <v>1320</v>
      </c>
      <c r="U341" s="213"/>
      <c r="V341" s="213"/>
      <c r="W341" s="371">
        <v>4.743</v>
      </c>
      <c r="X341" s="372"/>
      <c r="Y341" s="373"/>
      <c r="Z341" s="371">
        <v>0.106</v>
      </c>
      <c r="AA341" s="372"/>
      <c r="AB341" s="373"/>
      <c r="AC341" s="213">
        <f t="shared" si="4"/>
        <v>1287.6292496543795</v>
      </c>
      <c r="AD341" s="213"/>
      <c r="AE341" s="213"/>
      <c r="AF341" s="204"/>
      <c r="AG341" s="204"/>
      <c r="AH341" s="204"/>
      <c r="AI341" s="204"/>
      <c r="AJ341" s="204"/>
    </row>
    <row r="342" spans="1:36" ht="19.5" customHeight="1">
      <c r="A342" s="4"/>
      <c r="B342" s="4"/>
      <c r="C342" s="4"/>
      <c r="D342" s="4"/>
      <c r="E342" s="204" t="s">
        <v>305</v>
      </c>
      <c r="F342" s="204"/>
      <c r="G342" s="204"/>
      <c r="H342" s="213">
        <f t="shared" si="1"/>
        <v>1320</v>
      </c>
      <c r="I342" s="213"/>
      <c r="J342" s="213"/>
      <c r="K342" s="371">
        <v>7.204</v>
      </c>
      <c r="L342" s="372"/>
      <c r="M342" s="373"/>
      <c r="N342" s="371">
        <v>0.376</v>
      </c>
      <c r="O342" s="372"/>
      <c r="P342" s="373"/>
      <c r="Q342" s="213">
        <f t="shared" si="2"/>
        <v>1244.1091561866633</v>
      </c>
      <c r="R342" s="213"/>
      <c r="S342" s="213"/>
      <c r="T342" s="213">
        <f t="shared" si="3"/>
        <v>1320</v>
      </c>
      <c r="U342" s="213"/>
      <c r="V342" s="213"/>
      <c r="W342" s="371">
        <v>3.518</v>
      </c>
      <c r="X342" s="372"/>
      <c r="Y342" s="373"/>
      <c r="Z342" s="371">
        <v>0</v>
      </c>
      <c r="AA342" s="372"/>
      <c r="AB342" s="373"/>
      <c r="AC342" s="213">
        <f t="shared" si="4"/>
        <v>1306.1419774184571</v>
      </c>
      <c r="AD342" s="213"/>
      <c r="AE342" s="213"/>
      <c r="AF342" s="204"/>
      <c r="AG342" s="204"/>
      <c r="AH342" s="204"/>
      <c r="AI342" s="204"/>
      <c r="AJ342" s="204"/>
    </row>
    <row r="343" spans="1:36" ht="19.5" customHeight="1">
      <c r="A343" s="4"/>
      <c r="B343" s="4"/>
      <c r="C343" s="4"/>
      <c r="D343" s="4"/>
      <c r="E343" s="204" t="s">
        <v>306</v>
      </c>
      <c r="F343" s="204"/>
      <c r="G343" s="204"/>
      <c r="H343" s="213">
        <f t="shared" si="1"/>
        <v>1320</v>
      </c>
      <c r="I343" s="213"/>
      <c r="J343" s="213"/>
      <c r="K343" s="371">
        <v>8.121</v>
      </c>
      <c r="L343" s="372"/>
      <c r="M343" s="373"/>
      <c r="N343" s="371">
        <v>0.376</v>
      </c>
      <c r="O343" s="372"/>
      <c r="P343" s="373"/>
      <c r="Q343" s="213">
        <f t="shared" si="2"/>
        <v>1240.6913152936606</v>
      </c>
      <c r="R343" s="213"/>
      <c r="S343" s="213"/>
      <c r="T343" s="213">
        <f t="shared" si="3"/>
        <v>1320</v>
      </c>
      <c r="U343" s="213"/>
      <c r="V343" s="213"/>
      <c r="W343" s="371">
        <v>2.601</v>
      </c>
      <c r="X343" s="372"/>
      <c r="Y343" s="373"/>
      <c r="Z343" s="371">
        <v>0</v>
      </c>
      <c r="AA343" s="372"/>
      <c r="AB343" s="373"/>
      <c r="AC343" s="213">
        <f t="shared" si="4"/>
        <v>1309.7401209755687</v>
      </c>
      <c r="AD343" s="213"/>
      <c r="AE343" s="213"/>
      <c r="AF343" s="204"/>
      <c r="AG343" s="204"/>
      <c r="AH343" s="204"/>
      <c r="AI343" s="204"/>
      <c r="AJ343" s="204"/>
    </row>
    <row r="344" spans="1:36" ht="19.5" customHeight="1">
      <c r="A344" s="4"/>
      <c r="B344" s="4"/>
      <c r="C344" s="4"/>
      <c r="D344" s="4"/>
      <c r="E344" s="204" t="s">
        <v>1172</v>
      </c>
      <c r="F344" s="204"/>
      <c r="G344" s="204"/>
      <c r="H344" s="213">
        <f t="shared" si="1"/>
        <v>1320</v>
      </c>
      <c r="I344" s="213"/>
      <c r="J344" s="213"/>
      <c r="K344" s="371">
        <v>10.722</v>
      </c>
      <c r="L344" s="372"/>
      <c r="M344" s="373"/>
      <c r="N344" s="371">
        <v>0.376</v>
      </c>
      <c r="O344" s="372"/>
      <c r="P344" s="373"/>
      <c r="Q344" s="213">
        <f t="shared" si="2"/>
        <v>1231.0478737773155</v>
      </c>
      <c r="R344" s="213"/>
      <c r="S344" s="213"/>
      <c r="T344" s="213">
        <f t="shared" si="3"/>
        <v>1320</v>
      </c>
      <c r="U344" s="213"/>
      <c r="V344" s="213"/>
      <c r="W344" s="371">
        <v>0</v>
      </c>
      <c r="X344" s="372"/>
      <c r="Y344" s="373"/>
      <c r="Z344" s="371">
        <v>0</v>
      </c>
      <c r="AA344" s="372"/>
      <c r="AB344" s="373"/>
      <c r="AC344" s="213">
        <f t="shared" si="4"/>
        <v>1320</v>
      </c>
      <c r="AD344" s="213"/>
      <c r="AE344" s="213"/>
      <c r="AF344" s="204"/>
      <c r="AG344" s="204"/>
      <c r="AH344" s="204"/>
      <c r="AI344" s="204"/>
      <c r="AJ344" s="204"/>
    </row>
    <row r="345" spans="1:12" ht="19.5" customHeight="1">
      <c r="A345" s="4"/>
      <c r="B345" s="4"/>
      <c r="C345" s="4"/>
      <c r="D345" s="4"/>
      <c r="E345" s="33"/>
      <c r="F345" s="33"/>
      <c r="G345" s="33"/>
      <c r="H345" s="4"/>
      <c r="I345" s="4"/>
      <c r="J345" s="4"/>
      <c r="K345" s="4"/>
      <c r="L345" s="4"/>
    </row>
    <row r="346" spans="1:12" ht="19.5" customHeight="1">
      <c r="A346" s="4"/>
      <c r="B346" s="4"/>
      <c r="C346" s="4"/>
      <c r="D346" s="4"/>
      <c r="E346" s="33"/>
      <c r="F346" s="33"/>
      <c r="G346" s="33"/>
      <c r="H346" s="4"/>
      <c r="I346" s="4"/>
      <c r="J346" s="4"/>
      <c r="K346" s="4"/>
      <c r="L346" s="4"/>
    </row>
    <row r="347" spans="1:12" ht="19.5" customHeight="1">
      <c r="A347" s="4"/>
      <c r="B347" s="4"/>
      <c r="C347" s="4"/>
      <c r="D347" s="4"/>
      <c r="E347" s="33"/>
      <c r="F347" s="33"/>
      <c r="G347" s="33"/>
      <c r="H347" s="4"/>
      <c r="I347" s="4"/>
      <c r="J347" s="4"/>
      <c r="K347" s="4"/>
      <c r="L347" s="4"/>
    </row>
    <row r="348" spans="1:12" ht="19.5" customHeight="1">
      <c r="A348" s="4"/>
      <c r="B348" s="4"/>
      <c r="C348" s="4"/>
      <c r="D348" s="4"/>
      <c r="E348" s="33"/>
      <c r="F348" s="33"/>
      <c r="G348" s="33"/>
      <c r="H348" s="4"/>
      <c r="I348" s="4"/>
      <c r="J348" s="4"/>
      <c r="K348" s="4"/>
      <c r="L348" s="4"/>
    </row>
    <row r="349" spans="1:12" ht="19.5" customHeight="1">
      <c r="A349" s="4"/>
      <c r="B349" s="4"/>
      <c r="C349" s="4"/>
      <c r="D349" s="4"/>
      <c r="E349" s="33"/>
      <c r="F349" s="33"/>
      <c r="G349" s="33"/>
      <c r="H349" s="4"/>
      <c r="I349" s="4"/>
      <c r="J349" s="4"/>
      <c r="K349" s="4"/>
      <c r="L349" s="4"/>
    </row>
    <row r="350" spans="1:12" ht="19.5" customHeight="1">
      <c r="A350" s="4"/>
      <c r="B350" s="4"/>
      <c r="C350" s="4"/>
      <c r="D350" s="4"/>
      <c r="E350" s="33"/>
      <c r="F350" s="33"/>
      <c r="G350" s="33"/>
      <c r="H350" s="4"/>
      <c r="I350" s="4"/>
      <c r="J350" s="4"/>
      <c r="K350" s="4"/>
      <c r="L350" s="4"/>
    </row>
    <row r="351" spans="1:12" ht="19.5" customHeight="1">
      <c r="A351" s="4"/>
      <c r="B351" s="4"/>
      <c r="C351" s="4"/>
      <c r="D351" s="4"/>
      <c r="E351" s="33"/>
      <c r="F351" s="33"/>
      <c r="G351" s="33"/>
      <c r="H351" s="4"/>
      <c r="I351" s="4"/>
      <c r="J351" s="4"/>
      <c r="K351" s="4"/>
      <c r="L351" s="4"/>
    </row>
    <row r="352" spans="1:12" ht="19.5" customHeight="1">
      <c r="A352" s="4"/>
      <c r="B352" s="4"/>
      <c r="C352" s="4"/>
      <c r="D352" s="4"/>
      <c r="E352" s="33"/>
      <c r="F352" s="33"/>
      <c r="G352" s="33"/>
      <c r="H352" s="4"/>
      <c r="I352" s="4"/>
      <c r="J352" s="4"/>
      <c r="K352" s="4"/>
      <c r="L352" s="4"/>
    </row>
    <row r="353" spans="1:12" ht="19.5" customHeight="1">
      <c r="A353" s="4"/>
      <c r="B353" s="4"/>
      <c r="D353" s="4" t="s">
        <v>1135</v>
      </c>
      <c r="G353" s="4"/>
      <c r="H353" s="4"/>
      <c r="I353" s="4"/>
      <c r="J353" s="4"/>
      <c r="K353" s="4"/>
      <c r="L353" s="4"/>
    </row>
    <row r="354" spans="1:34" ht="19.5" customHeight="1">
      <c r="A354" s="4"/>
      <c r="B354" s="4"/>
      <c r="C354" s="4"/>
      <c r="D354" s="4"/>
      <c r="E354" s="4"/>
      <c r="F354" s="4"/>
      <c r="H354" s="4" t="s">
        <v>307</v>
      </c>
      <c r="I354" s="4"/>
      <c r="J354" s="4"/>
      <c r="L354" s="4" t="s">
        <v>256</v>
      </c>
      <c r="M354" s="4" t="s">
        <v>308</v>
      </c>
      <c r="AH354" s="27"/>
    </row>
    <row r="355" spans="1:34" ht="19.5" customHeight="1">
      <c r="A355" s="4"/>
      <c r="B355" s="4"/>
      <c r="C355" s="4"/>
      <c r="D355" s="4"/>
      <c r="E355" s="4"/>
      <c r="F355" s="4"/>
      <c r="G355" s="4"/>
      <c r="H355" s="4"/>
      <c r="I355" s="4"/>
      <c r="J355" s="4"/>
      <c r="L355" s="4" t="s">
        <v>256</v>
      </c>
      <c r="M355" s="38">
        <f>W359</f>
        <v>4</v>
      </c>
      <c r="N355" s="38"/>
      <c r="O355" s="27" t="s">
        <v>309</v>
      </c>
      <c r="P355" s="38">
        <v>2</v>
      </c>
      <c r="Q355" s="38"/>
      <c r="R355" s="27" t="s">
        <v>309</v>
      </c>
      <c r="S355" s="39" t="s">
        <v>310</v>
      </c>
      <c r="T355" s="29"/>
      <c r="AH355" s="27"/>
    </row>
    <row r="356" spans="1:34" ht="19.5" customHeight="1">
      <c r="A356" s="4"/>
      <c r="B356" s="4"/>
      <c r="C356" s="4"/>
      <c r="D356" s="4"/>
      <c r="E356" s="4"/>
      <c r="F356" s="4"/>
      <c r="G356" s="4"/>
      <c r="H356" s="4"/>
      <c r="I356" s="4"/>
      <c r="J356" s="4"/>
      <c r="L356" s="4" t="s">
        <v>256</v>
      </c>
      <c r="M356" s="38">
        <f>M355*P355</f>
        <v>8</v>
      </c>
      <c r="N356" s="38"/>
      <c r="O356" s="27" t="s">
        <v>309</v>
      </c>
      <c r="P356" s="39" t="s">
        <v>310</v>
      </c>
      <c r="Q356" s="29"/>
      <c r="R356" s="29" t="s">
        <v>311</v>
      </c>
      <c r="U356" s="39" t="s">
        <v>312</v>
      </c>
      <c r="AH356" s="27"/>
    </row>
    <row r="357" spans="1:34" ht="19.5" customHeight="1">
      <c r="A357" s="4"/>
      <c r="B357" s="4"/>
      <c r="C357" s="4"/>
      <c r="E357" s="4" t="s">
        <v>313</v>
      </c>
      <c r="H357" s="104" t="s">
        <v>314</v>
      </c>
      <c r="I357" s="104"/>
      <c r="J357" s="42"/>
      <c r="L357" s="4" t="s">
        <v>1163</v>
      </c>
      <c r="M357" s="4"/>
      <c r="AH357" s="27"/>
    </row>
    <row r="358" spans="1:30" ht="19.5" customHeight="1">
      <c r="A358" s="4"/>
      <c r="B358" s="4"/>
      <c r="C358" s="4"/>
      <c r="D358" s="4"/>
      <c r="E358" s="4"/>
      <c r="G358" s="4"/>
      <c r="H358" s="104" t="s">
        <v>315</v>
      </c>
      <c r="I358" s="104"/>
      <c r="J358" s="42"/>
      <c r="L358" s="4" t="s">
        <v>1164</v>
      </c>
      <c r="M358" s="4"/>
      <c r="U358" s="27" t="s">
        <v>316</v>
      </c>
      <c r="V358" s="27" t="s">
        <v>317</v>
      </c>
      <c r="W358" s="243">
        <f>K344</f>
        <v>10.722</v>
      </c>
      <c r="X358" s="243"/>
      <c r="Y358" s="243"/>
      <c r="Z358" s="243"/>
      <c r="AA358" s="27" t="s">
        <v>318</v>
      </c>
      <c r="AB358" s="29"/>
      <c r="AC358" s="29"/>
      <c r="AD358" s="29"/>
    </row>
    <row r="359" spans="1:30" ht="19.5" customHeight="1">
      <c r="A359" s="4"/>
      <c r="B359" s="4"/>
      <c r="C359" s="4"/>
      <c r="D359" s="4"/>
      <c r="E359" s="4"/>
      <c r="G359" s="4"/>
      <c r="H359" s="104" t="s">
        <v>1346</v>
      </c>
      <c r="I359" s="104"/>
      <c r="J359" s="42"/>
      <c r="L359" s="4" t="s">
        <v>1165</v>
      </c>
      <c r="M359" s="4"/>
      <c r="U359" s="27" t="s">
        <v>1359</v>
      </c>
      <c r="V359" s="27" t="s">
        <v>1360</v>
      </c>
      <c r="W359" s="325">
        <v>4</v>
      </c>
      <c r="X359" s="326"/>
      <c r="Y359" s="27" t="s">
        <v>319</v>
      </c>
      <c r="AA359" s="29"/>
      <c r="AB359" s="29"/>
      <c r="AC359" s="29"/>
      <c r="AD359" s="29"/>
    </row>
    <row r="360" spans="1:30" ht="19.5" customHeight="1">
      <c r="A360" s="4"/>
      <c r="B360" s="4"/>
      <c r="C360" s="4"/>
      <c r="D360" s="4"/>
      <c r="E360" s="4"/>
      <c r="G360" s="4"/>
      <c r="H360" s="104" t="s">
        <v>1275</v>
      </c>
      <c r="I360" s="104"/>
      <c r="J360" s="42"/>
      <c r="L360" s="4" t="s">
        <v>1166</v>
      </c>
      <c r="M360" s="4"/>
      <c r="U360" s="27" t="s">
        <v>316</v>
      </c>
      <c r="V360" s="27" t="s">
        <v>317</v>
      </c>
      <c r="W360" s="325">
        <v>2</v>
      </c>
      <c r="X360" s="325"/>
      <c r="Y360" s="27" t="s">
        <v>320</v>
      </c>
      <c r="Z360" s="39" t="s">
        <v>321</v>
      </c>
      <c r="AA360" s="29"/>
      <c r="AB360" s="29" t="s">
        <v>322</v>
      </c>
      <c r="AC360" s="29"/>
      <c r="AD360" s="29"/>
    </row>
    <row r="361" spans="1:12" ht="19.5" customHeight="1">
      <c r="A361" s="4"/>
      <c r="B361" s="4"/>
      <c r="C361" s="4"/>
      <c r="D361" s="4"/>
      <c r="E361" s="4"/>
      <c r="F361" s="4" t="s">
        <v>323</v>
      </c>
      <c r="G361" s="4"/>
      <c r="H361" s="4"/>
      <c r="I361" s="4"/>
      <c r="J361" s="4"/>
      <c r="K361" s="4"/>
      <c r="L361" s="4"/>
    </row>
    <row r="362" spans="1:12" ht="19.5" customHeight="1">
      <c r="A362" s="4"/>
      <c r="B362" s="4"/>
      <c r="C362" s="4"/>
      <c r="E362" s="4" t="s">
        <v>1112</v>
      </c>
      <c r="F362" s="4"/>
      <c r="G362" s="4"/>
      <c r="H362" s="4"/>
      <c r="I362" s="4"/>
      <c r="J362" s="4"/>
      <c r="K362" s="4"/>
      <c r="L362" s="4"/>
    </row>
    <row r="363" spans="1:44" ht="19.5" customHeight="1">
      <c r="A363" s="4"/>
      <c r="B363" s="4"/>
      <c r="C363" s="4"/>
      <c r="D363" s="4"/>
      <c r="E363" s="4"/>
      <c r="F363" s="4"/>
      <c r="G363" s="4"/>
      <c r="H363" s="4"/>
      <c r="I363" s="4"/>
      <c r="J363" s="4"/>
      <c r="K363" s="4"/>
      <c r="L363" s="4"/>
      <c r="AR363" s="36"/>
    </row>
    <row r="364" ht="19.5" customHeight="1">
      <c r="AR364" s="36"/>
    </row>
    <row r="365" spans="1:44" ht="19.5" customHeight="1">
      <c r="A365" s="4"/>
      <c r="B365" s="4"/>
      <c r="C365" s="4"/>
      <c r="D365" s="4"/>
      <c r="E365" s="4" t="s">
        <v>324</v>
      </c>
      <c r="F365" s="4"/>
      <c r="G365" s="4"/>
      <c r="H365" s="4"/>
      <c r="I365" s="4"/>
      <c r="J365" s="4"/>
      <c r="K365" s="4"/>
      <c r="L365" s="4"/>
      <c r="AR365" s="36"/>
    </row>
    <row r="366" spans="1:12" ht="19.5" customHeight="1">
      <c r="A366" s="4"/>
      <c r="B366" s="4"/>
      <c r="C366" s="4"/>
      <c r="D366" s="4"/>
      <c r="E366" s="4" t="s">
        <v>324</v>
      </c>
      <c r="F366" s="4"/>
      <c r="G366" s="4"/>
      <c r="H366" s="4"/>
      <c r="I366" s="4"/>
      <c r="J366" s="4"/>
      <c r="K366" s="4"/>
      <c r="L366" s="4"/>
    </row>
    <row r="367" spans="1:12" ht="19.5" customHeight="1">
      <c r="A367" s="4"/>
      <c r="B367" s="4"/>
      <c r="C367" s="4"/>
      <c r="D367" s="4"/>
      <c r="E367" s="4" t="s">
        <v>324</v>
      </c>
      <c r="F367" s="4"/>
      <c r="G367" s="4"/>
      <c r="H367" s="4"/>
      <c r="I367" s="4"/>
      <c r="J367" s="4"/>
      <c r="K367" s="4"/>
      <c r="L367" s="4"/>
    </row>
    <row r="368" spans="1:12" ht="19.5" customHeight="1">
      <c r="A368" s="4"/>
      <c r="B368" s="4"/>
      <c r="C368" s="4"/>
      <c r="D368" s="4"/>
      <c r="E368" s="4" t="s">
        <v>324</v>
      </c>
      <c r="F368" s="4"/>
      <c r="G368" s="4"/>
      <c r="H368" s="4"/>
      <c r="I368" s="4"/>
      <c r="J368" s="4"/>
      <c r="K368" s="4"/>
      <c r="L368" s="4"/>
    </row>
    <row r="369" spans="1:12" ht="19.5" customHeight="1">
      <c r="A369" s="4"/>
      <c r="B369" s="4"/>
      <c r="C369" s="4"/>
      <c r="D369" s="4"/>
      <c r="E369" s="4" t="s">
        <v>324</v>
      </c>
      <c r="F369" s="4"/>
      <c r="G369" s="4"/>
      <c r="H369" s="4"/>
      <c r="I369" s="4"/>
      <c r="J369" s="4"/>
      <c r="K369" s="4"/>
      <c r="L369" s="4"/>
    </row>
    <row r="370" spans="1:12" ht="19.5" customHeight="1">
      <c r="A370" s="4"/>
      <c r="B370" s="4"/>
      <c r="C370" s="4"/>
      <c r="D370" s="4"/>
      <c r="E370" s="4" t="s">
        <v>324</v>
      </c>
      <c r="F370" s="4"/>
      <c r="G370" s="4"/>
      <c r="H370" s="4"/>
      <c r="I370" s="4"/>
      <c r="J370" s="4"/>
      <c r="K370" s="4"/>
      <c r="L370" s="4"/>
    </row>
    <row r="371" spans="1:12" ht="19.5" customHeight="1">
      <c r="A371" s="4"/>
      <c r="B371" s="4"/>
      <c r="C371" s="4"/>
      <c r="D371" s="4"/>
      <c r="E371" s="4" t="s">
        <v>324</v>
      </c>
      <c r="F371" s="4"/>
      <c r="G371" s="4"/>
      <c r="H371" s="4"/>
      <c r="I371" s="4"/>
      <c r="J371" s="4"/>
      <c r="K371" s="4"/>
      <c r="L371" s="4"/>
    </row>
    <row r="372" spans="1:12" ht="19.5" customHeight="1">
      <c r="A372" s="4"/>
      <c r="B372" s="4"/>
      <c r="C372" s="4"/>
      <c r="D372" s="4"/>
      <c r="E372" s="4" t="s">
        <v>324</v>
      </c>
      <c r="F372" s="4"/>
      <c r="G372" s="4"/>
      <c r="H372" s="4"/>
      <c r="I372" s="4"/>
      <c r="J372" s="4"/>
      <c r="K372" s="4"/>
      <c r="L372" s="4"/>
    </row>
    <row r="373" spans="1:12" ht="19.5" customHeight="1">
      <c r="A373" s="4"/>
      <c r="B373" s="4"/>
      <c r="C373" s="4"/>
      <c r="D373" s="4"/>
      <c r="E373" s="4" t="s">
        <v>324</v>
      </c>
      <c r="F373" s="4"/>
      <c r="G373" s="4"/>
      <c r="H373" s="4"/>
      <c r="I373" s="4"/>
      <c r="J373" s="4"/>
      <c r="K373" s="4"/>
      <c r="L373" s="4"/>
    </row>
    <row r="374" spans="1:12" ht="19.5" customHeight="1">
      <c r="A374" s="4"/>
      <c r="B374" s="4"/>
      <c r="C374" s="4"/>
      <c r="D374" s="4"/>
      <c r="E374" s="4" t="s">
        <v>324</v>
      </c>
      <c r="F374" s="4"/>
      <c r="G374" s="4"/>
      <c r="H374" s="4"/>
      <c r="I374" s="4"/>
      <c r="J374" s="4"/>
      <c r="K374" s="4"/>
      <c r="L374" s="4"/>
    </row>
    <row r="375" spans="1:12" ht="19.5" customHeight="1">
      <c r="A375" s="4"/>
      <c r="B375" s="4"/>
      <c r="C375" s="4"/>
      <c r="D375" s="4"/>
      <c r="E375" s="4" t="s">
        <v>324</v>
      </c>
      <c r="F375" s="4"/>
      <c r="G375" s="4"/>
      <c r="H375" s="4"/>
      <c r="I375" s="4"/>
      <c r="J375" s="4"/>
      <c r="K375" s="4"/>
      <c r="L375" s="4"/>
    </row>
    <row r="376" spans="1:12" ht="19.5" customHeight="1">
      <c r="A376" s="4"/>
      <c r="B376" s="4"/>
      <c r="E376" s="4" t="s">
        <v>1113</v>
      </c>
      <c r="F376" s="4"/>
      <c r="G376" s="4"/>
      <c r="H376" s="4"/>
      <c r="I376" s="4"/>
      <c r="J376" s="4"/>
      <c r="K376" s="4"/>
      <c r="L376" s="4"/>
    </row>
    <row r="377" spans="1:25" ht="19.5" customHeight="1">
      <c r="A377" s="4"/>
      <c r="B377" s="4"/>
      <c r="E377" s="4" t="s">
        <v>1167</v>
      </c>
      <c r="F377" s="4"/>
      <c r="G377" s="4"/>
      <c r="H377" s="4"/>
      <c r="I377" s="4"/>
      <c r="J377" s="4"/>
      <c r="K377" s="4"/>
      <c r="L377" s="4"/>
      <c r="Y377" s="27" t="s">
        <v>325</v>
      </c>
    </row>
    <row r="378" spans="1:44" ht="19.5" customHeight="1">
      <c r="A378" s="4"/>
      <c r="B378" s="4"/>
      <c r="C378" s="4"/>
      <c r="D378" s="4"/>
      <c r="E378" s="183"/>
      <c r="F378" s="183"/>
      <c r="G378" s="183"/>
      <c r="H378" s="183" t="s">
        <v>1168</v>
      </c>
      <c r="I378" s="183"/>
      <c r="J378" s="183"/>
      <c r="K378" s="183"/>
      <c r="L378" s="183"/>
      <c r="M378" s="183" t="s">
        <v>1169</v>
      </c>
      <c r="N378" s="183"/>
      <c r="O378" s="183"/>
      <c r="P378" s="183"/>
      <c r="Q378" s="183"/>
      <c r="R378" s="183" t="s">
        <v>1170</v>
      </c>
      <c r="S378" s="183"/>
      <c r="T378" s="183"/>
      <c r="U378" s="183"/>
      <c r="V378" s="183"/>
      <c r="W378" s="204" t="s">
        <v>1171</v>
      </c>
      <c r="X378" s="204"/>
      <c r="Y378" s="204"/>
      <c r="Z378" s="204"/>
      <c r="AA378" s="204"/>
      <c r="AB378" s="204"/>
      <c r="AR378" s="36"/>
    </row>
    <row r="379" spans="1:28" ht="19.5" customHeight="1">
      <c r="A379" s="4"/>
      <c r="B379" s="4"/>
      <c r="C379" s="4"/>
      <c r="D379" s="4"/>
      <c r="E379" s="183" t="s">
        <v>964</v>
      </c>
      <c r="F379" s="183"/>
      <c r="G379" s="183"/>
      <c r="H379" s="183" t="s">
        <v>1276</v>
      </c>
      <c r="I379" s="183"/>
      <c r="J379" s="183"/>
      <c r="K379" s="183"/>
      <c r="L379" s="183"/>
      <c r="M379" s="204" t="s">
        <v>1277</v>
      </c>
      <c r="N379" s="204"/>
      <c r="O379" s="204"/>
      <c r="P379" s="204"/>
      <c r="Q379" s="204"/>
      <c r="R379" s="204" t="s">
        <v>1278</v>
      </c>
      <c r="S379" s="204"/>
      <c r="T379" s="204"/>
      <c r="U379" s="204"/>
      <c r="V379" s="204"/>
      <c r="W379" s="204"/>
      <c r="X379" s="204"/>
      <c r="Y379" s="204"/>
      <c r="Z379" s="204"/>
      <c r="AA379" s="204"/>
      <c r="AB379" s="204"/>
    </row>
    <row r="380" spans="1:28" ht="19.5" customHeight="1">
      <c r="A380" s="4"/>
      <c r="B380" s="4"/>
      <c r="C380" s="4"/>
      <c r="D380" s="4"/>
      <c r="E380" s="183" t="s">
        <v>1177</v>
      </c>
      <c r="F380" s="183"/>
      <c r="G380" s="183"/>
      <c r="H380" s="227">
        <v>1242.6</v>
      </c>
      <c r="I380" s="228"/>
      <c r="J380" s="228"/>
      <c r="K380" s="228"/>
      <c r="L380" s="229"/>
      <c r="M380" s="227">
        <v>1328</v>
      </c>
      <c r="N380" s="228"/>
      <c r="O380" s="228"/>
      <c r="P380" s="228"/>
      <c r="Q380" s="229"/>
      <c r="R380" s="213">
        <f aca="true" t="shared" si="5" ref="R380:R388">(H380+M380)/2</f>
        <v>1285.3</v>
      </c>
      <c r="S380" s="213"/>
      <c r="T380" s="213"/>
      <c r="U380" s="213"/>
      <c r="V380" s="213"/>
      <c r="W380" s="308"/>
      <c r="X380" s="308"/>
      <c r="Y380" s="308"/>
      <c r="Z380" s="308"/>
      <c r="AA380" s="308"/>
      <c r="AB380" s="308"/>
    </row>
    <row r="381" spans="1:28" ht="19.5" customHeight="1">
      <c r="A381" s="4"/>
      <c r="B381" s="4"/>
      <c r="C381" s="4"/>
      <c r="D381" s="4"/>
      <c r="E381" s="204" t="s">
        <v>300</v>
      </c>
      <c r="F381" s="204"/>
      <c r="G381" s="204"/>
      <c r="H381" s="227">
        <v>1253.7</v>
      </c>
      <c r="I381" s="228"/>
      <c r="J381" s="228"/>
      <c r="K381" s="228"/>
      <c r="L381" s="229"/>
      <c r="M381" s="227">
        <v>1328.1</v>
      </c>
      <c r="N381" s="228"/>
      <c r="O381" s="228"/>
      <c r="P381" s="228"/>
      <c r="Q381" s="229"/>
      <c r="R381" s="213">
        <f t="shared" si="5"/>
        <v>1290.9</v>
      </c>
      <c r="S381" s="213"/>
      <c r="T381" s="213"/>
      <c r="U381" s="213"/>
      <c r="V381" s="213"/>
      <c r="W381" s="308"/>
      <c r="X381" s="308"/>
      <c r="Y381" s="308"/>
      <c r="Z381" s="308"/>
      <c r="AA381" s="308"/>
      <c r="AB381" s="308"/>
    </row>
    <row r="382" spans="1:28" ht="19.5" customHeight="1">
      <c r="A382" s="4"/>
      <c r="B382" s="4"/>
      <c r="C382" s="4"/>
      <c r="D382" s="4"/>
      <c r="E382" s="204" t="s">
        <v>301</v>
      </c>
      <c r="F382" s="204"/>
      <c r="G382" s="204"/>
      <c r="H382" s="227">
        <v>1272.4</v>
      </c>
      <c r="I382" s="228"/>
      <c r="J382" s="228"/>
      <c r="K382" s="228"/>
      <c r="L382" s="229"/>
      <c r="M382" s="227">
        <v>1324.4</v>
      </c>
      <c r="N382" s="228"/>
      <c r="O382" s="228"/>
      <c r="P382" s="228"/>
      <c r="Q382" s="229"/>
      <c r="R382" s="213">
        <f t="shared" si="5"/>
        <v>1298.4</v>
      </c>
      <c r="S382" s="213"/>
      <c r="T382" s="213"/>
      <c r="U382" s="213"/>
      <c r="V382" s="213"/>
      <c r="W382" s="308"/>
      <c r="X382" s="308"/>
      <c r="Y382" s="308"/>
      <c r="Z382" s="308"/>
      <c r="AA382" s="308"/>
      <c r="AB382" s="308"/>
    </row>
    <row r="383" spans="1:28" ht="19.5" customHeight="1">
      <c r="A383" s="4"/>
      <c r="B383" s="4"/>
      <c r="C383" s="4"/>
      <c r="D383" s="4"/>
      <c r="E383" s="204" t="s">
        <v>302</v>
      </c>
      <c r="F383" s="204"/>
      <c r="G383" s="204"/>
      <c r="H383" s="227">
        <v>1288.8</v>
      </c>
      <c r="I383" s="228"/>
      <c r="J383" s="228"/>
      <c r="K383" s="228"/>
      <c r="L383" s="229"/>
      <c r="M383" s="227">
        <v>1305.1</v>
      </c>
      <c r="N383" s="228"/>
      <c r="O383" s="228"/>
      <c r="P383" s="228"/>
      <c r="Q383" s="229"/>
      <c r="R383" s="213">
        <f t="shared" si="5"/>
        <v>1296.9499999999998</v>
      </c>
      <c r="S383" s="213"/>
      <c r="T383" s="213"/>
      <c r="U383" s="213"/>
      <c r="V383" s="213"/>
      <c r="W383" s="308"/>
      <c r="X383" s="308"/>
      <c r="Y383" s="308"/>
      <c r="Z383" s="308"/>
      <c r="AA383" s="308"/>
      <c r="AB383" s="308"/>
    </row>
    <row r="384" spans="1:28" ht="19.5" customHeight="1">
      <c r="A384" s="4"/>
      <c r="B384" s="4"/>
      <c r="C384" s="4"/>
      <c r="D384" s="4"/>
      <c r="E384" s="204" t="s">
        <v>303</v>
      </c>
      <c r="F384" s="204"/>
      <c r="G384" s="204"/>
      <c r="H384" s="227">
        <v>1291.4</v>
      </c>
      <c r="I384" s="228"/>
      <c r="J384" s="228"/>
      <c r="K384" s="228"/>
      <c r="L384" s="229"/>
      <c r="M384" s="227">
        <v>1291.4</v>
      </c>
      <c r="N384" s="228"/>
      <c r="O384" s="228"/>
      <c r="P384" s="228"/>
      <c r="Q384" s="229"/>
      <c r="R384" s="213">
        <f t="shared" si="5"/>
        <v>1291.4</v>
      </c>
      <c r="S384" s="213"/>
      <c r="T384" s="213"/>
      <c r="U384" s="213"/>
      <c r="V384" s="213"/>
      <c r="W384" s="308"/>
      <c r="X384" s="308"/>
      <c r="Y384" s="308"/>
      <c r="Z384" s="308"/>
      <c r="AA384" s="308"/>
      <c r="AB384" s="308"/>
    </row>
    <row r="385" spans="1:28" ht="19.5" customHeight="1">
      <c r="A385" s="4"/>
      <c r="B385" s="4"/>
      <c r="C385" s="4"/>
      <c r="D385" s="4"/>
      <c r="E385" s="204" t="s">
        <v>304</v>
      </c>
      <c r="F385" s="204"/>
      <c r="G385" s="204"/>
      <c r="H385" s="227">
        <v>1305.1</v>
      </c>
      <c r="I385" s="228"/>
      <c r="J385" s="228"/>
      <c r="K385" s="228"/>
      <c r="L385" s="229"/>
      <c r="M385" s="227">
        <v>1288.8</v>
      </c>
      <c r="N385" s="228"/>
      <c r="O385" s="228"/>
      <c r="P385" s="228"/>
      <c r="Q385" s="229"/>
      <c r="R385" s="213">
        <f t="shared" si="5"/>
        <v>1296.9499999999998</v>
      </c>
      <c r="S385" s="213"/>
      <c r="T385" s="213"/>
      <c r="U385" s="213"/>
      <c r="V385" s="213"/>
      <c r="W385" s="308"/>
      <c r="X385" s="308"/>
      <c r="Y385" s="308"/>
      <c r="Z385" s="308"/>
      <c r="AA385" s="308"/>
      <c r="AB385" s="308"/>
    </row>
    <row r="386" spans="1:28" ht="19.5" customHeight="1">
      <c r="A386" s="4"/>
      <c r="B386" s="4"/>
      <c r="C386" s="4"/>
      <c r="D386" s="4"/>
      <c r="E386" s="204" t="s">
        <v>305</v>
      </c>
      <c r="F386" s="204"/>
      <c r="G386" s="204"/>
      <c r="H386" s="227">
        <v>1324.4</v>
      </c>
      <c r="I386" s="228"/>
      <c r="J386" s="228"/>
      <c r="K386" s="228"/>
      <c r="L386" s="229"/>
      <c r="M386" s="227">
        <v>1272.4</v>
      </c>
      <c r="N386" s="228"/>
      <c r="O386" s="228"/>
      <c r="P386" s="228"/>
      <c r="Q386" s="229"/>
      <c r="R386" s="213">
        <f t="shared" si="5"/>
        <v>1298.4</v>
      </c>
      <c r="S386" s="213"/>
      <c r="T386" s="213"/>
      <c r="U386" s="213"/>
      <c r="V386" s="213"/>
      <c r="W386" s="308"/>
      <c r="X386" s="308"/>
      <c r="Y386" s="308"/>
      <c r="Z386" s="308"/>
      <c r="AA386" s="308"/>
      <c r="AB386" s="308"/>
    </row>
    <row r="387" spans="1:28" ht="19.5" customHeight="1">
      <c r="A387" s="4"/>
      <c r="B387" s="4"/>
      <c r="C387" s="4"/>
      <c r="D387" s="4"/>
      <c r="E387" s="204" t="s">
        <v>306</v>
      </c>
      <c r="F387" s="204"/>
      <c r="G387" s="204"/>
      <c r="H387" s="227">
        <v>1328.1</v>
      </c>
      <c r="I387" s="228"/>
      <c r="J387" s="228"/>
      <c r="K387" s="228"/>
      <c r="L387" s="229"/>
      <c r="M387" s="227">
        <v>1253.7</v>
      </c>
      <c r="N387" s="228"/>
      <c r="O387" s="228"/>
      <c r="P387" s="228"/>
      <c r="Q387" s="229"/>
      <c r="R387" s="213">
        <f t="shared" si="5"/>
        <v>1290.9</v>
      </c>
      <c r="S387" s="213"/>
      <c r="T387" s="213"/>
      <c r="U387" s="213"/>
      <c r="V387" s="213"/>
      <c r="W387" s="308"/>
      <c r="X387" s="308"/>
      <c r="Y387" s="308"/>
      <c r="Z387" s="308"/>
      <c r="AA387" s="308"/>
      <c r="AB387" s="308"/>
    </row>
    <row r="388" spans="1:28" ht="19.5" customHeight="1">
      <c r="A388" s="4"/>
      <c r="B388" s="4"/>
      <c r="C388" s="4"/>
      <c r="D388" s="4"/>
      <c r="E388" s="204" t="s">
        <v>1172</v>
      </c>
      <c r="F388" s="204"/>
      <c r="G388" s="204"/>
      <c r="H388" s="227">
        <v>1328</v>
      </c>
      <c r="I388" s="228"/>
      <c r="J388" s="228"/>
      <c r="K388" s="228"/>
      <c r="L388" s="229"/>
      <c r="M388" s="227">
        <v>1242.6</v>
      </c>
      <c r="N388" s="228"/>
      <c r="O388" s="228"/>
      <c r="P388" s="228"/>
      <c r="Q388" s="229"/>
      <c r="R388" s="213">
        <f t="shared" si="5"/>
        <v>1285.3</v>
      </c>
      <c r="S388" s="213"/>
      <c r="T388" s="213"/>
      <c r="U388" s="213"/>
      <c r="V388" s="213"/>
      <c r="W388" s="308"/>
      <c r="X388" s="308"/>
      <c r="Y388" s="308"/>
      <c r="Z388" s="308"/>
      <c r="AA388" s="308"/>
      <c r="AB388" s="308"/>
    </row>
    <row r="389" spans="1:12" ht="19.5" customHeight="1">
      <c r="A389" s="4"/>
      <c r="B389" s="4"/>
      <c r="C389" s="4"/>
      <c r="D389" s="4"/>
      <c r="E389" s="4"/>
      <c r="F389" s="4"/>
      <c r="G389" s="4"/>
      <c r="K389" s="4"/>
      <c r="L389" s="4"/>
    </row>
    <row r="390" spans="1:12" ht="19.5" customHeight="1">
      <c r="A390" s="4"/>
      <c r="B390" s="4"/>
      <c r="C390" s="4"/>
      <c r="D390" s="4"/>
      <c r="E390" s="4"/>
      <c r="F390" s="4"/>
      <c r="G390" s="4"/>
      <c r="H390" s="4"/>
      <c r="I390" s="4"/>
      <c r="J390" s="4"/>
      <c r="K390" s="4"/>
      <c r="L390" s="4"/>
    </row>
    <row r="391" spans="1:12" ht="19.5" customHeight="1">
      <c r="A391" s="4"/>
      <c r="B391" s="4"/>
      <c r="C391" s="4"/>
      <c r="D391" s="4"/>
      <c r="E391" s="4"/>
      <c r="F391" s="4"/>
      <c r="G391" s="4"/>
      <c r="H391" s="4"/>
      <c r="I391" s="4"/>
      <c r="J391" s="4"/>
      <c r="K391" s="4"/>
      <c r="L391" s="4"/>
    </row>
    <row r="392" spans="1:12" ht="19.5" customHeight="1">
      <c r="A392" s="4"/>
      <c r="B392" s="4"/>
      <c r="C392" s="4"/>
      <c r="D392" s="4"/>
      <c r="E392" s="4"/>
      <c r="F392" s="4"/>
      <c r="G392" s="4"/>
      <c r="H392" s="4"/>
      <c r="I392" s="4"/>
      <c r="J392" s="4"/>
      <c r="K392" s="4"/>
      <c r="L392" s="4"/>
    </row>
    <row r="393" spans="1:12" ht="19.5" customHeight="1">
      <c r="A393" s="4"/>
      <c r="B393" s="4"/>
      <c r="C393" s="4"/>
      <c r="D393" s="4"/>
      <c r="E393" s="4"/>
      <c r="F393" s="4"/>
      <c r="G393" s="4"/>
      <c r="H393" s="4"/>
      <c r="I393" s="4"/>
      <c r="J393" s="4"/>
      <c r="K393" s="4"/>
      <c r="L393" s="4"/>
    </row>
    <row r="394" spans="1:12" ht="19.5" customHeight="1">
      <c r="A394" s="4"/>
      <c r="B394" s="4"/>
      <c r="C394" s="4"/>
      <c r="D394" s="4"/>
      <c r="E394" s="4"/>
      <c r="F394" s="4"/>
      <c r="G394" s="4"/>
      <c r="H394" s="4"/>
      <c r="I394" s="4"/>
      <c r="J394" s="4"/>
      <c r="K394" s="4"/>
      <c r="L394" s="4"/>
    </row>
    <row r="395" spans="1:12" ht="19.5" customHeight="1">
      <c r="A395" s="4"/>
      <c r="B395" s="4"/>
      <c r="C395" s="4"/>
      <c r="D395" s="4"/>
      <c r="E395" s="4"/>
      <c r="F395" s="4"/>
      <c r="G395" s="4"/>
      <c r="H395" s="4"/>
      <c r="I395" s="4"/>
      <c r="J395" s="4"/>
      <c r="K395" s="4"/>
      <c r="L395" s="4"/>
    </row>
    <row r="396" spans="1:12" ht="19.5" customHeight="1">
      <c r="A396" s="4"/>
      <c r="B396" s="4"/>
      <c r="D396" s="4" t="s">
        <v>1173</v>
      </c>
      <c r="G396" s="4"/>
      <c r="H396" s="4"/>
      <c r="I396" s="4"/>
      <c r="J396" s="4"/>
      <c r="K396" s="4"/>
      <c r="L396" s="4"/>
    </row>
    <row r="397" spans="1:34" ht="19.5" customHeight="1">
      <c r="A397" s="4"/>
      <c r="B397" s="4"/>
      <c r="C397" s="4"/>
      <c r="D397" s="4"/>
      <c r="E397" s="4"/>
      <c r="F397" s="4"/>
      <c r="I397" s="4" t="s">
        <v>326</v>
      </c>
      <c r="J397" s="4"/>
      <c r="L397" s="4" t="s">
        <v>1361</v>
      </c>
      <c r="M397" s="4" t="s">
        <v>327</v>
      </c>
      <c r="AH397" s="27"/>
    </row>
    <row r="398" spans="1:41" ht="19.5" customHeight="1">
      <c r="A398" s="4"/>
      <c r="B398" s="4"/>
      <c r="D398" s="4"/>
      <c r="G398" s="4"/>
      <c r="H398" s="4"/>
      <c r="I398" s="4"/>
      <c r="J398" s="4"/>
      <c r="K398" s="4"/>
      <c r="L398" s="4" t="s">
        <v>1361</v>
      </c>
      <c r="M398" s="257" t="s">
        <v>328</v>
      </c>
      <c r="N398" s="257"/>
      <c r="O398" s="27" t="s">
        <v>329</v>
      </c>
      <c r="P398" s="255">
        <f>AJ400</f>
        <v>7.692307692307692</v>
      </c>
      <c r="Q398" s="255"/>
      <c r="R398" s="255"/>
      <c r="S398" s="27" t="s">
        <v>329</v>
      </c>
      <c r="T398" s="237">
        <f>AE405</f>
        <v>8.573992270313456</v>
      </c>
      <c r="U398" s="237"/>
      <c r="V398" s="237"/>
      <c r="W398" s="27" t="s">
        <v>329</v>
      </c>
      <c r="X398" s="27" t="s">
        <v>330</v>
      </c>
      <c r="Y398" s="250">
        <f>AD403</f>
        <v>8</v>
      </c>
      <c r="Z398" s="250"/>
      <c r="AA398" s="250"/>
      <c r="AB398" s="27" t="s">
        <v>331</v>
      </c>
      <c r="AC398" s="27">
        <v>1</v>
      </c>
      <c r="AD398" s="27" t="s">
        <v>332</v>
      </c>
      <c r="AF398" s="250">
        <f>AD403</f>
        <v>8</v>
      </c>
      <c r="AG398" s="250"/>
      <c r="AH398" s="250"/>
      <c r="AI398" s="4" t="s">
        <v>1361</v>
      </c>
      <c r="AJ398" s="286">
        <f>P398/2*T398*(Y398-1)/AF398</f>
        <v>28.854781678939514</v>
      </c>
      <c r="AK398" s="286"/>
      <c r="AL398" s="286"/>
      <c r="AM398" s="29" t="s">
        <v>333</v>
      </c>
      <c r="AN398" s="39"/>
      <c r="AO398" s="44"/>
    </row>
    <row r="399" spans="1:34" ht="19.5" customHeight="1">
      <c r="A399" s="4"/>
      <c r="B399" s="4"/>
      <c r="C399" s="4"/>
      <c r="E399" s="4" t="s">
        <v>929</v>
      </c>
      <c r="I399" s="4" t="s">
        <v>326</v>
      </c>
      <c r="J399" s="104"/>
      <c r="L399" s="4" t="s">
        <v>1174</v>
      </c>
      <c r="M399" s="4"/>
      <c r="AH399" s="27"/>
    </row>
    <row r="400" spans="1:38" ht="19.5" customHeight="1">
      <c r="A400" s="4"/>
      <c r="B400" s="4"/>
      <c r="D400" s="4"/>
      <c r="G400" s="4"/>
      <c r="I400" s="4"/>
      <c r="J400" s="4" t="s">
        <v>334</v>
      </c>
      <c r="K400" s="4"/>
      <c r="L400" s="4" t="s">
        <v>930</v>
      </c>
      <c r="M400" s="34"/>
      <c r="N400" s="34"/>
      <c r="R400" s="27" t="s">
        <v>335</v>
      </c>
      <c r="W400" s="27" t="s">
        <v>1361</v>
      </c>
      <c r="X400" s="38">
        <f>W360</f>
        <v>2</v>
      </c>
      <c r="Y400" s="38"/>
      <c r="Z400" s="27" t="s">
        <v>329</v>
      </c>
      <c r="AA400" s="39" t="s">
        <v>336</v>
      </c>
      <c r="AB400" s="29"/>
      <c r="AC400" s="39" t="s">
        <v>1362</v>
      </c>
      <c r="AD400" s="38">
        <f>AF402</f>
        <v>2.6</v>
      </c>
      <c r="AE400" s="38"/>
      <c r="AF400" s="27" t="s">
        <v>329</v>
      </c>
      <c r="AG400" s="39" t="s">
        <v>337</v>
      </c>
      <c r="AI400" s="29" t="s">
        <v>1361</v>
      </c>
      <c r="AJ400" s="255">
        <f>X400*10/AD400</f>
        <v>7.692307692307692</v>
      </c>
      <c r="AK400" s="255"/>
      <c r="AL400" s="255"/>
    </row>
    <row r="401" spans="1:32" ht="19.5" customHeight="1">
      <c r="A401" s="4"/>
      <c r="B401" s="4"/>
      <c r="D401" s="4"/>
      <c r="G401" s="4"/>
      <c r="I401" s="4"/>
      <c r="J401" s="4" t="s">
        <v>338</v>
      </c>
      <c r="K401" s="4"/>
      <c r="L401" s="4" t="s">
        <v>1175</v>
      </c>
      <c r="M401" s="34"/>
      <c r="N401" s="34"/>
      <c r="W401" s="27" t="s">
        <v>339</v>
      </c>
      <c r="Y401" s="38">
        <f>W360</f>
        <v>2</v>
      </c>
      <c r="Z401" s="38"/>
      <c r="AA401" s="27" t="s">
        <v>329</v>
      </c>
      <c r="AB401" s="39" t="s">
        <v>336</v>
      </c>
      <c r="AC401" s="29"/>
      <c r="AD401" s="29" t="s">
        <v>340</v>
      </c>
      <c r="AE401" s="29"/>
      <c r="AF401" s="29"/>
    </row>
    <row r="402" spans="1:37" ht="19.5" customHeight="1">
      <c r="A402" s="4"/>
      <c r="B402" s="4"/>
      <c r="D402" s="4"/>
      <c r="G402" s="4"/>
      <c r="I402" s="4"/>
      <c r="J402" s="4" t="s">
        <v>341</v>
      </c>
      <c r="K402" s="4"/>
      <c r="L402" s="4" t="s">
        <v>1176</v>
      </c>
      <c r="M402" s="34"/>
      <c r="N402" s="34"/>
      <c r="AD402" s="27" t="s">
        <v>1363</v>
      </c>
      <c r="AF402" s="325">
        <v>2.6</v>
      </c>
      <c r="AG402" s="325"/>
      <c r="AH402" s="27" t="s">
        <v>1364</v>
      </c>
      <c r="AI402" s="39" t="s">
        <v>1114</v>
      </c>
      <c r="AK402" s="29" t="s">
        <v>1115</v>
      </c>
    </row>
    <row r="403" spans="1:33" ht="19.5" customHeight="1">
      <c r="A403" s="4"/>
      <c r="B403" s="4"/>
      <c r="D403" s="4"/>
      <c r="G403" s="4"/>
      <c r="I403" s="4"/>
      <c r="J403" s="4" t="s">
        <v>1365</v>
      </c>
      <c r="K403" s="4"/>
      <c r="L403" s="4" t="s">
        <v>1186</v>
      </c>
      <c r="M403" s="34"/>
      <c r="N403" s="34"/>
      <c r="V403" s="27" t="s">
        <v>339</v>
      </c>
      <c r="X403" s="236">
        <v>1000</v>
      </c>
      <c r="Y403" s="236"/>
      <c r="Z403" s="39" t="s">
        <v>1362</v>
      </c>
      <c r="AA403" s="236">
        <f>AL240</f>
        <v>125</v>
      </c>
      <c r="AB403" s="236"/>
      <c r="AC403" s="27" t="s">
        <v>1361</v>
      </c>
      <c r="AD403" s="250">
        <f>X403/AA403</f>
        <v>8</v>
      </c>
      <c r="AE403" s="250"/>
      <c r="AF403" s="250"/>
      <c r="AG403" s="27" t="s">
        <v>1187</v>
      </c>
    </row>
    <row r="404" spans="1:12" ht="19.5" customHeight="1">
      <c r="A404" s="4"/>
      <c r="B404" s="4"/>
      <c r="D404" s="4"/>
      <c r="G404" s="4"/>
      <c r="H404" s="4"/>
      <c r="I404" s="4" t="s">
        <v>342</v>
      </c>
      <c r="J404" s="4"/>
      <c r="K404" s="4"/>
      <c r="L404" s="4" t="s">
        <v>1188</v>
      </c>
    </row>
    <row r="405" spans="1:44" ht="19.5" customHeight="1">
      <c r="A405" s="4"/>
      <c r="B405" s="4"/>
      <c r="D405" s="4"/>
      <c r="G405" s="4"/>
      <c r="H405" s="4"/>
      <c r="I405" s="4"/>
      <c r="J405" s="4"/>
      <c r="K405" s="4"/>
      <c r="M405" s="4" t="s">
        <v>343</v>
      </c>
      <c r="N405" s="34"/>
      <c r="V405" s="27" t="s">
        <v>290</v>
      </c>
      <c r="W405" s="237">
        <f>Q409</f>
        <v>8.55217217992127</v>
      </c>
      <c r="X405" s="237"/>
      <c r="Y405" s="237"/>
      <c r="Z405" s="27" t="s">
        <v>344</v>
      </c>
      <c r="AA405" s="237">
        <f>-R274</f>
        <v>0.021820090392185448</v>
      </c>
      <c r="AB405" s="237"/>
      <c r="AC405" s="237"/>
      <c r="AD405" s="27" t="s">
        <v>290</v>
      </c>
      <c r="AE405" s="237">
        <f>W405+AA405</f>
        <v>8.573992270313456</v>
      </c>
      <c r="AF405" s="237"/>
      <c r="AG405" s="237"/>
      <c r="AH405" s="29" t="s">
        <v>1121</v>
      </c>
      <c r="AR405" s="36"/>
    </row>
    <row r="406" spans="1:12" ht="19.5" customHeight="1">
      <c r="A406" s="4"/>
      <c r="B406" s="4"/>
      <c r="D406" s="4"/>
      <c r="G406" s="4"/>
      <c r="H406" s="4"/>
      <c r="I406" s="104" t="s">
        <v>345</v>
      </c>
      <c r="J406" s="104"/>
      <c r="K406" s="104"/>
      <c r="L406" s="4" t="s">
        <v>346</v>
      </c>
    </row>
    <row r="407" spans="1:28" ht="19.5" customHeight="1">
      <c r="A407" s="4"/>
      <c r="B407" s="4"/>
      <c r="D407" s="4"/>
      <c r="G407" s="4"/>
      <c r="H407" s="4"/>
      <c r="I407" s="104"/>
      <c r="J407" s="104"/>
      <c r="K407" s="104"/>
      <c r="L407" s="4"/>
      <c r="M407" s="100" t="s">
        <v>345</v>
      </c>
      <c r="P407" s="27" t="s">
        <v>290</v>
      </c>
      <c r="Q407" s="151" t="s">
        <v>347</v>
      </c>
      <c r="AB407" s="39"/>
    </row>
    <row r="408" spans="1:42" ht="19.5" customHeight="1">
      <c r="A408" s="4"/>
      <c r="B408" s="4"/>
      <c r="D408" s="4"/>
      <c r="G408" s="4"/>
      <c r="H408" s="4"/>
      <c r="I408" s="104"/>
      <c r="J408" s="104"/>
      <c r="K408" s="104"/>
      <c r="L408" s="4"/>
      <c r="M408" s="100"/>
      <c r="P408" s="27" t="s">
        <v>290</v>
      </c>
      <c r="Q408" s="237">
        <f>AD411*1000</f>
        <v>3232632.48</v>
      </c>
      <c r="R408" s="237"/>
      <c r="S408" s="237"/>
      <c r="T408" s="237"/>
      <c r="U408" s="39" t="s">
        <v>348</v>
      </c>
      <c r="V408" s="237">
        <f>AH246*100</f>
        <v>380000</v>
      </c>
      <c r="W408" s="237"/>
      <c r="X408" s="237"/>
      <c r="Y408" s="237"/>
      <c r="Z408" s="27" t="s">
        <v>344</v>
      </c>
      <c r="AA408" s="237">
        <f>AD411*1000</f>
        <v>3232632.48</v>
      </c>
      <c r="AB408" s="237"/>
      <c r="AC408" s="237"/>
      <c r="AD408" s="237"/>
      <c r="AE408" s="27" t="s">
        <v>349</v>
      </c>
      <c r="AF408" s="152">
        <f>AH248*10</f>
        <v>-8</v>
      </c>
      <c r="AG408" s="152"/>
      <c r="AH408" s="153" t="s">
        <v>348</v>
      </c>
      <c r="AI408" s="237">
        <f>AH251*1000</f>
        <v>-571583333.3333334</v>
      </c>
      <c r="AJ408" s="237"/>
      <c r="AK408" s="237"/>
      <c r="AL408" s="237"/>
      <c r="AM408" s="237"/>
      <c r="AO408" s="27"/>
      <c r="AP408" s="27"/>
    </row>
    <row r="409" spans="1:23" ht="19.5" customHeight="1">
      <c r="A409" s="4"/>
      <c r="B409" s="4"/>
      <c r="D409" s="4"/>
      <c r="G409" s="4"/>
      <c r="H409" s="4"/>
      <c r="I409" s="104"/>
      <c r="J409" s="104"/>
      <c r="K409" s="104"/>
      <c r="L409" s="4"/>
      <c r="M409" s="100"/>
      <c r="P409" s="27" t="s">
        <v>290</v>
      </c>
      <c r="Q409" s="261">
        <f>Q408/V408+AA408*AF408/AI408</f>
        <v>8.55217217992127</v>
      </c>
      <c r="R409" s="261"/>
      <c r="S409" s="261"/>
      <c r="T409" s="29" t="s">
        <v>1121</v>
      </c>
      <c r="U409" s="39"/>
      <c r="V409" s="44"/>
      <c r="W409" s="44"/>
    </row>
    <row r="410" spans="1:46" ht="19.5" customHeight="1">
      <c r="A410" s="4"/>
      <c r="B410" s="4"/>
      <c r="D410" s="4"/>
      <c r="G410" s="4"/>
      <c r="H410" s="4"/>
      <c r="I410" s="104"/>
      <c r="J410" s="104" t="s">
        <v>148</v>
      </c>
      <c r="K410" s="104"/>
      <c r="L410" s="4" t="s">
        <v>1189</v>
      </c>
      <c r="M410" s="100"/>
      <c r="Q410" s="44"/>
      <c r="R410" s="44"/>
      <c r="S410" s="44"/>
      <c r="U410" s="39"/>
      <c r="V410" s="29"/>
      <c r="W410" s="39"/>
      <c r="X410" s="44"/>
      <c r="Y410" s="44"/>
      <c r="Z410" s="44"/>
      <c r="AB410" s="39"/>
      <c r="AH410" s="27"/>
      <c r="AI410" s="39"/>
      <c r="AK410" s="27"/>
      <c r="AL410" s="27"/>
      <c r="AM410" s="27"/>
      <c r="AN410" s="27"/>
      <c r="AO410" s="27"/>
      <c r="AP410" s="27"/>
      <c r="AT410" s="29"/>
    </row>
    <row r="411" spans="1:46" ht="19.5" customHeight="1">
      <c r="A411" s="4"/>
      <c r="B411" s="4"/>
      <c r="D411" s="4"/>
      <c r="G411" s="4"/>
      <c r="H411" s="4"/>
      <c r="I411" s="104"/>
      <c r="J411" s="104"/>
      <c r="K411" s="104"/>
      <c r="L411" s="4"/>
      <c r="M411" s="100" t="s">
        <v>350</v>
      </c>
      <c r="O411" s="27" t="s">
        <v>351</v>
      </c>
      <c r="P411" s="4" t="s">
        <v>352</v>
      </c>
      <c r="Q411" s="44"/>
      <c r="R411" s="44"/>
      <c r="S411" s="44"/>
      <c r="U411" s="27" t="s">
        <v>351</v>
      </c>
      <c r="V411" s="237">
        <f>AG241</f>
        <v>2503.2</v>
      </c>
      <c r="W411" s="237"/>
      <c r="X411" s="237"/>
      <c r="Y411" s="27" t="s">
        <v>1364</v>
      </c>
      <c r="Z411" s="237">
        <f>R384</f>
        <v>1291.4</v>
      </c>
      <c r="AA411" s="237"/>
      <c r="AB411" s="237"/>
      <c r="AC411" s="44" t="s">
        <v>351</v>
      </c>
      <c r="AD411" s="237">
        <f>V411*Z411/1000</f>
        <v>3232.6324799999998</v>
      </c>
      <c r="AE411" s="237"/>
      <c r="AF411" s="237"/>
      <c r="AG411" s="27" t="s">
        <v>353</v>
      </c>
      <c r="AH411" s="27"/>
      <c r="AI411" s="39"/>
      <c r="AK411" s="27"/>
      <c r="AO411" s="44"/>
      <c r="AP411" s="44"/>
      <c r="AQ411" s="44"/>
      <c r="AS411" s="39"/>
      <c r="AT411" s="29"/>
    </row>
    <row r="412" spans="1:46" ht="19.5" customHeight="1">
      <c r="A412" s="4"/>
      <c r="B412" s="4"/>
      <c r="D412" s="4"/>
      <c r="G412" s="4"/>
      <c r="H412" s="4"/>
      <c r="I412" s="104" t="s">
        <v>354</v>
      </c>
      <c r="J412" s="104"/>
      <c r="K412" s="104"/>
      <c r="L412" s="4" t="s">
        <v>1190</v>
      </c>
      <c r="Q412" s="44"/>
      <c r="R412" s="44"/>
      <c r="AE412" s="44"/>
      <c r="AF412" s="44"/>
      <c r="AG412" s="44"/>
      <c r="AH412" s="27"/>
      <c r="AI412" s="39"/>
      <c r="AK412" s="27"/>
      <c r="AO412" s="44"/>
      <c r="AP412" s="44"/>
      <c r="AQ412" s="44"/>
      <c r="AS412" s="39"/>
      <c r="AT412" s="29"/>
    </row>
    <row r="413" spans="1:34" ht="19.5" customHeight="1">
      <c r="A413" s="4"/>
      <c r="B413" s="4"/>
      <c r="C413" s="4"/>
      <c r="D413" s="4"/>
      <c r="F413" s="4"/>
      <c r="G413" s="4"/>
      <c r="I413" s="4"/>
      <c r="J413" s="4"/>
      <c r="L413" s="4"/>
      <c r="W413" s="44"/>
      <c r="Y413" s="154"/>
      <c r="Z413" s="150"/>
      <c r="AC413" s="29"/>
      <c r="AE413" s="44"/>
      <c r="AF413" s="44"/>
      <c r="AG413" s="44"/>
      <c r="AH413" s="154"/>
    </row>
    <row r="414" spans="1:12" ht="19.5" customHeight="1">
      <c r="A414" s="4"/>
      <c r="B414" s="4"/>
      <c r="C414" s="4"/>
      <c r="E414" s="4" t="s">
        <v>1191</v>
      </c>
      <c r="F414" s="4"/>
      <c r="G414" s="4"/>
      <c r="H414" s="4"/>
      <c r="I414" s="4"/>
      <c r="J414" s="4"/>
      <c r="K414" s="4"/>
      <c r="L414" s="4"/>
    </row>
    <row r="415" spans="1:38" ht="19.5" customHeight="1">
      <c r="A415" s="4"/>
      <c r="E415" s="183" t="s">
        <v>1021</v>
      </c>
      <c r="F415" s="183"/>
      <c r="G415" s="183"/>
      <c r="H415" s="183"/>
      <c r="I415" s="183"/>
      <c r="J415" s="183"/>
      <c r="K415" s="183"/>
      <c r="L415" s="204" t="s">
        <v>355</v>
      </c>
      <c r="M415" s="204"/>
      <c r="N415" s="204"/>
      <c r="O415" s="204"/>
      <c r="P415" s="204" t="s">
        <v>356</v>
      </c>
      <c r="Q415" s="204"/>
      <c r="R415" s="204"/>
      <c r="S415" s="204"/>
      <c r="T415" s="204" t="s">
        <v>357</v>
      </c>
      <c r="U415" s="204"/>
      <c r="V415" s="204"/>
      <c r="W415" s="204"/>
      <c r="X415" s="45"/>
      <c r="Y415" s="45"/>
      <c r="Z415" s="45"/>
      <c r="AA415" s="45"/>
      <c r="AB415" s="45"/>
      <c r="AC415" s="45"/>
      <c r="AD415" s="45"/>
      <c r="AE415" s="45"/>
      <c r="AF415" s="45"/>
      <c r="AG415" s="45"/>
      <c r="AH415" s="45"/>
      <c r="AI415" s="45"/>
      <c r="AJ415" s="45"/>
      <c r="AK415" s="45"/>
      <c r="AL415" s="45"/>
    </row>
    <row r="416" spans="1:38" ht="19.5" customHeight="1">
      <c r="A416" s="4"/>
      <c r="E416" s="183" t="s">
        <v>358</v>
      </c>
      <c r="F416" s="183"/>
      <c r="G416" s="183"/>
      <c r="H416" s="204" t="s">
        <v>1018</v>
      </c>
      <c r="I416" s="204"/>
      <c r="J416" s="204"/>
      <c r="K416" s="204"/>
      <c r="L416" s="208">
        <f>1000/$M$317</f>
        <v>8</v>
      </c>
      <c r="M416" s="208"/>
      <c r="N416" s="208"/>
      <c r="O416" s="208"/>
      <c r="P416" s="208">
        <f>1000/$M$317</f>
        <v>8</v>
      </c>
      <c r="Q416" s="208"/>
      <c r="R416" s="208"/>
      <c r="S416" s="208"/>
      <c r="T416" s="208">
        <f>1000/$M$317</f>
        <v>8</v>
      </c>
      <c r="U416" s="208"/>
      <c r="V416" s="208"/>
      <c r="W416" s="208"/>
      <c r="X416" s="46"/>
      <c r="Y416" s="46"/>
      <c r="Z416" s="46"/>
      <c r="AA416" s="46"/>
      <c r="AB416" s="46"/>
      <c r="AC416" s="46"/>
      <c r="AD416" s="46"/>
      <c r="AE416" s="46"/>
      <c r="AF416" s="46"/>
      <c r="AG416" s="46"/>
      <c r="AH416" s="46"/>
      <c r="AI416" s="46"/>
      <c r="AJ416" s="46"/>
      <c r="AK416" s="46"/>
      <c r="AL416" s="46"/>
    </row>
    <row r="417" spans="1:38" ht="19.5" customHeight="1">
      <c r="A417" s="4" t="s">
        <v>271</v>
      </c>
      <c r="E417" s="183" t="s">
        <v>359</v>
      </c>
      <c r="F417" s="183"/>
      <c r="G417" s="183"/>
      <c r="H417" s="204" t="s">
        <v>360</v>
      </c>
      <c r="I417" s="204"/>
      <c r="J417" s="204"/>
      <c r="K417" s="204"/>
      <c r="L417" s="190">
        <f>R381</f>
        <v>1290.9</v>
      </c>
      <c r="M417" s="190"/>
      <c r="N417" s="190"/>
      <c r="O417" s="190"/>
      <c r="P417" s="190">
        <f>R384</f>
        <v>1291.4</v>
      </c>
      <c r="Q417" s="190"/>
      <c r="R417" s="190"/>
      <c r="S417" s="190"/>
      <c r="T417" s="190">
        <f>R387</f>
        <v>1290.9</v>
      </c>
      <c r="U417" s="190"/>
      <c r="V417" s="190"/>
      <c r="W417" s="190"/>
      <c r="X417" s="77"/>
      <c r="Y417" s="77"/>
      <c r="Z417" s="77"/>
      <c r="AA417" s="77"/>
      <c r="AB417" s="77"/>
      <c r="AC417" s="77"/>
      <c r="AD417" s="77"/>
      <c r="AE417" s="77"/>
      <c r="AF417" s="77"/>
      <c r="AG417" s="77"/>
      <c r="AH417" s="77"/>
      <c r="AI417" s="77"/>
      <c r="AJ417" s="77"/>
      <c r="AK417" s="77"/>
      <c r="AL417" s="77"/>
    </row>
    <row r="418" spans="1:38" ht="19.5" customHeight="1">
      <c r="A418" s="4"/>
      <c r="E418" s="183" t="s">
        <v>361</v>
      </c>
      <c r="F418" s="183"/>
      <c r="G418" s="183"/>
      <c r="H418" s="204" t="s">
        <v>362</v>
      </c>
      <c r="I418" s="204"/>
      <c r="J418" s="204"/>
      <c r="K418" s="204"/>
      <c r="L418" s="190">
        <f>$AG$256</f>
        <v>2503.2</v>
      </c>
      <c r="M418" s="190"/>
      <c r="N418" s="190"/>
      <c r="O418" s="190"/>
      <c r="P418" s="190">
        <f>$AG$241</f>
        <v>2503.2</v>
      </c>
      <c r="Q418" s="190"/>
      <c r="R418" s="190"/>
      <c r="S418" s="190"/>
      <c r="T418" s="190">
        <f>$AG$256</f>
        <v>2503.2</v>
      </c>
      <c r="U418" s="190"/>
      <c r="V418" s="190"/>
      <c r="W418" s="190"/>
      <c r="X418" s="77"/>
      <c r="Y418" s="77"/>
      <c r="Z418" s="77"/>
      <c r="AA418" s="77"/>
      <c r="AB418" s="77"/>
      <c r="AC418" s="77"/>
      <c r="AD418" s="77"/>
      <c r="AE418" s="77"/>
      <c r="AF418" s="77"/>
      <c r="AG418" s="77"/>
      <c r="AH418" s="77"/>
      <c r="AI418" s="77"/>
      <c r="AJ418" s="77"/>
      <c r="AK418" s="77"/>
      <c r="AL418" s="77"/>
    </row>
    <row r="419" spans="1:38" ht="19.5" customHeight="1">
      <c r="A419" s="4"/>
      <c r="E419" s="183" t="s">
        <v>363</v>
      </c>
      <c r="F419" s="183"/>
      <c r="G419" s="183"/>
      <c r="H419" s="204" t="s">
        <v>364</v>
      </c>
      <c r="I419" s="204"/>
      <c r="J419" s="204"/>
      <c r="K419" s="204"/>
      <c r="L419" s="213">
        <f>L417*L418/1000</f>
        <v>3231.3808799999997</v>
      </c>
      <c r="M419" s="213"/>
      <c r="N419" s="213"/>
      <c r="O419" s="213"/>
      <c r="P419" s="213">
        <f>P417*P418/1000</f>
        <v>3232.6324799999998</v>
      </c>
      <c r="Q419" s="213"/>
      <c r="R419" s="213"/>
      <c r="S419" s="213"/>
      <c r="T419" s="213">
        <f>T417*T418/1000</f>
        <v>3231.3808799999997</v>
      </c>
      <c r="U419" s="213"/>
      <c r="V419" s="213"/>
      <c r="W419" s="213"/>
      <c r="X419" s="46"/>
      <c r="Y419" s="46"/>
      <c r="Z419" s="46"/>
      <c r="AA419" s="46"/>
      <c r="AB419" s="46"/>
      <c r="AC419" s="46"/>
      <c r="AD419" s="46"/>
      <c r="AE419" s="46"/>
      <c r="AF419" s="46"/>
      <c r="AG419" s="46"/>
      <c r="AH419" s="46"/>
      <c r="AI419" s="46"/>
      <c r="AJ419" s="46"/>
      <c r="AK419" s="46"/>
      <c r="AL419" s="46"/>
    </row>
    <row r="420" spans="1:38" ht="19.5" customHeight="1">
      <c r="A420" s="4"/>
      <c r="E420" s="183" t="s">
        <v>365</v>
      </c>
      <c r="F420" s="183"/>
      <c r="G420" s="183"/>
      <c r="H420" s="204" t="s">
        <v>366</v>
      </c>
      <c r="I420" s="204"/>
      <c r="J420" s="204"/>
      <c r="K420" s="204"/>
      <c r="L420" s="190">
        <f>$AH$261</f>
        <v>3800</v>
      </c>
      <c r="M420" s="190"/>
      <c r="N420" s="190"/>
      <c r="O420" s="190"/>
      <c r="P420" s="190">
        <f>$AH$246</f>
        <v>3800</v>
      </c>
      <c r="Q420" s="190"/>
      <c r="R420" s="190"/>
      <c r="S420" s="190"/>
      <c r="T420" s="190">
        <f>$AH$261</f>
        <v>3800</v>
      </c>
      <c r="U420" s="190"/>
      <c r="V420" s="190"/>
      <c r="W420" s="190"/>
      <c r="X420" s="77"/>
      <c r="Y420" s="77"/>
      <c r="Z420" s="77"/>
      <c r="AA420" s="77"/>
      <c r="AB420" s="77"/>
      <c r="AC420" s="77"/>
      <c r="AD420" s="77"/>
      <c r="AE420" s="77"/>
      <c r="AF420" s="77"/>
      <c r="AG420" s="77"/>
      <c r="AH420" s="77"/>
      <c r="AI420" s="77"/>
      <c r="AJ420" s="77"/>
      <c r="AK420" s="77"/>
      <c r="AL420" s="77"/>
    </row>
    <row r="421" spans="1:38" ht="19.5" customHeight="1">
      <c r="A421" s="4"/>
      <c r="E421" s="183" t="s">
        <v>367</v>
      </c>
      <c r="F421" s="183"/>
      <c r="G421" s="183"/>
      <c r="H421" s="204" t="s">
        <v>368</v>
      </c>
      <c r="I421" s="204"/>
      <c r="J421" s="204"/>
      <c r="K421" s="204"/>
      <c r="L421" s="190">
        <f>$AH$263*10</f>
        <v>8</v>
      </c>
      <c r="M421" s="190"/>
      <c r="N421" s="190"/>
      <c r="O421" s="190"/>
      <c r="P421" s="190">
        <f>$AH$248*10</f>
        <v>-8</v>
      </c>
      <c r="Q421" s="190"/>
      <c r="R421" s="190"/>
      <c r="S421" s="190"/>
      <c r="T421" s="190">
        <f>$AH$263*10</f>
        <v>8</v>
      </c>
      <c r="U421" s="190"/>
      <c r="V421" s="190"/>
      <c r="W421" s="190"/>
      <c r="X421" s="77"/>
      <c r="Y421" s="77"/>
      <c r="Z421" s="77"/>
      <c r="AA421" s="77"/>
      <c r="AB421" s="77"/>
      <c r="AC421" s="77"/>
      <c r="AD421" s="77"/>
      <c r="AE421" s="77"/>
      <c r="AF421" s="77"/>
      <c r="AG421" s="77"/>
      <c r="AH421" s="77"/>
      <c r="AI421" s="77"/>
      <c r="AJ421" s="77"/>
      <c r="AK421" s="77"/>
      <c r="AL421" s="77"/>
    </row>
    <row r="422" spans="1:38" ht="19.5" customHeight="1">
      <c r="A422" s="4"/>
      <c r="E422" s="283" t="s">
        <v>369</v>
      </c>
      <c r="F422" s="284"/>
      <c r="G422" s="253"/>
      <c r="H422" s="204" t="s">
        <v>370</v>
      </c>
      <c r="I422" s="204"/>
      <c r="J422" s="204"/>
      <c r="K422" s="204"/>
      <c r="L422" s="213">
        <f>$AH$266</f>
        <v>571583.3333333334</v>
      </c>
      <c r="M422" s="213"/>
      <c r="N422" s="213"/>
      <c r="O422" s="213"/>
      <c r="P422" s="213">
        <f>$AH$251</f>
        <v>-571583.3333333334</v>
      </c>
      <c r="Q422" s="213"/>
      <c r="R422" s="213"/>
      <c r="S422" s="213"/>
      <c r="T422" s="213">
        <f>$AH$266</f>
        <v>571583.3333333334</v>
      </c>
      <c r="U422" s="213"/>
      <c r="V422" s="213"/>
      <c r="W422" s="213"/>
      <c r="X422" s="46"/>
      <c r="Y422" s="46"/>
      <c r="Z422" s="46"/>
      <c r="AA422" s="46"/>
      <c r="AB422" s="46"/>
      <c r="AC422" s="46"/>
      <c r="AD422" s="46"/>
      <c r="AE422" s="46"/>
      <c r="AF422" s="46"/>
      <c r="AG422" s="46"/>
      <c r="AH422" s="46"/>
      <c r="AI422" s="46"/>
      <c r="AJ422" s="46"/>
      <c r="AK422" s="46"/>
      <c r="AL422" s="46"/>
    </row>
    <row r="423" spans="1:38" ht="19.5" customHeight="1">
      <c r="A423" s="4"/>
      <c r="E423" s="283" t="s">
        <v>146</v>
      </c>
      <c r="F423" s="284"/>
      <c r="G423" s="253"/>
      <c r="H423" s="204" t="s">
        <v>360</v>
      </c>
      <c r="I423" s="204"/>
      <c r="J423" s="204"/>
      <c r="K423" s="204"/>
      <c r="L423" s="213">
        <f>L419*1000/(L420*100)+L419*1000*L421/(L422*1000)</f>
        <v>8.54886097805511</v>
      </c>
      <c r="M423" s="213"/>
      <c r="N423" s="213"/>
      <c r="O423" s="213"/>
      <c r="P423" s="213">
        <f>P419*1000/(P420*100)+P419*1000*P421/(P422*1000)</f>
        <v>8.55217217992127</v>
      </c>
      <c r="Q423" s="213"/>
      <c r="R423" s="213"/>
      <c r="S423" s="213"/>
      <c r="T423" s="213">
        <f>T419*1000/(T420*100)+T419*1000*T421/(T422*1000)</f>
        <v>8.54886097805511</v>
      </c>
      <c r="U423" s="213"/>
      <c r="V423" s="213"/>
      <c r="W423" s="213"/>
      <c r="X423" s="46"/>
      <c r="Y423" s="46"/>
      <c r="Z423" s="46"/>
      <c r="AA423" s="46"/>
      <c r="AB423" s="46"/>
      <c r="AC423" s="46"/>
      <c r="AD423" s="46"/>
      <c r="AE423" s="46"/>
      <c r="AF423" s="46"/>
      <c r="AG423" s="46"/>
      <c r="AH423" s="46"/>
      <c r="AI423" s="46"/>
      <c r="AJ423" s="46"/>
      <c r="AK423" s="46"/>
      <c r="AL423" s="46"/>
    </row>
    <row r="424" spans="1:38" ht="19.5" customHeight="1">
      <c r="A424" s="4"/>
      <c r="B424" s="4" t="s">
        <v>271</v>
      </c>
      <c r="C424" s="4"/>
      <c r="E424" s="283" t="s">
        <v>147</v>
      </c>
      <c r="F424" s="284"/>
      <c r="G424" s="253"/>
      <c r="H424" s="204" t="s">
        <v>360</v>
      </c>
      <c r="I424" s="204"/>
      <c r="J424" s="204"/>
      <c r="K424" s="204"/>
      <c r="L424" s="213">
        <f>-N274</f>
        <v>0.0435579530543811</v>
      </c>
      <c r="M424" s="213"/>
      <c r="N424" s="213"/>
      <c r="O424" s="213"/>
      <c r="P424" s="213">
        <f>-R274</f>
        <v>0.021820090392185448</v>
      </c>
      <c r="Q424" s="213"/>
      <c r="R424" s="213"/>
      <c r="S424" s="213"/>
      <c r="T424" s="213">
        <f>-V274</f>
        <v>0.0435579530543811</v>
      </c>
      <c r="U424" s="213"/>
      <c r="V424" s="213"/>
      <c r="W424" s="213"/>
      <c r="X424" s="46"/>
      <c r="Y424" s="46"/>
      <c r="Z424" s="46"/>
      <c r="AA424" s="46"/>
      <c r="AB424" s="46"/>
      <c r="AC424" s="46"/>
      <c r="AD424" s="46"/>
      <c r="AE424" s="46"/>
      <c r="AF424" s="46"/>
      <c r="AG424" s="46"/>
      <c r="AH424" s="46"/>
      <c r="AI424" s="46"/>
      <c r="AJ424" s="46"/>
      <c r="AK424" s="46"/>
      <c r="AL424" s="46"/>
    </row>
    <row r="425" spans="1:38" ht="19.5" customHeight="1">
      <c r="A425" s="4"/>
      <c r="B425" s="4"/>
      <c r="C425" s="4" t="s">
        <v>271</v>
      </c>
      <c r="D425" s="4"/>
      <c r="E425" s="283" t="s">
        <v>342</v>
      </c>
      <c r="F425" s="284"/>
      <c r="G425" s="253"/>
      <c r="H425" s="204" t="s">
        <v>360</v>
      </c>
      <c r="I425" s="204"/>
      <c r="J425" s="204"/>
      <c r="K425" s="204"/>
      <c r="L425" s="213">
        <f>L423+L424</f>
        <v>8.592418931109492</v>
      </c>
      <c r="M425" s="213"/>
      <c r="N425" s="213"/>
      <c r="O425" s="213"/>
      <c r="P425" s="213">
        <f>P423+P424</f>
        <v>8.573992270313456</v>
      </c>
      <c r="Q425" s="213"/>
      <c r="R425" s="213"/>
      <c r="S425" s="213"/>
      <c r="T425" s="213">
        <f>T423+T424</f>
        <v>8.592418931109492</v>
      </c>
      <c r="U425" s="213"/>
      <c r="V425" s="213"/>
      <c r="W425" s="213"/>
      <c r="X425" s="46"/>
      <c r="Y425" s="46"/>
      <c r="Z425" s="46"/>
      <c r="AA425" s="46"/>
      <c r="AB425" s="46"/>
      <c r="AC425" s="46"/>
      <c r="AD425" s="46"/>
      <c r="AE425" s="46"/>
      <c r="AF425" s="46"/>
      <c r="AG425" s="46"/>
      <c r="AH425" s="46"/>
      <c r="AI425" s="46"/>
      <c r="AJ425" s="46"/>
      <c r="AK425" s="46"/>
      <c r="AL425" s="46"/>
    </row>
    <row r="426" spans="1:44" ht="19.5" customHeight="1">
      <c r="A426" s="4"/>
      <c r="B426" s="4"/>
      <c r="C426" s="4" t="s">
        <v>271</v>
      </c>
      <c r="D426" s="4"/>
      <c r="E426" s="283" t="s">
        <v>371</v>
      </c>
      <c r="F426" s="284"/>
      <c r="G426" s="253"/>
      <c r="H426" s="204" t="s">
        <v>360</v>
      </c>
      <c r="I426" s="204"/>
      <c r="J426" s="204"/>
      <c r="K426" s="204"/>
      <c r="L426" s="213">
        <f>1/2*$AJ$400*L425*(L416-1)/L416</f>
        <v>28.916794479695405</v>
      </c>
      <c r="M426" s="213"/>
      <c r="N426" s="213"/>
      <c r="O426" s="213"/>
      <c r="P426" s="213">
        <f>1/2*$AJ$400*P425*(P416-1)/P416</f>
        <v>28.854781678939514</v>
      </c>
      <c r="Q426" s="213"/>
      <c r="R426" s="213"/>
      <c r="S426" s="213"/>
      <c r="T426" s="213">
        <f>1/2*$AJ$400*T425*(T416-1)/T416</f>
        <v>28.916794479695405</v>
      </c>
      <c r="U426" s="213"/>
      <c r="V426" s="213"/>
      <c r="W426" s="213"/>
      <c r="X426" s="46"/>
      <c r="Y426" s="46"/>
      <c r="Z426" s="46"/>
      <c r="AA426" s="46"/>
      <c r="AB426" s="46"/>
      <c r="AC426" s="46"/>
      <c r="AD426" s="46"/>
      <c r="AE426" s="46"/>
      <c r="AF426" s="46"/>
      <c r="AG426" s="46"/>
      <c r="AH426" s="46"/>
      <c r="AI426" s="46"/>
      <c r="AJ426" s="46"/>
      <c r="AK426" s="46"/>
      <c r="AL426" s="46"/>
      <c r="AR426" s="42"/>
    </row>
    <row r="427" spans="1:23" ht="19.5" customHeight="1">
      <c r="A427" s="4"/>
      <c r="B427" s="4"/>
      <c r="D427" s="4"/>
      <c r="E427" s="183" t="s">
        <v>372</v>
      </c>
      <c r="F427" s="183"/>
      <c r="G427" s="183"/>
      <c r="H427" s="204" t="s">
        <v>360</v>
      </c>
      <c r="I427" s="204"/>
      <c r="J427" s="204"/>
      <c r="K427" s="204"/>
      <c r="L427" s="190">
        <f>L417-L426</f>
        <v>1261.9832055203046</v>
      </c>
      <c r="M427" s="190"/>
      <c r="N427" s="190"/>
      <c r="O427" s="190"/>
      <c r="P427" s="190">
        <f>P417-P426</f>
        <v>1262.5452183210605</v>
      </c>
      <c r="Q427" s="190"/>
      <c r="R427" s="190"/>
      <c r="S427" s="190"/>
      <c r="T427" s="190">
        <f>T417-T426</f>
        <v>1261.9832055203046</v>
      </c>
      <c r="U427" s="190"/>
      <c r="V427" s="190"/>
      <c r="W427" s="190"/>
    </row>
    <row r="428" spans="1:34" ht="19.5" customHeight="1">
      <c r="A428" s="4"/>
      <c r="B428" s="4"/>
      <c r="C428" s="4"/>
      <c r="D428" s="4"/>
      <c r="E428" s="27" t="s">
        <v>373</v>
      </c>
      <c r="H428" s="4" t="s">
        <v>1192</v>
      </c>
      <c r="J428" s="4"/>
      <c r="K428" s="35"/>
      <c r="L428" s="38"/>
      <c r="M428" s="38"/>
      <c r="N428" s="38"/>
      <c r="R428" s="44"/>
      <c r="AH428" s="27"/>
    </row>
    <row r="429" spans="1:18" ht="19.5" customHeight="1">
      <c r="A429" s="4"/>
      <c r="B429" s="4"/>
      <c r="C429" s="4"/>
      <c r="D429" s="4"/>
      <c r="I429" s="4" t="s">
        <v>374</v>
      </c>
      <c r="J429" s="4"/>
      <c r="K429" s="35"/>
      <c r="L429" s="27" t="s">
        <v>351</v>
      </c>
      <c r="M429" s="4" t="s">
        <v>375</v>
      </c>
      <c r="N429" s="38"/>
      <c r="R429" s="44"/>
    </row>
    <row r="430" spans="1:18" ht="19.5" customHeight="1">
      <c r="A430" s="4"/>
      <c r="B430" s="4"/>
      <c r="C430" s="4"/>
      <c r="D430" s="4"/>
      <c r="I430" s="4"/>
      <c r="J430" s="4"/>
      <c r="K430" s="35"/>
      <c r="M430" s="4"/>
      <c r="N430" s="38"/>
      <c r="R430" s="44"/>
    </row>
    <row r="431" spans="1:38" ht="19.5" customHeight="1">
      <c r="A431" s="4"/>
      <c r="E431" s="183" t="s">
        <v>917</v>
      </c>
      <c r="F431" s="183"/>
      <c r="G431" s="183"/>
      <c r="H431" s="183"/>
      <c r="I431" s="183"/>
      <c r="J431" s="183"/>
      <c r="K431" s="183"/>
      <c r="L431" s="204" t="s">
        <v>376</v>
      </c>
      <c r="M431" s="204"/>
      <c r="N431" s="204"/>
      <c r="O431" s="204"/>
      <c r="P431" s="204" t="s">
        <v>377</v>
      </c>
      <c r="Q431" s="204"/>
      <c r="R431" s="204"/>
      <c r="S431" s="204"/>
      <c r="T431" s="204" t="s">
        <v>378</v>
      </c>
      <c r="U431" s="204"/>
      <c r="V431" s="204"/>
      <c r="W431" s="204"/>
      <c r="X431" s="45"/>
      <c r="Y431" s="45"/>
      <c r="Z431" s="45"/>
      <c r="AA431" s="45"/>
      <c r="AB431" s="45"/>
      <c r="AC431" s="45"/>
      <c r="AD431" s="45"/>
      <c r="AE431" s="45"/>
      <c r="AF431" s="45"/>
      <c r="AG431" s="45"/>
      <c r="AH431" s="45"/>
      <c r="AI431" s="45"/>
      <c r="AJ431" s="45"/>
      <c r="AK431" s="45"/>
      <c r="AL431" s="45"/>
    </row>
    <row r="432" spans="1:38" ht="19.5" customHeight="1">
      <c r="A432" s="4"/>
      <c r="E432" s="183" t="s">
        <v>1365</v>
      </c>
      <c r="F432" s="183"/>
      <c r="G432" s="183"/>
      <c r="H432" s="204" t="s">
        <v>1018</v>
      </c>
      <c r="I432" s="204"/>
      <c r="J432" s="204"/>
      <c r="K432" s="204"/>
      <c r="L432" s="208">
        <f>1000/$M$317</f>
        <v>8</v>
      </c>
      <c r="M432" s="208"/>
      <c r="N432" s="208"/>
      <c r="O432" s="208"/>
      <c r="P432" s="208">
        <f>1000/$M$317</f>
        <v>8</v>
      </c>
      <c r="Q432" s="208"/>
      <c r="R432" s="208"/>
      <c r="S432" s="208"/>
      <c r="T432" s="208">
        <f>1000/$M$317</f>
        <v>8</v>
      </c>
      <c r="U432" s="208"/>
      <c r="V432" s="208"/>
      <c r="W432" s="208"/>
      <c r="X432" s="46"/>
      <c r="Y432" s="46"/>
      <c r="Z432" s="46"/>
      <c r="AA432" s="46"/>
      <c r="AB432" s="46"/>
      <c r="AC432" s="46"/>
      <c r="AD432" s="46"/>
      <c r="AE432" s="46"/>
      <c r="AF432" s="46"/>
      <c r="AG432" s="46"/>
      <c r="AH432" s="46"/>
      <c r="AI432" s="46"/>
      <c r="AJ432" s="46"/>
      <c r="AK432" s="46"/>
      <c r="AL432" s="46"/>
    </row>
    <row r="433" spans="1:38" ht="19.5" customHeight="1">
      <c r="A433" s="4" t="s">
        <v>271</v>
      </c>
      <c r="E433" s="183" t="s">
        <v>359</v>
      </c>
      <c r="F433" s="183"/>
      <c r="G433" s="183"/>
      <c r="H433" s="204" t="s">
        <v>360</v>
      </c>
      <c r="I433" s="204"/>
      <c r="J433" s="204"/>
      <c r="K433" s="204"/>
      <c r="L433" s="190">
        <f>R381</f>
        <v>1290.9</v>
      </c>
      <c r="M433" s="190"/>
      <c r="N433" s="190"/>
      <c r="O433" s="190"/>
      <c r="P433" s="190">
        <f>R384</f>
        <v>1291.4</v>
      </c>
      <c r="Q433" s="190"/>
      <c r="R433" s="190"/>
      <c r="S433" s="190"/>
      <c r="T433" s="190">
        <f>R387</f>
        <v>1290.9</v>
      </c>
      <c r="U433" s="190"/>
      <c r="V433" s="190"/>
      <c r="W433" s="190"/>
      <c r="X433" s="77"/>
      <c r="Y433" s="77"/>
      <c r="Z433" s="77"/>
      <c r="AA433" s="77"/>
      <c r="AB433" s="77"/>
      <c r="AC433" s="77"/>
      <c r="AD433" s="77"/>
      <c r="AE433" s="77"/>
      <c r="AF433" s="77"/>
      <c r="AG433" s="77"/>
      <c r="AH433" s="77"/>
      <c r="AI433" s="77"/>
      <c r="AJ433" s="77"/>
      <c r="AK433" s="77"/>
      <c r="AL433" s="77"/>
    </row>
    <row r="434" spans="1:38" ht="19.5" customHeight="1">
      <c r="A434" s="4"/>
      <c r="E434" s="183" t="s">
        <v>361</v>
      </c>
      <c r="F434" s="183"/>
      <c r="G434" s="183"/>
      <c r="H434" s="204" t="s">
        <v>362</v>
      </c>
      <c r="I434" s="204"/>
      <c r="J434" s="204"/>
      <c r="K434" s="204"/>
      <c r="L434" s="190">
        <f>$AG$256</f>
        <v>2503.2</v>
      </c>
      <c r="M434" s="190"/>
      <c r="N434" s="190"/>
      <c r="O434" s="190"/>
      <c r="P434" s="190">
        <f>$AG$241</f>
        <v>2503.2</v>
      </c>
      <c r="Q434" s="190"/>
      <c r="R434" s="190"/>
      <c r="S434" s="190"/>
      <c r="T434" s="190">
        <f>$AG$256</f>
        <v>2503.2</v>
      </c>
      <c r="U434" s="190"/>
      <c r="V434" s="190"/>
      <c r="W434" s="190"/>
      <c r="X434" s="77"/>
      <c r="Y434" s="77"/>
      <c r="Z434" s="77"/>
      <c r="AA434" s="77"/>
      <c r="AB434" s="77"/>
      <c r="AC434" s="77"/>
      <c r="AD434" s="77"/>
      <c r="AE434" s="77"/>
      <c r="AF434" s="77"/>
      <c r="AG434" s="77"/>
      <c r="AH434" s="77"/>
      <c r="AI434" s="77"/>
      <c r="AJ434" s="77"/>
      <c r="AK434" s="77"/>
      <c r="AL434" s="77"/>
    </row>
    <row r="435" spans="1:38" ht="19.5" customHeight="1">
      <c r="A435" s="4"/>
      <c r="E435" s="183" t="s">
        <v>363</v>
      </c>
      <c r="F435" s="183"/>
      <c r="G435" s="183"/>
      <c r="H435" s="204" t="s">
        <v>364</v>
      </c>
      <c r="I435" s="204"/>
      <c r="J435" s="204"/>
      <c r="K435" s="204"/>
      <c r="L435" s="213">
        <f>L433*L434/1000</f>
        <v>3231.3808799999997</v>
      </c>
      <c r="M435" s="213"/>
      <c r="N435" s="213"/>
      <c r="O435" s="213"/>
      <c r="P435" s="213">
        <f>P433*P434/1000</f>
        <v>3232.6324799999998</v>
      </c>
      <c r="Q435" s="213"/>
      <c r="R435" s="213"/>
      <c r="S435" s="213"/>
      <c r="T435" s="213">
        <f>T433*T434/1000</f>
        <v>3231.3808799999997</v>
      </c>
      <c r="U435" s="213"/>
      <c r="V435" s="213"/>
      <c r="W435" s="213"/>
      <c r="X435" s="46"/>
      <c r="Y435" s="46"/>
      <c r="Z435" s="46"/>
      <c r="AA435" s="46"/>
      <c r="AB435" s="46"/>
      <c r="AC435" s="46"/>
      <c r="AD435" s="46"/>
      <c r="AE435" s="46"/>
      <c r="AF435" s="46"/>
      <c r="AG435" s="46"/>
      <c r="AH435" s="46"/>
      <c r="AI435" s="46"/>
      <c r="AJ435" s="46"/>
      <c r="AK435" s="46"/>
      <c r="AL435" s="46"/>
    </row>
    <row r="436" spans="1:38" ht="19.5" customHeight="1">
      <c r="A436" s="4"/>
      <c r="E436" s="183" t="s">
        <v>365</v>
      </c>
      <c r="F436" s="183"/>
      <c r="G436" s="183"/>
      <c r="H436" s="204" t="s">
        <v>366</v>
      </c>
      <c r="I436" s="204"/>
      <c r="J436" s="204"/>
      <c r="K436" s="204"/>
      <c r="L436" s="190">
        <f>$AH$261</f>
        <v>3800</v>
      </c>
      <c r="M436" s="190"/>
      <c r="N436" s="190"/>
      <c r="O436" s="190"/>
      <c r="P436" s="190">
        <f>$AH$246</f>
        <v>3800</v>
      </c>
      <c r="Q436" s="190"/>
      <c r="R436" s="190"/>
      <c r="S436" s="190"/>
      <c r="T436" s="190">
        <f>$AH$261</f>
        <v>3800</v>
      </c>
      <c r="U436" s="190"/>
      <c r="V436" s="190"/>
      <c r="W436" s="190"/>
      <c r="X436" s="77"/>
      <c r="Y436" s="77"/>
      <c r="Z436" s="77"/>
      <c r="AA436" s="77"/>
      <c r="AB436" s="77"/>
      <c r="AC436" s="77"/>
      <c r="AD436" s="77"/>
      <c r="AE436" s="77"/>
      <c r="AF436" s="77"/>
      <c r="AG436" s="77"/>
      <c r="AH436" s="77"/>
      <c r="AI436" s="77"/>
      <c r="AJ436" s="77"/>
      <c r="AK436" s="77"/>
      <c r="AL436" s="77"/>
    </row>
    <row r="437" spans="1:38" ht="19.5" customHeight="1">
      <c r="A437" s="4"/>
      <c r="E437" s="183" t="s">
        <v>367</v>
      </c>
      <c r="F437" s="183"/>
      <c r="G437" s="183"/>
      <c r="H437" s="204" t="s">
        <v>368</v>
      </c>
      <c r="I437" s="204"/>
      <c r="J437" s="204"/>
      <c r="K437" s="204"/>
      <c r="L437" s="190">
        <f>$AH$263*10</f>
        <v>8</v>
      </c>
      <c r="M437" s="190"/>
      <c r="N437" s="190"/>
      <c r="O437" s="190"/>
      <c r="P437" s="190">
        <f>$AH$248*10</f>
        <v>-8</v>
      </c>
      <c r="Q437" s="190"/>
      <c r="R437" s="190"/>
      <c r="S437" s="190"/>
      <c r="T437" s="190">
        <f>$AH$263*10</f>
        <v>8</v>
      </c>
      <c r="U437" s="190"/>
      <c r="V437" s="190"/>
      <c r="W437" s="190"/>
      <c r="X437" s="77"/>
      <c r="Y437" s="77"/>
      <c r="Z437" s="77"/>
      <c r="AA437" s="77"/>
      <c r="AB437" s="77"/>
      <c r="AC437" s="77"/>
      <c r="AD437" s="77"/>
      <c r="AE437" s="77"/>
      <c r="AF437" s="77"/>
      <c r="AG437" s="77"/>
      <c r="AH437" s="77"/>
      <c r="AI437" s="77"/>
      <c r="AJ437" s="77"/>
      <c r="AK437" s="77"/>
      <c r="AL437" s="77"/>
    </row>
    <row r="438" spans="1:38" ht="19.5" customHeight="1">
      <c r="A438" s="4"/>
      <c r="E438" s="283" t="s">
        <v>369</v>
      </c>
      <c r="F438" s="284"/>
      <c r="G438" s="253"/>
      <c r="H438" s="204" t="s">
        <v>370</v>
      </c>
      <c r="I438" s="204"/>
      <c r="J438" s="204"/>
      <c r="K438" s="204"/>
      <c r="L438" s="213">
        <f>$AH$266</f>
        <v>571583.3333333334</v>
      </c>
      <c r="M438" s="213"/>
      <c r="N438" s="213"/>
      <c r="O438" s="213"/>
      <c r="P438" s="213">
        <f>$AH$251</f>
        <v>-571583.3333333334</v>
      </c>
      <c r="Q438" s="213"/>
      <c r="R438" s="213"/>
      <c r="S438" s="213"/>
      <c r="T438" s="213">
        <f>$AH$266</f>
        <v>571583.3333333334</v>
      </c>
      <c r="U438" s="213"/>
      <c r="V438" s="213"/>
      <c r="W438" s="213"/>
      <c r="X438" s="46"/>
      <c r="Y438" s="46"/>
      <c r="Z438" s="46"/>
      <c r="AA438" s="46"/>
      <c r="AB438" s="46"/>
      <c r="AC438" s="46"/>
      <c r="AD438" s="46"/>
      <c r="AE438" s="46"/>
      <c r="AF438" s="46"/>
      <c r="AG438" s="46"/>
      <c r="AH438" s="46"/>
      <c r="AI438" s="46"/>
      <c r="AJ438" s="46"/>
      <c r="AK438" s="46"/>
      <c r="AL438" s="46"/>
    </row>
    <row r="439" spans="1:38" ht="19.5" customHeight="1">
      <c r="A439" s="4"/>
      <c r="E439" s="283" t="s">
        <v>146</v>
      </c>
      <c r="F439" s="284"/>
      <c r="G439" s="253"/>
      <c r="H439" s="204" t="s">
        <v>360</v>
      </c>
      <c r="I439" s="204"/>
      <c r="J439" s="204"/>
      <c r="K439" s="204"/>
      <c r="L439" s="213">
        <f>L435*1000/(L436*100)+L435*1000*L437/(L438*1000)</f>
        <v>8.54886097805511</v>
      </c>
      <c r="M439" s="213"/>
      <c r="N439" s="213"/>
      <c r="O439" s="213"/>
      <c r="P439" s="213">
        <f>P435*1000/(P436*100)+P435*1000*P437/(P438*1000)</f>
        <v>8.55217217992127</v>
      </c>
      <c r="Q439" s="213"/>
      <c r="R439" s="213"/>
      <c r="S439" s="213"/>
      <c r="T439" s="213">
        <f>T435*1000/(T436*100)+T435*1000*T437/(T438*1000)</f>
        <v>8.54886097805511</v>
      </c>
      <c r="U439" s="213"/>
      <c r="V439" s="213"/>
      <c r="W439" s="213"/>
      <c r="X439" s="46"/>
      <c r="Y439" s="46"/>
      <c r="Z439" s="46"/>
      <c r="AA439" s="46"/>
      <c r="AB439" s="46"/>
      <c r="AC439" s="46"/>
      <c r="AD439" s="46"/>
      <c r="AE439" s="46"/>
      <c r="AF439" s="46"/>
      <c r="AG439" s="46"/>
      <c r="AH439" s="46"/>
      <c r="AI439" s="46"/>
      <c r="AJ439" s="46"/>
      <c r="AK439" s="46"/>
      <c r="AL439" s="46"/>
    </row>
    <row r="440" spans="1:38" ht="19.5" customHeight="1">
      <c r="A440" s="4"/>
      <c r="B440" s="4" t="s">
        <v>271</v>
      </c>
      <c r="C440" s="4"/>
      <c r="E440" s="283" t="s">
        <v>147</v>
      </c>
      <c r="F440" s="284"/>
      <c r="G440" s="253"/>
      <c r="H440" s="204" t="s">
        <v>360</v>
      </c>
      <c r="I440" s="204"/>
      <c r="J440" s="204"/>
      <c r="K440" s="204"/>
      <c r="L440" s="213">
        <f>-N288</f>
        <v>0.0435579530543811</v>
      </c>
      <c r="M440" s="213"/>
      <c r="N440" s="213"/>
      <c r="O440" s="213"/>
      <c r="P440" s="213">
        <f>-R288</f>
        <v>0.01926753171016183</v>
      </c>
      <c r="Q440" s="213"/>
      <c r="R440" s="213"/>
      <c r="S440" s="213"/>
      <c r="T440" s="213">
        <f>-V288</f>
        <v>0.0435579530543811</v>
      </c>
      <c r="U440" s="213"/>
      <c r="V440" s="213"/>
      <c r="W440" s="213"/>
      <c r="X440" s="46"/>
      <c r="Y440" s="46"/>
      <c r="Z440" s="46"/>
      <c r="AA440" s="46"/>
      <c r="AB440" s="46"/>
      <c r="AC440" s="46"/>
      <c r="AD440" s="46"/>
      <c r="AE440" s="46"/>
      <c r="AF440" s="46"/>
      <c r="AG440" s="46"/>
      <c r="AH440" s="46"/>
      <c r="AI440" s="46"/>
      <c r="AJ440" s="46"/>
      <c r="AK440" s="46"/>
      <c r="AL440" s="46"/>
    </row>
    <row r="441" spans="1:38" ht="19.5" customHeight="1">
      <c r="A441" s="4"/>
      <c r="B441" s="4"/>
      <c r="C441" s="4" t="s">
        <v>271</v>
      </c>
      <c r="D441" s="4"/>
      <c r="E441" s="283" t="s">
        <v>342</v>
      </c>
      <c r="F441" s="284"/>
      <c r="G441" s="253"/>
      <c r="H441" s="204" t="s">
        <v>360</v>
      </c>
      <c r="I441" s="204"/>
      <c r="J441" s="204"/>
      <c r="K441" s="204"/>
      <c r="L441" s="213">
        <f>L439+L440</f>
        <v>8.592418931109492</v>
      </c>
      <c r="M441" s="213"/>
      <c r="N441" s="213"/>
      <c r="O441" s="213"/>
      <c r="P441" s="213">
        <f>P439+P440</f>
        <v>8.571439711631431</v>
      </c>
      <c r="Q441" s="213"/>
      <c r="R441" s="213"/>
      <c r="S441" s="213"/>
      <c r="T441" s="213">
        <f>T439+T440</f>
        <v>8.592418931109492</v>
      </c>
      <c r="U441" s="213"/>
      <c r="V441" s="213"/>
      <c r="W441" s="213"/>
      <c r="X441" s="46"/>
      <c r="Y441" s="46"/>
      <c r="Z441" s="46"/>
      <c r="AA441" s="46"/>
      <c r="AB441" s="46"/>
      <c r="AC441" s="46"/>
      <c r="AD441" s="46"/>
      <c r="AE441" s="46"/>
      <c r="AF441" s="46"/>
      <c r="AG441" s="46"/>
      <c r="AH441" s="46"/>
      <c r="AI441" s="46"/>
      <c r="AJ441" s="46"/>
      <c r="AK441" s="46"/>
      <c r="AL441" s="46"/>
    </row>
    <row r="442" spans="1:44" ht="19.5" customHeight="1">
      <c r="A442" s="4"/>
      <c r="B442" s="4"/>
      <c r="C442" s="4" t="s">
        <v>271</v>
      </c>
      <c r="D442" s="4"/>
      <c r="E442" s="283" t="s">
        <v>371</v>
      </c>
      <c r="F442" s="284"/>
      <c r="G442" s="253"/>
      <c r="H442" s="204" t="s">
        <v>360</v>
      </c>
      <c r="I442" s="204"/>
      <c r="J442" s="204"/>
      <c r="K442" s="204"/>
      <c r="L442" s="213">
        <f>1/2*$AJ$400*L441*(L432-1)/L432</f>
        <v>28.916794479695405</v>
      </c>
      <c r="M442" s="213"/>
      <c r="N442" s="213"/>
      <c r="O442" s="213"/>
      <c r="P442" s="213">
        <f>1/2*$AJ$400*P441*(P432-1)/P432</f>
        <v>28.846191337221164</v>
      </c>
      <c r="Q442" s="213"/>
      <c r="R442" s="213"/>
      <c r="S442" s="213"/>
      <c r="T442" s="213">
        <f>1/2*$AJ$400*T441*(T432-1)/T432</f>
        <v>28.916794479695405</v>
      </c>
      <c r="U442" s="213"/>
      <c r="V442" s="213"/>
      <c r="W442" s="213"/>
      <c r="X442" s="46"/>
      <c r="Y442" s="46"/>
      <c r="Z442" s="46"/>
      <c r="AA442" s="46"/>
      <c r="AB442" s="46"/>
      <c r="AC442" s="46"/>
      <c r="AD442" s="46"/>
      <c r="AE442" s="46"/>
      <c r="AF442" s="46"/>
      <c r="AG442" s="46"/>
      <c r="AH442" s="46"/>
      <c r="AI442" s="46"/>
      <c r="AJ442" s="46"/>
      <c r="AK442" s="46"/>
      <c r="AL442" s="46"/>
      <c r="AR442" s="42"/>
    </row>
    <row r="443" spans="1:23" ht="19.5" customHeight="1">
      <c r="A443" s="4"/>
      <c r="B443" s="4"/>
      <c r="D443" s="4"/>
      <c r="E443" s="183" t="s">
        <v>372</v>
      </c>
      <c r="F443" s="183"/>
      <c r="G443" s="183"/>
      <c r="H443" s="204" t="s">
        <v>360</v>
      </c>
      <c r="I443" s="204"/>
      <c r="J443" s="204"/>
      <c r="K443" s="204"/>
      <c r="L443" s="190">
        <f>L433-L442</f>
        <v>1261.9832055203046</v>
      </c>
      <c r="M443" s="190"/>
      <c r="N443" s="190"/>
      <c r="O443" s="190"/>
      <c r="P443" s="190">
        <f>P433-P442</f>
        <v>1262.553808662779</v>
      </c>
      <c r="Q443" s="190"/>
      <c r="R443" s="190"/>
      <c r="S443" s="190"/>
      <c r="T443" s="190">
        <f>T433-T442</f>
        <v>1261.9832055203046</v>
      </c>
      <c r="U443" s="190"/>
      <c r="V443" s="190"/>
      <c r="W443" s="190"/>
    </row>
    <row r="444" spans="1:23" ht="19.5" customHeight="1">
      <c r="A444" s="4"/>
      <c r="B444" s="4"/>
      <c r="D444" s="4"/>
      <c r="E444" s="49"/>
      <c r="F444" s="49"/>
      <c r="G444" s="49"/>
      <c r="H444" s="45"/>
      <c r="I444" s="45"/>
      <c r="J444" s="45"/>
      <c r="K444" s="45"/>
      <c r="L444" s="37"/>
      <c r="M444" s="37"/>
      <c r="N444" s="37"/>
      <c r="O444" s="37"/>
      <c r="P444" s="37"/>
      <c r="Q444" s="37"/>
      <c r="R444" s="37"/>
      <c r="S444" s="37"/>
      <c r="T444" s="37"/>
      <c r="U444" s="37"/>
      <c r="V444" s="37"/>
      <c r="W444" s="37"/>
    </row>
    <row r="445" spans="1:12" ht="19.5" customHeight="1">
      <c r="A445" s="4"/>
      <c r="B445" s="4"/>
      <c r="D445" s="4" t="s">
        <v>1193</v>
      </c>
      <c r="E445" s="4"/>
      <c r="F445" s="4"/>
      <c r="G445" s="4"/>
      <c r="H445" s="4"/>
      <c r="I445" s="4"/>
      <c r="J445" s="4"/>
      <c r="K445" s="4"/>
      <c r="L445" s="4"/>
    </row>
    <row r="446" spans="1:33" ht="19.5" customHeight="1">
      <c r="A446" s="4"/>
      <c r="B446" s="4"/>
      <c r="C446" s="4"/>
      <c r="E446" s="4" t="s">
        <v>379</v>
      </c>
      <c r="F446" s="4"/>
      <c r="G446" s="4"/>
      <c r="H446" s="4"/>
      <c r="I446" s="4"/>
      <c r="J446" s="4"/>
      <c r="K446" s="4"/>
      <c r="L446" s="4"/>
      <c r="Y446" s="29"/>
      <c r="Z446" s="29"/>
      <c r="AA446" s="29"/>
      <c r="AB446" s="29"/>
      <c r="AC446" s="29"/>
      <c r="AD446" s="29"/>
      <c r="AE446" s="29"/>
      <c r="AF446" s="29"/>
      <c r="AG446" s="29"/>
    </row>
    <row r="447" spans="1:39" ht="19.5" customHeight="1">
      <c r="A447" s="4" t="s">
        <v>380</v>
      </c>
      <c r="B447" s="4"/>
      <c r="C447" s="4"/>
      <c r="D447" s="4"/>
      <c r="E447" s="4"/>
      <c r="F447" s="4"/>
      <c r="G447" s="33" t="s">
        <v>351</v>
      </c>
      <c r="H447" s="237">
        <f>-Z460</f>
        <v>-3160.4031905012785</v>
      </c>
      <c r="I447" s="237"/>
      <c r="J447" s="237"/>
      <c r="K447" s="27" t="s">
        <v>1364</v>
      </c>
      <c r="L447" s="39" t="s">
        <v>381</v>
      </c>
      <c r="N447" s="39" t="s">
        <v>382</v>
      </c>
      <c r="O447" s="237">
        <f>AH246</f>
        <v>3800</v>
      </c>
      <c r="P447" s="237"/>
      <c r="Q447" s="237"/>
      <c r="R447" s="27" t="s">
        <v>1364</v>
      </c>
      <c r="S447" s="39" t="s">
        <v>383</v>
      </c>
      <c r="U447" s="35" t="s">
        <v>384</v>
      </c>
      <c r="V447" s="237">
        <f>Z460</f>
        <v>3160.4031905012785</v>
      </c>
      <c r="W447" s="237"/>
      <c r="X447" s="237"/>
      <c r="Y447" s="27" t="s">
        <v>1364</v>
      </c>
      <c r="Z447" s="39" t="s">
        <v>381</v>
      </c>
      <c r="AB447" s="27" t="s">
        <v>1364</v>
      </c>
      <c r="AC447" s="40">
        <f>AH248*10</f>
        <v>-8</v>
      </c>
      <c r="AD447" s="40"/>
      <c r="AE447" s="39" t="s">
        <v>382</v>
      </c>
      <c r="AF447" s="145">
        <f>AH249</f>
        <v>-24066.666666666668</v>
      </c>
      <c r="AG447" s="145"/>
      <c r="AH447" s="145"/>
      <c r="AI447" s="145"/>
      <c r="AJ447" s="145"/>
      <c r="AK447" s="27" t="s">
        <v>1364</v>
      </c>
      <c r="AL447" s="39" t="s">
        <v>381</v>
      </c>
      <c r="AM447" s="27"/>
    </row>
    <row r="448" spans="1:24" ht="19.5" customHeight="1">
      <c r="A448" s="4" t="s">
        <v>380</v>
      </c>
      <c r="B448" s="4"/>
      <c r="C448" s="4"/>
      <c r="D448" s="4"/>
      <c r="E448" s="4"/>
      <c r="F448" s="4"/>
      <c r="G448" s="33" t="s">
        <v>351</v>
      </c>
      <c r="H448" s="244">
        <f>H447*10/O447-V447*AC447/AF447</f>
        <v>-9.367400038327888</v>
      </c>
      <c r="I448" s="244"/>
      <c r="J448" s="244"/>
      <c r="K448" s="29" t="s">
        <v>385</v>
      </c>
      <c r="O448" s="27" t="str">
        <f>IF(ABS(H448)&lt;=ABS(U448),"≤","＞")</f>
        <v>≤</v>
      </c>
      <c r="R448" s="27" t="s">
        <v>386</v>
      </c>
      <c r="U448" s="237">
        <v>-19</v>
      </c>
      <c r="V448" s="237"/>
      <c r="W448" s="237"/>
      <c r="X448" s="29" t="s">
        <v>385</v>
      </c>
    </row>
    <row r="449" spans="1:12" ht="19.5" customHeight="1">
      <c r="A449" s="4"/>
      <c r="B449" s="4"/>
      <c r="C449" s="4"/>
      <c r="D449" s="4"/>
      <c r="E449" s="4" t="s">
        <v>387</v>
      </c>
      <c r="F449" s="4"/>
      <c r="G449" s="4"/>
      <c r="H449" s="4"/>
      <c r="I449" s="4"/>
      <c r="J449" s="4"/>
      <c r="K449" s="4"/>
      <c r="L449" s="4"/>
    </row>
    <row r="450" spans="1:39" ht="19.5" customHeight="1">
      <c r="A450" s="4" t="s">
        <v>380</v>
      </c>
      <c r="B450" s="4"/>
      <c r="C450" s="4"/>
      <c r="D450" s="4"/>
      <c r="E450" s="4"/>
      <c r="F450" s="4"/>
      <c r="G450" s="33" t="s">
        <v>351</v>
      </c>
      <c r="H450" s="237">
        <f>H447</f>
        <v>-3160.4031905012785</v>
      </c>
      <c r="I450" s="237"/>
      <c r="J450" s="237"/>
      <c r="K450" s="27" t="s">
        <v>1364</v>
      </c>
      <c r="L450" s="39" t="s">
        <v>381</v>
      </c>
      <c r="N450" s="39" t="s">
        <v>382</v>
      </c>
      <c r="O450" s="237">
        <f>O447</f>
        <v>3800</v>
      </c>
      <c r="P450" s="237"/>
      <c r="Q450" s="237"/>
      <c r="R450" s="27" t="s">
        <v>1364</v>
      </c>
      <c r="S450" s="39" t="s">
        <v>383</v>
      </c>
      <c r="U450" s="35" t="s">
        <v>384</v>
      </c>
      <c r="V450" s="237">
        <f>V447</f>
        <v>3160.4031905012785</v>
      </c>
      <c r="W450" s="237"/>
      <c r="X450" s="237"/>
      <c r="Y450" s="27" t="s">
        <v>1364</v>
      </c>
      <c r="Z450" s="39" t="s">
        <v>381</v>
      </c>
      <c r="AB450" s="27" t="s">
        <v>1364</v>
      </c>
      <c r="AC450" s="40">
        <f>AC447</f>
        <v>-8</v>
      </c>
      <c r="AD450" s="40"/>
      <c r="AE450" s="39" t="s">
        <v>382</v>
      </c>
      <c r="AF450" s="145">
        <f>AH250</f>
        <v>24066.666666666668</v>
      </c>
      <c r="AG450" s="145"/>
      <c r="AH450" s="145"/>
      <c r="AI450" s="145"/>
      <c r="AJ450" s="145"/>
      <c r="AK450" s="27" t="s">
        <v>1364</v>
      </c>
      <c r="AL450" s="39" t="s">
        <v>381</v>
      </c>
      <c r="AM450" s="27"/>
    </row>
    <row r="451" spans="1:24" ht="19.5" customHeight="1">
      <c r="A451" s="4" t="s">
        <v>380</v>
      </c>
      <c r="B451" s="4"/>
      <c r="C451" s="4"/>
      <c r="D451" s="4"/>
      <c r="E451" s="4"/>
      <c r="F451" s="4"/>
      <c r="G451" s="33" t="s">
        <v>351</v>
      </c>
      <c r="H451" s="244">
        <f>H450*10/O450-V450*AC450/AF450</f>
        <v>-7.266300964310418</v>
      </c>
      <c r="I451" s="244"/>
      <c r="J451" s="244"/>
      <c r="K451" s="29" t="s">
        <v>385</v>
      </c>
      <c r="O451" s="27" t="str">
        <f>IF(ABS(H451)&lt;=ABS(U451),"≤","＞")</f>
        <v>≤</v>
      </c>
      <c r="R451" s="27" t="s">
        <v>386</v>
      </c>
      <c r="U451" s="237">
        <v>-19</v>
      </c>
      <c r="V451" s="237"/>
      <c r="W451" s="237"/>
      <c r="X451" s="29" t="s">
        <v>385</v>
      </c>
    </row>
    <row r="452" spans="1:12" ht="19.5" customHeight="1">
      <c r="A452" s="4"/>
      <c r="B452" s="4"/>
      <c r="C452" s="4"/>
      <c r="D452" s="4"/>
      <c r="E452" s="4" t="s">
        <v>388</v>
      </c>
      <c r="F452" s="4"/>
      <c r="G452" s="4"/>
      <c r="H452" s="4"/>
      <c r="I452" s="4"/>
      <c r="J452" s="4"/>
      <c r="K452" s="4"/>
      <c r="L452" s="4"/>
    </row>
    <row r="453" spans="1:39" ht="19.5" customHeight="1">
      <c r="A453" s="4" t="s">
        <v>380</v>
      </c>
      <c r="B453" s="4"/>
      <c r="C453" s="4"/>
      <c r="D453" s="4"/>
      <c r="E453" s="4"/>
      <c r="F453" s="4"/>
      <c r="G453" s="33" t="s">
        <v>351</v>
      </c>
      <c r="H453" s="237">
        <f>H450</f>
        <v>-3160.4031905012785</v>
      </c>
      <c r="I453" s="237"/>
      <c r="J453" s="237"/>
      <c r="K453" s="27" t="s">
        <v>1364</v>
      </c>
      <c r="L453" s="39" t="s">
        <v>381</v>
      </c>
      <c r="N453" s="39" t="s">
        <v>382</v>
      </c>
      <c r="O453" s="237">
        <f>O450</f>
        <v>3800</v>
      </c>
      <c r="P453" s="237"/>
      <c r="Q453" s="237"/>
      <c r="R453" s="27" t="s">
        <v>1364</v>
      </c>
      <c r="S453" s="39" t="s">
        <v>383</v>
      </c>
      <c r="U453" s="35" t="s">
        <v>384</v>
      </c>
      <c r="V453" s="237">
        <f>V450</f>
        <v>3160.4031905012785</v>
      </c>
      <c r="W453" s="237"/>
      <c r="X453" s="237"/>
      <c r="Y453" s="27" t="s">
        <v>1364</v>
      </c>
      <c r="Z453" s="39" t="s">
        <v>381</v>
      </c>
      <c r="AB453" s="27" t="s">
        <v>1364</v>
      </c>
      <c r="AC453" s="40">
        <f>AC450</f>
        <v>-8</v>
      </c>
      <c r="AD453" s="40"/>
      <c r="AE453" s="39" t="s">
        <v>382</v>
      </c>
      <c r="AF453" s="145">
        <f>AH251</f>
        <v>-571583.3333333334</v>
      </c>
      <c r="AG453" s="145"/>
      <c r="AH453" s="145"/>
      <c r="AI453" s="145"/>
      <c r="AJ453" s="145"/>
      <c r="AK453" s="27" t="s">
        <v>1364</v>
      </c>
      <c r="AL453" s="39" t="s">
        <v>381</v>
      </c>
      <c r="AM453" s="27"/>
    </row>
    <row r="454" spans="1:24" ht="19.5" customHeight="1">
      <c r="A454" s="4" t="s">
        <v>380</v>
      </c>
      <c r="B454" s="4"/>
      <c r="C454" s="4"/>
      <c r="D454" s="4"/>
      <c r="E454" s="4"/>
      <c r="F454" s="4"/>
      <c r="G454" s="33" t="s">
        <v>351</v>
      </c>
      <c r="H454" s="244">
        <f>H453*10/O453-V453*AC453/AF453</f>
        <v>-8.361084166035312</v>
      </c>
      <c r="I454" s="244"/>
      <c r="J454" s="244"/>
      <c r="K454" s="29" t="s">
        <v>385</v>
      </c>
      <c r="O454" s="27" t="str">
        <f>IF(ABS(H454)&lt;=ABS(U454),"≤","＞")</f>
        <v>≤</v>
      </c>
      <c r="R454" s="27" t="s">
        <v>386</v>
      </c>
      <c r="U454" s="237">
        <v>-19</v>
      </c>
      <c r="V454" s="237"/>
      <c r="W454" s="237"/>
      <c r="X454" s="29" t="s">
        <v>385</v>
      </c>
    </row>
    <row r="455" spans="1:12" ht="19.5" customHeight="1">
      <c r="A455" s="4"/>
      <c r="B455" s="4"/>
      <c r="C455" s="4"/>
      <c r="E455" s="4" t="s">
        <v>929</v>
      </c>
      <c r="F455" s="4"/>
      <c r="G455" s="4"/>
      <c r="H455" s="4"/>
      <c r="I455" s="4"/>
      <c r="J455" s="4"/>
      <c r="K455" s="4"/>
      <c r="L455" s="4"/>
    </row>
    <row r="456" spans="1:13" ht="19.5" customHeight="1">
      <c r="A456" s="4"/>
      <c r="B456" s="4"/>
      <c r="C456" s="4"/>
      <c r="D456" s="4"/>
      <c r="E456" s="27" t="s">
        <v>389</v>
      </c>
      <c r="F456" s="4"/>
      <c r="G456" s="4"/>
      <c r="H456" s="4"/>
      <c r="I456" s="4"/>
      <c r="J456" s="4"/>
      <c r="M456" s="4" t="s">
        <v>1194</v>
      </c>
    </row>
    <row r="457" spans="1:14" ht="19.5" customHeight="1">
      <c r="A457" s="4"/>
      <c r="B457" s="4"/>
      <c r="C457" s="4"/>
      <c r="D457" s="4"/>
      <c r="F457" s="4"/>
      <c r="G457" s="4"/>
      <c r="H457" s="4"/>
      <c r="I457" s="4"/>
      <c r="J457" s="4"/>
      <c r="N457" s="27" t="s">
        <v>390</v>
      </c>
    </row>
    <row r="458" spans="1:13" ht="19.5" customHeight="1">
      <c r="A458" s="4"/>
      <c r="B458" s="4"/>
      <c r="C458" s="4"/>
      <c r="D458" s="4"/>
      <c r="E458" s="4" t="s">
        <v>391</v>
      </c>
      <c r="F458" s="4"/>
      <c r="G458" s="4"/>
      <c r="J458" s="4"/>
      <c r="K458" s="4"/>
      <c r="M458" s="4" t="s">
        <v>1195</v>
      </c>
    </row>
    <row r="459" spans="1:17" ht="19.5" customHeight="1">
      <c r="A459" s="4"/>
      <c r="B459" s="4"/>
      <c r="C459" s="4"/>
      <c r="D459" s="4"/>
      <c r="F459" s="4"/>
      <c r="G459" s="4"/>
      <c r="N459" s="4" t="s">
        <v>391</v>
      </c>
      <c r="O459" s="4"/>
      <c r="P459" s="35" t="s">
        <v>351</v>
      </c>
      <c r="Q459" s="27" t="s">
        <v>392</v>
      </c>
    </row>
    <row r="460" spans="1:34" ht="19.5" customHeight="1">
      <c r="A460" s="4"/>
      <c r="B460" s="4"/>
      <c r="C460" s="4"/>
      <c r="D460" s="4"/>
      <c r="F460" s="4"/>
      <c r="G460" s="4"/>
      <c r="N460" s="4"/>
      <c r="O460" s="4"/>
      <c r="P460" s="35" t="s">
        <v>351</v>
      </c>
      <c r="Q460" s="38">
        <f>P418</f>
        <v>2503.2</v>
      </c>
      <c r="R460" s="38"/>
      <c r="S460" s="38"/>
      <c r="T460" s="27" t="s">
        <v>1364</v>
      </c>
      <c r="U460" s="237">
        <f>P427</f>
        <v>1262.5452183210605</v>
      </c>
      <c r="V460" s="237"/>
      <c r="W460" s="237"/>
      <c r="X460" s="237"/>
      <c r="Y460" s="35" t="s">
        <v>351</v>
      </c>
      <c r="Z460" s="237">
        <f>Q460*U460/1000</f>
        <v>3160.4031905012785</v>
      </c>
      <c r="AA460" s="237"/>
      <c r="AB460" s="237"/>
      <c r="AC460" s="237"/>
      <c r="AD460" s="154" t="s">
        <v>353</v>
      </c>
      <c r="AH460" s="27"/>
    </row>
    <row r="461" spans="1:13" ht="19.5" customHeight="1">
      <c r="A461" s="4"/>
      <c r="B461" s="4"/>
      <c r="C461" s="4"/>
      <c r="D461" s="4"/>
      <c r="E461" s="4" t="s">
        <v>393</v>
      </c>
      <c r="F461" s="4"/>
      <c r="G461" s="4"/>
      <c r="J461" s="4"/>
      <c r="M461" s="4" t="s">
        <v>1196</v>
      </c>
    </row>
    <row r="462" spans="1:13" ht="19.5" customHeight="1">
      <c r="A462" s="4"/>
      <c r="B462" s="4"/>
      <c r="C462" s="4"/>
      <c r="D462" s="4"/>
      <c r="E462" s="4" t="s">
        <v>394</v>
      </c>
      <c r="F462" s="4"/>
      <c r="G462" s="4"/>
      <c r="J462" s="4"/>
      <c r="M462" s="4" t="s">
        <v>1197</v>
      </c>
    </row>
    <row r="463" spans="1:13" ht="19.5" customHeight="1">
      <c r="A463" s="4"/>
      <c r="B463" s="4"/>
      <c r="C463" s="4"/>
      <c r="D463" s="4"/>
      <c r="E463" s="151" t="s">
        <v>395</v>
      </c>
      <c r="F463" s="151"/>
      <c r="G463" s="100"/>
      <c r="H463" s="100"/>
      <c r="I463" s="151"/>
      <c r="J463" s="42"/>
      <c r="M463" s="4" t="s">
        <v>1198</v>
      </c>
    </row>
    <row r="464" spans="1:13" ht="19.5" customHeight="1">
      <c r="A464" s="4"/>
      <c r="B464" s="4"/>
      <c r="C464" s="4"/>
      <c r="D464" s="4"/>
      <c r="E464" s="151"/>
      <c r="F464" s="151"/>
      <c r="G464" s="100"/>
      <c r="H464" s="100"/>
      <c r="I464" s="151"/>
      <c r="J464" s="42"/>
      <c r="M464" s="4"/>
    </row>
    <row r="465" spans="1:12" ht="19.5" customHeight="1">
      <c r="A465" s="4"/>
      <c r="B465" s="4"/>
      <c r="C465" s="4"/>
      <c r="E465" s="4" t="s">
        <v>1199</v>
      </c>
      <c r="F465" s="4"/>
      <c r="G465" s="4"/>
      <c r="H465" s="4"/>
      <c r="I465" s="4"/>
      <c r="J465" s="4"/>
      <c r="K465" s="4"/>
      <c r="L465" s="4"/>
    </row>
    <row r="466" spans="1:38" ht="19.5" customHeight="1">
      <c r="A466" s="4"/>
      <c r="E466" s="183" t="s">
        <v>1021</v>
      </c>
      <c r="F466" s="183"/>
      <c r="G466" s="183"/>
      <c r="H466" s="183"/>
      <c r="I466" s="183"/>
      <c r="J466" s="183"/>
      <c r="K466" s="183"/>
      <c r="L466" s="204" t="s">
        <v>376</v>
      </c>
      <c r="M466" s="204"/>
      <c r="N466" s="204"/>
      <c r="O466" s="204"/>
      <c r="P466" s="204" t="s">
        <v>377</v>
      </c>
      <c r="Q466" s="204"/>
      <c r="R466" s="204"/>
      <c r="S466" s="204"/>
      <c r="T466" s="204" t="s">
        <v>378</v>
      </c>
      <c r="U466" s="204"/>
      <c r="V466" s="204"/>
      <c r="W466" s="204"/>
      <c r="X466" s="45"/>
      <c r="Y466" s="45"/>
      <c r="Z466" s="45"/>
      <c r="AA466" s="45"/>
      <c r="AB466" s="45"/>
      <c r="AC466" s="45"/>
      <c r="AD466" s="45"/>
      <c r="AE466" s="45"/>
      <c r="AF466" s="45"/>
      <c r="AG466" s="45"/>
      <c r="AH466" s="45"/>
      <c r="AI466" s="45"/>
      <c r="AJ466" s="45"/>
      <c r="AK466" s="45"/>
      <c r="AL466" s="45"/>
    </row>
    <row r="467" spans="1:38" ht="19.5" customHeight="1">
      <c r="A467" s="4" t="s">
        <v>380</v>
      </c>
      <c r="E467" s="183" t="s">
        <v>396</v>
      </c>
      <c r="F467" s="183"/>
      <c r="G467" s="183"/>
      <c r="H467" s="204" t="s">
        <v>325</v>
      </c>
      <c r="I467" s="204"/>
      <c r="J467" s="204"/>
      <c r="K467" s="204"/>
      <c r="L467" s="190">
        <f>L427</f>
        <v>1261.9832055203046</v>
      </c>
      <c r="M467" s="190"/>
      <c r="N467" s="190"/>
      <c r="O467" s="190"/>
      <c r="P467" s="190">
        <f>P427</f>
        <v>1262.5452183210605</v>
      </c>
      <c r="Q467" s="190"/>
      <c r="R467" s="190"/>
      <c r="S467" s="190"/>
      <c r="T467" s="190">
        <f>T427</f>
        <v>1261.9832055203046</v>
      </c>
      <c r="U467" s="190"/>
      <c r="V467" s="190"/>
      <c r="W467" s="190"/>
      <c r="X467" s="77"/>
      <c r="Y467" s="77"/>
      <c r="Z467" s="77"/>
      <c r="AA467" s="77"/>
      <c r="AB467" s="77"/>
      <c r="AC467" s="77"/>
      <c r="AD467" s="77"/>
      <c r="AE467" s="77"/>
      <c r="AF467" s="77"/>
      <c r="AG467" s="77"/>
      <c r="AH467" s="77"/>
      <c r="AI467" s="77"/>
      <c r="AJ467" s="77"/>
      <c r="AK467" s="77"/>
      <c r="AL467" s="77"/>
    </row>
    <row r="468" spans="1:38" ht="19.5" customHeight="1">
      <c r="A468" s="4"/>
      <c r="E468" s="183" t="s">
        <v>393</v>
      </c>
      <c r="F468" s="183"/>
      <c r="G468" s="183"/>
      <c r="H468" s="204" t="s">
        <v>397</v>
      </c>
      <c r="I468" s="204"/>
      <c r="J468" s="204"/>
      <c r="K468" s="204"/>
      <c r="L468" s="190">
        <f>$AG$256</f>
        <v>2503.2</v>
      </c>
      <c r="M468" s="190"/>
      <c r="N468" s="190"/>
      <c r="O468" s="190"/>
      <c r="P468" s="190">
        <f>$AG$241</f>
        <v>2503.2</v>
      </c>
      <c r="Q468" s="190"/>
      <c r="R468" s="190"/>
      <c r="S468" s="190"/>
      <c r="T468" s="190">
        <f>$AG$256</f>
        <v>2503.2</v>
      </c>
      <c r="U468" s="190"/>
      <c r="V468" s="190"/>
      <c r="W468" s="190"/>
      <c r="X468" s="77"/>
      <c r="Y468" s="77"/>
      <c r="Z468" s="77"/>
      <c r="AA468" s="77"/>
      <c r="AB468" s="77"/>
      <c r="AC468" s="77"/>
      <c r="AD468" s="77"/>
      <c r="AE468" s="77"/>
      <c r="AF468" s="77"/>
      <c r="AG468" s="77"/>
      <c r="AH468" s="77"/>
      <c r="AI468" s="77"/>
      <c r="AJ468" s="77"/>
      <c r="AK468" s="77"/>
      <c r="AL468" s="77"/>
    </row>
    <row r="469" spans="1:38" ht="19.5" customHeight="1">
      <c r="A469" s="4"/>
      <c r="E469" s="183" t="s">
        <v>391</v>
      </c>
      <c r="F469" s="183"/>
      <c r="G469" s="183"/>
      <c r="H469" s="204" t="s">
        <v>398</v>
      </c>
      <c r="I469" s="204"/>
      <c r="J469" s="204"/>
      <c r="K469" s="204"/>
      <c r="L469" s="213">
        <f>L467*L468/1000</f>
        <v>3158.9963600584265</v>
      </c>
      <c r="M469" s="213"/>
      <c r="N469" s="213"/>
      <c r="O469" s="213"/>
      <c r="P469" s="213">
        <f>P467*P468/1000</f>
        <v>3160.4031905012785</v>
      </c>
      <c r="Q469" s="213"/>
      <c r="R469" s="213"/>
      <c r="S469" s="213"/>
      <c r="T469" s="213">
        <f>T467*T468/1000</f>
        <v>3158.9963600584265</v>
      </c>
      <c r="U469" s="213"/>
      <c r="V469" s="213"/>
      <c r="W469" s="213"/>
      <c r="X469" s="46"/>
      <c r="Y469" s="46"/>
      <c r="Z469" s="46"/>
      <c r="AA469" s="46"/>
      <c r="AB469" s="46"/>
      <c r="AC469" s="46"/>
      <c r="AD469" s="46"/>
      <c r="AE469" s="46"/>
      <c r="AF469" s="46"/>
      <c r="AG469" s="46"/>
      <c r="AH469" s="46"/>
      <c r="AI469" s="46"/>
      <c r="AJ469" s="46"/>
      <c r="AK469" s="46"/>
      <c r="AL469" s="46"/>
    </row>
    <row r="470" spans="1:38" ht="19.5" customHeight="1">
      <c r="A470" s="4"/>
      <c r="E470" s="183" t="s">
        <v>399</v>
      </c>
      <c r="F470" s="183"/>
      <c r="G470" s="183"/>
      <c r="H470" s="204" t="s">
        <v>400</v>
      </c>
      <c r="I470" s="204"/>
      <c r="J470" s="204"/>
      <c r="K470" s="204"/>
      <c r="L470" s="190">
        <f>$AH$261</f>
        <v>3800</v>
      </c>
      <c r="M470" s="190"/>
      <c r="N470" s="190"/>
      <c r="O470" s="190"/>
      <c r="P470" s="190">
        <f>$AH$246</f>
        <v>3800</v>
      </c>
      <c r="Q470" s="190"/>
      <c r="R470" s="190"/>
      <c r="S470" s="190"/>
      <c r="T470" s="190">
        <f>$AH$261</f>
        <v>3800</v>
      </c>
      <c r="U470" s="190"/>
      <c r="V470" s="190"/>
      <c r="W470" s="190"/>
      <c r="X470" s="77"/>
      <c r="Y470" s="77"/>
      <c r="Z470" s="77"/>
      <c r="AA470" s="77"/>
      <c r="AB470" s="77"/>
      <c r="AC470" s="77"/>
      <c r="AD470" s="77"/>
      <c r="AE470" s="77"/>
      <c r="AF470" s="77"/>
      <c r="AG470" s="77"/>
      <c r="AH470" s="77"/>
      <c r="AI470" s="77"/>
      <c r="AJ470" s="77"/>
      <c r="AK470" s="77"/>
      <c r="AL470" s="77"/>
    </row>
    <row r="471" spans="1:38" ht="19.5" customHeight="1">
      <c r="A471" s="4"/>
      <c r="E471" s="183" t="s">
        <v>401</v>
      </c>
      <c r="F471" s="183"/>
      <c r="G471" s="183"/>
      <c r="H471" s="204" t="s">
        <v>402</v>
      </c>
      <c r="I471" s="204"/>
      <c r="J471" s="204"/>
      <c r="K471" s="204"/>
      <c r="L471" s="190">
        <f>$AH$263*10</f>
        <v>8</v>
      </c>
      <c r="M471" s="190"/>
      <c r="N471" s="190"/>
      <c r="O471" s="190"/>
      <c r="P471" s="190">
        <f>$AH$248*10</f>
        <v>-8</v>
      </c>
      <c r="Q471" s="190"/>
      <c r="R471" s="190"/>
      <c r="S471" s="190"/>
      <c r="T471" s="190">
        <f>$AH$263*10</f>
        <v>8</v>
      </c>
      <c r="U471" s="190"/>
      <c r="V471" s="190"/>
      <c r="W471" s="190"/>
      <c r="X471" s="77"/>
      <c r="Y471" s="77"/>
      <c r="Z471" s="77"/>
      <c r="AA471" s="77"/>
      <c r="AB471" s="77"/>
      <c r="AC471" s="77"/>
      <c r="AD471" s="77"/>
      <c r="AE471" s="77"/>
      <c r="AF471" s="77"/>
      <c r="AG471" s="77"/>
      <c r="AH471" s="77"/>
      <c r="AI471" s="77"/>
      <c r="AJ471" s="77"/>
      <c r="AK471" s="77"/>
      <c r="AL471" s="77"/>
    </row>
    <row r="472" spans="1:38" ht="19.5" customHeight="1">
      <c r="A472" s="4"/>
      <c r="E472" s="283" t="s">
        <v>403</v>
      </c>
      <c r="F472" s="284"/>
      <c r="G472" s="253"/>
      <c r="H472" s="204" t="s">
        <v>404</v>
      </c>
      <c r="I472" s="204"/>
      <c r="J472" s="204"/>
      <c r="K472" s="204"/>
      <c r="L472" s="213">
        <f>$AH$264</f>
        <v>-24066.666666666668</v>
      </c>
      <c r="M472" s="213"/>
      <c r="N472" s="213"/>
      <c r="O472" s="213"/>
      <c r="P472" s="213">
        <f>$AH$249</f>
        <v>-24066.666666666668</v>
      </c>
      <c r="Q472" s="213"/>
      <c r="R472" s="213"/>
      <c r="S472" s="213"/>
      <c r="T472" s="213">
        <f>$AH$264</f>
        <v>-24066.666666666668</v>
      </c>
      <c r="U472" s="213"/>
      <c r="V472" s="213"/>
      <c r="W472" s="213"/>
      <c r="X472" s="46"/>
      <c r="Y472" s="46"/>
      <c r="Z472" s="46"/>
      <c r="AA472" s="46"/>
      <c r="AB472" s="46"/>
      <c r="AC472" s="46"/>
      <c r="AD472" s="46"/>
      <c r="AE472" s="46"/>
      <c r="AF472" s="46"/>
      <c r="AG472" s="46"/>
      <c r="AH472" s="46"/>
      <c r="AI472" s="46"/>
      <c r="AJ472" s="46"/>
      <c r="AK472" s="46"/>
      <c r="AL472" s="46"/>
    </row>
    <row r="473" spans="1:38" ht="19.5" customHeight="1">
      <c r="A473" s="4"/>
      <c r="B473" s="4"/>
      <c r="C473" s="4"/>
      <c r="D473" s="4"/>
      <c r="E473" s="283" t="s">
        <v>405</v>
      </c>
      <c r="F473" s="284"/>
      <c r="G473" s="253"/>
      <c r="H473" s="204" t="s">
        <v>404</v>
      </c>
      <c r="I473" s="204"/>
      <c r="J473" s="204"/>
      <c r="K473" s="204"/>
      <c r="L473" s="213">
        <f>$AH$265</f>
        <v>24066.666666666668</v>
      </c>
      <c r="M473" s="213"/>
      <c r="N473" s="213"/>
      <c r="O473" s="213"/>
      <c r="P473" s="213">
        <f>$AH$250</f>
        <v>24066.666666666668</v>
      </c>
      <c r="Q473" s="213"/>
      <c r="R473" s="213"/>
      <c r="S473" s="213"/>
      <c r="T473" s="213">
        <f>$AH$265</f>
        <v>24066.666666666668</v>
      </c>
      <c r="U473" s="213"/>
      <c r="V473" s="213"/>
      <c r="W473" s="213"/>
      <c r="X473" s="46"/>
      <c r="Y473" s="46"/>
      <c r="Z473" s="46"/>
      <c r="AA473" s="46"/>
      <c r="AB473" s="46"/>
      <c r="AC473" s="46"/>
      <c r="AD473" s="46"/>
      <c r="AE473" s="46"/>
      <c r="AF473" s="46"/>
      <c r="AG473" s="46"/>
      <c r="AH473" s="46"/>
      <c r="AI473" s="46"/>
      <c r="AJ473" s="46"/>
      <c r="AK473" s="46"/>
      <c r="AL473" s="46"/>
    </row>
    <row r="474" spans="1:38" ht="19.5" customHeight="1">
      <c r="A474" s="4"/>
      <c r="B474" s="4" t="s">
        <v>380</v>
      </c>
      <c r="C474" s="4"/>
      <c r="E474" s="283" t="s">
        <v>406</v>
      </c>
      <c r="F474" s="284"/>
      <c r="G474" s="253"/>
      <c r="H474" s="204" t="s">
        <v>404</v>
      </c>
      <c r="I474" s="204"/>
      <c r="J474" s="204"/>
      <c r="K474" s="204"/>
      <c r="L474" s="213">
        <f>$AH$266</f>
        <v>571583.3333333334</v>
      </c>
      <c r="M474" s="213"/>
      <c r="N474" s="213"/>
      <c r="O474" s="213"/>
      <c r="P474" s="213">
        <f>$AH$251</f>
        <v>-571583.3333333334</v>
      </c>
      <c r="Q474" s="213"/>
      <c r="R474" s="213"/>
      <c r="S474" s="213"/>
      <c r="T474" s="213">
        <f>$AH$266</f>
        <v>571583.3333333334</v>
      </c>
      <c r="U474" s="213"/>
      <c r="V474" s="213"/>
      <c r="W474" s="213"/>
      <c r="X474" s="46"/>
      <c r="Y474" s="46"/>
      <c r="Z474" s="46"/>
      <c r="AA474" s="46"/>
      <c r="AB474" s="46"/>
      <c r="AC474" s="46"/>
      <c r="AD474" s="46"/>
      <c r="AE474" s="46"/>
      <c r="AF474" s="46"/>
      <c r="AG474" s="46"/>
      <c r="AH474" s="46"/>
      <c r="AI474" s="46"/>
      <c r="AJ474" s="46"/>
      <c r="AK474" s="46"/>
      <c r="AL474" s="46"/>
    </row>
    <row r="475" spans="1:38" ht="19.5" customHeight="1">
      <c r="A475" s="4"/>
      <c r="B475" s="4"/>
      <c r="C475" s="4" t="s">
        <v>380</v>
      </c>
      <c r="D475" s="4"/>
      <c r="E475" s="283" t="s">
        <v>407</v>
      </c>
      <c r="F475" s="284"/>
      <c r="G475" s="253"/>
      <c r="H475" s="204" t="s">
        <v>325</v>
      </c>
      <c r="I475" s="204"/>
      <c r="J475" s="204"/>
      <c r="K475" s="204"/>
      <c r="L475" s="213">
        <f>-L$469*10/L$470-L$469*L$471/L472</f>
        <v>-7.26306642340303</v>
      </c>
      <c r="M475" s="213"/>
      <c r="N475" s="213"/>
      <c r="O475" s="213"/>
      <c r="P475" s="213">
        <f>-P$469*10/P$470-P$469*P$471/P472</f>
        <v>-9.367400038327888</v>
      </c>
      <c r="Q475" s="213"/>
      <c r="R475" s="213"/>
      <c r="S475" s="213"/>
      <c r="T475" s="213">
        <f>-T$469*10/T$470-T$469*T$471/T472</f>
        <v>-7.26306642340303</v>
      </c>
      <c r="U475" s="213"/>
      <c r="V475" s="213"/>
      <c r="W475" s="213"/>
      <c r="X475" s="46"/>
      <c r="Y475" s="46"/>
      <c r="Z475" s="46"/>
      <c r="AA475" s="46"/>
      <c r="AB475" s="46"/>
      <c r="AC475" s="46"/>
      <c r="AD475" s="46"/>
      <c r="AE475" s="46"/>
      <c r="AF475" s="46"/>
      <c r="AG475" s="46"/>
      <c r="AH475" s="46"/>
      <c r="AI475" s="46"/>
      <c r="AJ475" s="46"/>
      <c r="AK475" s="46"/>
      <c r="AL475" s="46"/>
    </row>
    <row r="476" spans="1:44" ht="19.5" customHeight="1">
      <c r="A476" s="4"/>
      <c r="B476" s="4"/>
      <c r="C476" s="4" t="s">
        <v>380</v>
      </c>
      <c r="D476" s="4"/>
      <c r="E476" s="283" t="s">
        <v>408</v>
      </c>
      <c r="F476" s="284"/>
      <c r="G476" s="253"/>
      <c r="H476" s="204" t="s">
        <v>325</v>
      </c>
      <c r="I476" s="204"/>
      <c r="J476" s="204"/>
      <c r="K476" s="204"/>
      <c r="L476" s="213">
        <f>-L$469*10/L$470-L$469*L$471/L473</f>
        <v>-9.363230208483424</v>
      </c>
      <c r="M476" s="213"/>
      <c r="N476" s="213"/>
      <c r="O476" s="213"/>
      <c r="P476" s="213">
        <f>-P$469*10/P$470-P$469*P$471/P473</f>
        <v>-7.266300964310418</v>
      </c>
      <c r="Q476" s="213"/>
      <c r="R476" s="213"/>
      <c r="S476" s="213"/>
      <c r="T476" s="213">
        <f>-T$469*10/T$470-T$469*T$471/T473</f>
        <v>-9.363230208483424</v>
      </c>
      <c r="U476" s="213"/>
      <c r="V476" s="213"/>
      <c r="W476" s="213"/>
      <c r="X476" s="46"/>
      <c r="Y476" s="46"/>
      <c r="Z476" s="46"/>
      <c r="AA476" s="46"/>
      <c r="AB476" s="46"/>
      <c r="AC476" s="46"/>
      <c r="AD476" s="46"/>
      <c r="AE476" s="46"/>
      <c r="AF476" s="46"/>
      <c r="AG476" s="46"/>
      <c r="AH476" s="46"/>
      <c r="AI476" s="46"/>
      <c r="AJ476" s="46"/>
      <c r="AK476" s="46"/>
      <c r="AL476" s="46"/>
      <c r="AR476" s="42"/>
    </row>
    <row r="477" spans="1:38" ht="19.5" customHeight="1">
      <c r="A477" s="4"/>
      <c r="B477" s="4"/>
      <c r="C477" s="4" t="s">
        <v>380</v>
      </c>
      <c r="D477" s="4"/>
      <c r="E477" s="283" t="s">
        <v>409</v>
      </c>
      <c r="F477" s="284"/>
      <c r="G477" s="253"/>
      <c r="H477" s="204" t="s">
        <v>325</v>
      </c>
      <c r="I477" s="204"/>
      <c r="J477" s="204"/>
      <c r="K477" s="204"/>
      <c r="L477" s="213">
        <f>-L$469*10/L$470-L$469*L$471/L474</f>
        <v>-8.357362290365971</v>
      </c>
      <c r="M477" s="213"/>
      <c r="N477" s="213"/>
      <c r="O477" s="213"/>
      <c r="P477" s="213">
        <f>-P$469*10/P$470-P$469*P$471/P474</f>
        <v>-8.361084166035312</v>
      </c>
      <c r="Q477" s="213"/>
      <c r="R477" s="213"/>
      <c r="S477" s="213"/>
      <c r="T477" s="213">
        <f>-T$469*10/T$470-T$469*T$471/T474</f>
        <v>-8.357362290365971</v>
      </c>
      <c r="U477" s="213"/>
      <c r="V477" s="213"/>
      <c r="W477" s="213"/>
      <c r="X477" s="46"/>
      <c r="Y477" s="46"/>
      <c r="Z477" s="46"/>
      <c r="AA477" s="46"/>
      <c r="AB477" s="46"/>
      <c r="AC477" s="46"/>
      <c r="AD477" s="46"/>
      <c r="AE477" s="46"/>
      <c r="AF477" s="46"/>
      <c r="AG477" s="46"/>
      <c r="AH477" s="46"/>
      <c r="AI477" s="46"/>
      <c r="AJ477" s="46"/>
      <c r="AK477" s="46"/>
      <c r="AL477" s="46"/>
    </row>
    <row r="478" spans="1:12" ht="19.5" customHeight="1">
      <c r="A478" s="4"/>
      <c r="B478" s="4"/>
      <c r="C478" s="4" t="s">
        <v>380</v>
      </c>
      <c r="D478" s="4"/>
      <c r="E478" s="4"/>
      <c r="F478" s="4"/>
      <c r="G478" s="4"/>
      <c r="H478" s="4"/>
      <c r="I478" s="4"/>
      <c r="J478" s="4"/>
      <c r="K478" s="4"/>
      <c r="L478" s="4"/>
    </row>
    <row r="479" spans="1:38" ht="19.5" customHeight="1">
      <c r="A479" s="4"/>
      <c r="E479" s="183" t="s">
        <v>917</v>
      </c>
      <c r="F479" s="183"/>
      <c r="G479" s="183"/>
      <c r="H479" s="183"/>
      <c r="I479" s="183"/>
      <c r="J479" s="183"/>
      <c r="K479" s="183"/>
      <c r="L479" s="204" t="s">
        <v>376</v>
      </c>
      <c r="M479" s="204"/>
      <c r="N479" s="204"/>
      <c r="O479" s="204"/>
      <c r="P479" s="204" t="s">
        <v>377</v>
      </c>
      <c r="Q479" s="204"/>
      <c r="R479" s="204"/>
      <c r="S479" s="204"/>
      <c r="T479" s="204" t="s">
        <v>378</v>
      </c>
      <c r="U479" s="204"/>
      <c r="V479" s="204"/>
      <c r="W479" s="204"/>
      <c r="X479" s="45"/>
      <c r="Y479" s="45"/>
      <c r="Z479" s="45"/>
      <c r="AA479" s="45"/>
      <c r="AB479" s="45"/>
      <c r="AC479" s="45"/>
      <c r="AD479" s="45"/>
      <c r="AE479" s="45"/>
      <c r="AF479" s="45"/>
      <c r="AG479" s="45"/>
      <c r="AH479" s="45"/>
      <c r="AI479" s="45"/>
      <c r="AJ479" s="45"/>
      <c r="AK479" s="45"/>
      <c r="AL479" s="45"/>
    </row>
    <row r="480" spans="1:38" ht="19.5" customHeight="1">
      <c r="A480" s="4" t="s">
        <v>380</v>
      </c>
      <c r="E480" s="183" t="s">
        <v>396</v>
      </c>
      <c r="F480" s="183"/>
      <c r="G480" s="183"/>
      <c r="H480" s="204" t="s">
        <v>325</v>
      </c>
      <c r="I480" s="204"/>
      <c r="J480" s="204"/>
      <c r="K480" s="204"/>
      <c r="L480" s="190">
        <f>L443</f>
        <v>1261.9832055203046</v>
      </c>
      <c r="M480" s="190"/>
      <c r="N480" s="190"/>
      <c r="O480" s="190"/>
      <c r="P480" s="205">
        <f>P443</f>
        <v>1262.553808662779</v>
      </c>
      <c r="Q480" s="206"/>
      <c r="R480" s="206"/>
      <c r="S480" s="207"/>
      <c r="T480" s="205">
        <f>T443</f>
        <v>1261.9832055203046</v>
      </c>
      <c r="U480" s="206"/>
      <c r="V480" s="206"/>
      <c r="W480" s="207"/>
      <c r="X480" s="77"/>
      <c r="Y480" s="77"/>
      <c r="Z480" s="77"/>
      <c r="AA480" s="77"/>
      <c r="AB480" s="77"/>
      <c r="AC480" s="77"/>
      <c r="AD480" s="77"/>
      <c r="AE480" s="77"/>
      <c r="AF480" s="77"/>
      <c r="AG480" s="77"/>
      <c r="AH480" s="77"/>
      <c r="AI480" s="77"/>
      <c r="AJ480" s="77"/>
      <c r="AK480" s="77"/>
      <c r="AL480" s="77"/>
    </row>
    <row r="481" spans="1:38" ht="19.5" customHeight="1">
      <c r="A481" s="4"/>
      <c r="E481" s="183" t="s">
        <v>393</v>
      </c>
      <c r="F481" s="183"/>
      <c r="G481" s="183"/>
      <c r="H481" s="204" t="s">
        <v>397</v>
      </c>
      <c r="I481" s="204"/>
      <c r="J481" s="204"/>
      <c r="K481" s="204"/>
      <c r="L481" s="190">
        <f>$AG$256</f>
        <v>2503.2</v>
      </c>
      <c r="M481" s="190"/>
      <c r="N481" s="190"/>
      <c r="O481" s="190"/>
      <c r="P481" s="190">
        <f>$AG$241</f>
        <v>2503.2</v>
      </c>
      <c r="Q481" s="190"/>
      <c r="R481" s="190"/>
      <c r="S481" s="190"/>
      <c r="T481" s="190">
        <f>$AG$256</f>
        <v>2503.2</v>
      </c>
      <c r="U481" s="190"/>
      <c r="V481" s="190"/>
      <c r="W481" s="190"/>
      <c r="X481" s="77"/>
      <c r="Y481" s="77"/>
      <c r="Z481" s="77"/>
      <c r="AA481" s="77"/>
      <c r="AB481" s="77"/>
      <c r="AC481" s="77"/>
      <c r="AD481" s="77"/>
      <c r="AE481" s="77"/>
      <c r="AF481" s="77"/>
      <c r="AG481" s="77"/>
      <c r="AH481" s="77"/>
      <c r="AI481" s="77"/>
      <c r="AJ481" s="77"/>
      <c r="AK481" s="77"/>
      <c r="AL481" s="77"/>
    </row>
    <row r="482" spans="1:38" ht="19.5" customHeight="1">
      <c r="A482" s="4"/>
      <c r="E482" s="183" t="s">
        <v>391</v>
      </c>
      <c r="F482" s="183"/>
      <c r="G482" s="183"/>
      <c r="H482" s="204" t="s">
        <v>398</v>
      </c>
      <c r="I482" s="204"/>
      <c r="J482" s="204"/>
      <c r="K482" s="204"/>
      <c r="L482" s="213">
        <f>L480*L481/1000</f>
        <v>3158.9963600584265</v>
      </c>
      <c r="M482" s="213"/>
      <c r="N482" s="213"/>
      <c r="O482" s="213"/>
      <c r="P482" s="213">
        <f>P480*P481/1000</f>
        <v>3160.424693844668</v>
      </c>
      <c r="Q482" s="213"/>
      <c r="R482" s="213"/>
      <c r="S482" s="213"/>
      <c r="T482" s="213">
        <f>T480*T481/1000</f>
        <v>3158.9963600584265</v>
      </c>
      <c r="U482" s="213"/>
      <c r="V482" s="213"/>
      <c r="W482" s="213"/>
      <c r="X482" s="46"/>
      <c r="Y482" s="46"/>
      <c r="Z482" s="46"/>
      <c r="AA482" s="46"/>
      <c r="AB482" s="46"/>
      <c r="AC482" s="46"/>
      <c r="AD482" s="46"/>
      <c r="AE482" s="46"/>
      <c r="AF482" s="46"/>
      <c r="AG482" s="46"/>
      <c r="AH482" s="46"/>
      <c r="AI482" s="46"/>
      <c r="AJ482" s="46"/>
      <c r="AK482" s="46"/>
      <c r="AL482" s="46"/>
    </row>
    <row r="483" spans="1:38" ht="19.5" customHeight="1">
      <c r="A483" s="4"/>
      <c r="E483" s="183" t="s">
        <v>399</v>
      </c>
      <c r="F483" s="183"/>
      <c r="G483" s="183"/>
      <c r="H483" s="204" t="s">
        <v>400</v>
      </c>
      <c r="I483" s="204"/>
      <c r="J483" s="204"/>
      <c r="K483" s="204"/>
      <c r="L483" s="190">
        <f>$AH$261</f>
        <v>3800</v>
      </c>
      <c r="M483" s="190"/>
      <c r="N483" s="190"/>
      <c r="O483" s="190"/>
      <c r="P483" s="190">
        <f>$AH$246</f>
        <v>3800</v>
      </c>
      <c r="Q483" s="190"/>
      <c r="R483" s="190"/>
      <c r="S483" s="190"/>
      <c r="T483" s="190">
        <f>$AH$261</f>
        <v>3800</v>
      </c>
      <c r="U483" s="190"/>
      <c r="V483" s="190"/>
      <c r="W483" s="190"/>
      <c r="X483" s="77"/>
      <c r="Y483" s="77"/>
      <c r="Z483" s="77"/>
      <c r="AA483" s="77"/>
      <c r="AB483" s="77"/>
      <c r="AC483" s="77"/>
      <c r="AD483" s="77"/>
      <c r="AE483" s="77"/>
      <c r="AF483" s="77"/>
      <c r="AG483" s="77"/>
      <c r="AH483" s="77"/>
      <c r="AI483" s="77"/>
      <c r="AJ483" s="77"/>
      <c r="AK483" s="77"/>
      <c r="AL483" s="77"/>
    </row>
    <row r="484" spans="1:38" ht="19.5" customHeight="1">
      <c r="A484" s="4"/>
      <c r="E484" s="183" t="s">
        <v>401</v>
      </c>
      <c r="F484" s="183"/>
      <c r="G484" s="183"/>
      <c r="H484" s="204" t="s">
        <v>402</v>
      </c>
      <c r="I484" s="204"/>
      <c r="J484" s="204"/>
      <c r="K484" s="204"/>
      <c r="L484" s="190">
        <f>$AH$263*10</f>
        <v>8</v>
      </c>
      <c r="M484" s="190"/>
      <c r="N484" s="190"/>
      <c r="O484" s="190"/>
      <c r="P484" s="190">
        <f>$AH$248*10</f>
        <v>-8</v>
      </c>
      <c r="Q484" s="190"/>
      <c r="R484" s="190"/>
      <c r="S484" s="190"/>
      <c r="T484" s="190">
        <f>$AH$263*10</f>
        <v>8</v>
      </c>
      <c r="U484" s="190"/>
      <c r="V484" s="190"/>
      <c r="W484" s="190"/>
      <c r="X484" s="77"/>
      <c r="Y484" s="77"/>
      <c r="Z484" s="77"/>
      <c r="AA484" s="77"/>
      <c r="AB484" s="77"/>
      <c r="AC484" s="77"/>
      <c r="AD484" s="77"/>
      <c r="AE484" s="77"/>
      <c r="AF484" s="77"/>
      <c r="AG484" s="77"/>
      <c r="AH484" s="77"/>
      <c r="AI484" s="77"/>
      <c r="AJ484" s="77"/>
      <c r="AK484" s="77"/>
      <c r="AL484" s="77"/>
    </row>
    <row r="485" spans="1:38" ht="19.5" customHeight="1">
      <c r="A485" s="4"/>
      <c r="E485" s="283" t="s">
        <v>403</v>
      </c>
      <c r="F485" s="284"/>
      <c r="G485" s="253"/>
      <c r="H485" s="204" t="s">
        <v>404</v>
      </c>
      <c r="I485" s="204"/>
      <c r="J485" s="204"/>
      <c r="K485" s="204"/>
      <c r="L485" s="213">
        <f>$AH$264</f>
        <v>-24066.666666666668</v>
      </c>
      <c r="M485" s="213"/>
      <c r="N485" s="213"/>
      <c r="O485" s="213"/>
      <c r="P485" s="213">
        <f>$AH$249</f>
        <v>-24066.666666666668</v>
      </c>
      <c r="Q485" s="213"/>
      <c r="R485" s="213"/>
      <c r="S485" s="213"/>
      <c r="T485" s="213">
        <f>$AH$264</f>
        <v>-24066.666666666668</v>
      </c>
      <c r="U485" s="213"/>
      <c r="V485" s="213"/>
      <c r="W485" s="213"/>
      <c r="X485" s="46"/>
      <c r="Y485" s="46"/>
      <c r="Z485" s="46"/>
      <c r="AA485" s="46"/>
      <c r="AB485" s="46"/>
      <c r="AC485" s="46"/>
      <c r="AD485" s="46"/>
      <c r="AE485" s="46"/>
      <c r="AF485" s="46"/>
      <c r="AG485" s="46"/>
      <c r="AH485" s="46"/>
      <c r="AI485" s="46"/>
      <c r="AJ485" s="46"/>
      <c r="AK485" s="46"/>
      <c r="AL485" s="46"/>
    </row>
    <row r="486" spans="1:38" ht="19.5" customHeight="1">
      <c r="A486" s="4"/>
      <c r="B486" s="4"/>
      <c r="C486" s="4"/>
      <c r="D486" s="4"/>
      <c r="E486" s="283" t="s">
        <v>405</v>
      </c>
      <c r="F486" s="284"/>
      <c r="G486" s="253"/>
      <c r="H486" s="204" t="s">
        <v>404</v>
      </c>
      <c r="I486" s="204"/>
      <c r="J486" s="204"/>
      <c r="K486" s="204"/>
      <c r="L486" s="213">
        <f>$AH$265</f>
        <v>24066.666666666668</v>
      </c>
      <c r="M486" s="213"/>
      <c r="N486" s="213"/>
      <c r="O486" s="213"/>
      <c r="P486" s="213">
        <f>$AH$250</f>
        <v>24066.666666666668</v>
      </c>
      <c r="Q486" s="213"/>
      <c r="R486" s="213"/>
      <c r="S486" s="213"/>
      <c r="T486" s="213">
        <f>$AH$265</f>
        <v>24066.666666666668</v>
      </c>
      <c r="U486" s="213"/>
      <c r="V486" s="213"/>
      <c r="W486" s="213"/>
      <c r="X486" s="46"/>
      <c r="Y486" s="46"/>
      <c r="Z486" s="46"/>
      <c r="AA486" s="46"/>
      <c r="AB486" s="46"/>
      <c r="AC486" s="46"/>
      <c r="AD486" s="46"/>
      <c r="AE486" s="46"/>
      <c r="AF486" s="46"/>
      <c r="AG486" s="46"/>
      <c r="AH486" s="46"/>
      <c r="AI486" s="46"/>
      <c r="AJ486" s="46"/>
      <c r="AK486" s="46"/>
      <c r="AL486" s="46"/>
    </row>
    <row r="487" spans="1:38" ht="19.5" customHeight="1">
      <c r="A487" s="4"/>
      <c r="B487" s="4" t="s">
        <v>380</v>
      </c>
      <c r="C487" s="4"/>
      <c r="E487" s="283" t="s">
        <v>406</v>
      </c>
      <c r="F487" s="284"/>
      <c r="G487" s="253"/>
      <c r="H487" s="204" t="s">
        <v>404</v>
      </c>
      <c r="I487" s="204"/>
      <c r="J487" s="204"/>
      <c r="K487" s="204"/>
      <c r="L487" s="213">
        <f>$AH$266</f>
        <v>571583.3333333334</v>
      </c>
      <c r="M487" s="213"/>
      <c r="N487" s="213"/>
      <c r="O487" s="213"/>
      <c r="P487" s="213">
        <f>$AH$251</f>
        <v>-571583.3333333334</v>
      </c>
      <c r="Q487" s="213"/>
      <c r="R487" s="213"/>
      <c r="S487" s="213"/>
      <c r="T487" s="213">
        <f>$AH$266</f>
        <v>571583.3333333334</v>
      </c>
      <c r="U487" s="213"/>
      <c r="V487" s="213"/>
      <c r="W487" s="213"/>
      <c r="X487" s="46"/>
      <c r="Y487" s="46"/>
      <c r="Z487" s="46"/>
      <c r="AA487" s="46"/>
      <c r="AB487" s="46"/>
      <c r="AC487" s="46"/>
      <c r="AD487" s="46"/>
      <c r="AE487" s="46"/>
      <c r="AF487" s="46"/>
      <c r="AG487" s="46"/>
      <c r="AH487" s="46"/>
      <c r="AI487" s="46"/>
      <c r="AJ487" s="46"/>
      <c r="AK487" s="46"/>
      <c r="AL487" s="46"/>
    </row>
    <row r="488" spans="1:38" ht="19.5" customHeight="1">
      <c r="A488" s="4"/>
      <c r="B488" s="4"/>
      <c r="C488" s="4" t="s">
        <v>380</v>
      </c>
      <c r="D488" s="4"/>
      <c r="E488" s="283" t="s">
        <v>407</v>
      </c>
      <c r="F488" s="284"/>
      <c r="G488" s="253"/>
      <c r="H488" s="204" t="s">
        <v>325</v>
      </c>
      <c r="I488" s="204"/>
      <c r="J488" s="204"/>
      <c r="K488" s="204"/>
      <c r="L488" s="213">
        <f>-L482*10/L483-L482*L484/L485</f>
        <v>-7.26306642340303</v>
      </c>
      <c r="M488" s="213"/>
      <c r="N488" s="213"/>
      <c r="O488" s="213"/>
      <c r="P488" s="213">
        <f>-P482*10/P483-P482*P484/P485</f>
        <v>-9.367463773999432</v>
      </c>
      <c r="Q488" s="213"/>
      <c r="R488" s="213"/>
      <c r="S488" s="213"/>
      <c r="T488" s="213">
        <f>-T482*10/T483-T482*T484/T485</f>
        <v>-7.26306642340303</v>
      </c>
      <c r="U488" s="213"/>
      <c r="V488" s="213"/>
      <c r="W488" s="213"/>
      <c r="X488" s="46"/>
      <c r="Y488" s="46"/>
      <c r="Z488" s="46"/>
      <c r="AA488" s="46"/>
      <c r="AB488" s="46"/>
      <c r="AC488" s="46"/>
      <c r="AD488" s="46"/>
      <c r="AE488" s="46"/>
      <c r="AF488" s="46"/>
      <c r="AG488" s="46"/>
      <c r="AH488" s="46"/>
      <c r="AI488" s="46"/>
      <c r="AJ488" s="46"/>
      <c r="AK488" s="46"/>
      <c r="AL488" s="46"/>
    </row>
    <row r="489" spans="1:44" ht="19.5" customHeight="1">
      <c r="A489" s="4"/>
      <c r="B489" s="4"/>
      <c r="C489" s="4" t="s">
        <v>380</v>
      </c>
      <c r="D489" s="4"/>
      <c r="E489" s="283" t="s">
        <v>408</v>
      </c>
      <c r="F489" s="284"/>
      <c r="G489" s="253"/>
      <c r="H489" s="204" t="s">
        <v>325</v>
      </c>
      <c r="I489" s="204"/>
      <c r="J489" s="204"/>
      <c r="K489" s="204"/>
      <c r="L489" s="213">
        <f>-L482*10/L483-L482*L484/L486</f>
        <v>-9.363230208483424</v>
      </c>
      <c r="M489" s="213"/>
      <c r="N489" s="213"/>
      <c r="O489" s="213"/>
      <c r="P489" s="213">
        <f>-P482*10/P483-P482*P484/P486</f>
        <v>-7.2663504041304</v>
      </c>
      <c r="Q489" s="213"/>
      <c r="R489" s="213"/>
      <c r="S489" s="213"/>
      <c r="T489" s="213">
        <f>-T482*10/T483-T482*T484/T486</f>
        <v>-9.363230208483424</v>
      </c>
      <c r="U489" s="213"/>
      <c r="V489" s="213"/>
      <c r="W489" s="213"/>
      <c r="X489" s="46"/>
      <c r="Y489" s="46"/>
      <c r="Z489" s="46"/>
      <c r="AA489" s="46"/>
      <c r="AB489" s="46"/>
      <c r="AC489" s="46"/>
      <c r="AD489" s="46"/>
      <c r="AE489" s="46"/>
      <c r="AF489" s="46"/>
      <c r="AG489" s="46"/>
      <c r="AH489" s="46"/>
      <c r="AI489" s="46"/>
      <c r="AJ489" s="46"/>
      <c r="AK489" s="46"/>
      <c r="AL489" s="46"/>
      <c r="AR489" s="42"/>
    </row>
    <row r="490" spans="1:38" ht="19.5" customHeight="1">
      <c r="A490" s="4"/>
      <c r="B490" s="4"/>
      <c r="C490" s="4" t="s">
        <v>380</v>
      </c>
      <c r="D490" s="4"/>
      <c r="E490" s="283" t="s">
        <v>409</v>
      </c>
      <c r="F490" s="284"/>
      <c r="G490" s="253"/>
      <c r="H490" s="204" t="s">
        <v>325</v>
      </c>
      <c r="I490" s="204"/>
      <c r="J490" s="204"/>
      <c r="K490" s="204"/>
      <c r="L490" s="213">
        <f>-L482*10/L483-L482*L484/L487</f>
        <v>-8.357362290365971</v>
      </c>
      <c r="M490" s="213"/>
      <c r="N490" s="213"/>
      <c r="O490" s="213"/>
      <c r="P490" s="213">
        <f>-P482*10/P483-P482*P484/P487</f>
        <v>-8.36114105474637</v>
      </c>
      <c r="Q490" s="213"/>
      <c r="R490" s="213"/>
      <c r="S490" s="213"/>
      <c r="T490" s="213">
        <f>-T482*10/T483-T482*T484/T487</f>
        <v>-8.357362290365971</v>
      </c>
      <c r="U490" s="213"/>
      <c r="V490" s="213"/>
      <c r="W490" s="213"/>
      <c r="X490" s="46"/>
      <c r="Y490" s="46"/>
      <c r="Z490" s="46"/>
      <c r="AA490" s="46"/>
      <c r="AB490" s="46"/>
      <c r="AC490" s="46"/>
      <c r="AD490" s="46"/>
      <c r="AE490" s="46"/>
      <c r="AF490" s="46"/>
      <c r="AG490" s="46"/>
      <c r="AH490" s="46"/>
      <c r="AI490" s="46"/>
      <c r="AJ490" s="46"/>
      <c r="AK490" s="46"/>
      <c r="AL490" s="46"/>
    </row>
    <row r="491" spans="1:12" ht="19.5" customHeight="1">
      <c r="A491" s="4"/>
      <c r="B491" s="4"/>
      <c r="C491" s="4" t="s">
        <v>380</v>
      </c>
      <c r="D491" s="4"/>
      <c r="E491" s="4"/>
      <c r="F491" s="4"/>
      <c r="G491" s="4"/>
      <c r="H491" s="4"/>
      <c r="I491" s="4"/>
      <c r="J491" s="4"/>
      <c r="K491" s="4"/>
      <c r="L491" s="4"/>
    </row>
    <row r="492" spans="1:43" ht="19.5" customHeight="1">
      <c r="A492" s="4"/>
      <c r="B492" s="4"/>
      <c r="C492" s="4" t="s">
        <v>1200</v>
      </c>
      <c r="D492" s="4"/>
      <c r="E492" s="4"/>
      <c r="F492" s="4"/>
      <c r="G492" s="4"/>
      <c r="H492" s="4"/>
      <c r="I492" s="4"/>
      <c r="J492" s="4"/>
      <c r="K492" s="4"/>
      <c r="L492" s="4"/>
      <c r="M492" s="4"/>
      <c r="AH492" s="27"/>
      <c r="AQ492" s="29"/>
    </row>
    <row r="493" spans="1:43" ht="19.5" customHeight="1">
      <c r="A493" s="4"/>
      <c r="B493" s="4"/>
      <c r="C493" s="4"/>
      <c r="D493" s="4" t="s">
        <v>1201</v>
      </c>
      <c r="E493" s="4"/>
      <c r="F493" s="4"/>
      <c r="G493" s="4"/>
      <c r="H493" s="4"/>
      <c r="I493" s="4"/>
      <c r="J493" s="4"/>
      <c r="K493" s="4"/>
      <c r="L493" s="4"/>
      <c r="M493" s="4"/>
      <c r="AH493" s="27"/>
      <c r="AQ493" s="29"/>
    </row>
    <row r="494" spans="1:43" ht="19.5" customHeight="1">
      <c r="A494" s="4"/>
      <c r="B494" s="4"/>
      <c r="C494" s="4"/>
      <c r="D494" s="4"/>
      <c r="E494" s="4" t="s">
        <v>1202</v>
      </c>
      <c r="F494" s="4"/>
      <c r="G494" s="4"/>
      <c r="H494" s="4"/>
      <c r="I494" s="4"/>
      <c r="J494" s="4"/>
      <c r="K494" s="4"/>
      <c r="L494" s="4"/>
      <c r="M494" s="4"/>
      <c r="AH494" s="27"/>
      <c r="AQ494" s="29"/>
    </row>
    <row r="495" spans="1:43" ht="19.5" customHeight="1">
      <c r="A495" s="4"/>
      <c r="B495" s="4"/>
      <c r="C495" s="4"/>
      <c r="D495" s="4"/>
      <c r="E495" s="4" t="s">
        <v>1203</v>
      </c>
      <c r="F495" s="4"/>
      <c r="G495" s="4"/>
      <c r="H495" s="4"/>
      <c r="I495" s="4"/>
      <c r="J495" s="4"/>
      <c r="K495" s="4"/>
      <c r="L495" s="4"/>
      <c r="M495" s="4"/>
      <c r="AH495" s="27"/>
      <c r="AQ495" s="29"/>
    </row>
    <row r="496" spans="1:43" ht="19.5" customHeight="1">
      <c r="A496" s="4"/>
      <c r="B496" s="4"/>
      <c r="C496" s="4"/>
      <c r="D496" s="4"/>
      <c r="E496" s="4" t="s">
        <v>1204</v>
      </c>
      <c r="F496" s="4"/>
      <c r="G496" s="4"/>
      <c r="H496" s="4"/>
      <c r="I496" s="4"/>
      <c r="J496" s="4"/>
      <c r="K496" s="4"/>
      <c r="L496" s="4"/>
      <c r="M496" s="4"/>
      <c r="AH496" s="27"/>
      <c r="AQ496" s="29"/>
    </row>
    <row r="497" spans="1:43" ht="19.5" customHeight="1">
      <c r="A497" s="4"/>
      <c r="B497" s="4"/>
      <c r="C497" s="4"/>
      <c r="D497" s="4"/>
      <c r="E497" s="4"/>
      <c r="F497" s="4"/>
      <c r="G497" s="4"/>
      <c r="H497" s="4"/>
      <c r="I497" s="4"/>
      <c r="J497" s="4"/>
      <c r="K497" s="4"/>
      <c r="L497" s="4"/>
      <c r="M497" s="4"/>
      <c r="AH497" s="27"/>
      <c r="AQ497" s="29"/>
    </row>
    <row r="498" spans="1:43" ht="19.5" customHeight="1">
      <c r="A498" s="4"/>
      <c r="B498" s="4"/>
      <c r="C498" s="4"/>
      <c r="D498" s="4"/>
      <c r="E498" s="4" t="s">
        <v>410</v>
      </c>
      <c r="F498" s="4"/>
      <c r="G498" s="4"/>
      <c r="H498" s="4"/>
      <c r="I498" s="4"/>
      <c r="J498" s="4"/>
      <c r="K498" s="4"/>
      <c r="L498" s="4"/>
      <c r="M498" s="4"/>
      <c r="AH498" s="27"/>
      <c r="AQ498" s="29"/>
    </row>
    <row r="499" spans="1:43" ht="19.5" customHeight="1">
      <c r="A499" s="4"/>
      <c r="B499" s="4"/>
      <c r="C499" s="4"/>
      <c r="D499" s="4"/>
      <c r="E499" s="4"/>
      <c r="F499" s="4" t="s">
        <v>411</v>
      </c>
      <c r="G499" s="4"/>
      <c r="H499" s="4"/>
      <c r="I499" s="4"/>
      <c r="J499" s="4"/>
      <c r="K499" s="4"/>
      <c r="L499" s="4"/>
      <c r="M499" s="4"/>
      <c r="AH499" s="27"/>
      <c r="AQ499" s="29"/>
    </row>
    <row r="500" spans="1:42" ht="19.5" customHeight="1">
      <c r="A500" s="4"/>
      <c r="B500" s="4"/>
      <c r="C500" s="4"/>
      <c r="D500" s="4"/>
      <c r="E500" s="4" t="s">
        <v>1366</v>
      </c>
      <c r="F500" s="4"/>
      <c r="G500" s="4"/>
      <c r="I500" s="235" t="s">
        <v>1360</v>
      </c>
      <c r="J500" s="285">
        <f>AI509</f>
        <v>7.692307692307692</v>
      </c>
      <c r="K500" s="285"/>
      <c r="L500" s="285"/>
      <c r="M500" s="73" t="s">
        <v>1026</v>
      </c>
      <c r="N500" s="282">
        <f>W506</f>
        <v>2.6</v>
      </c>
      <c r="O500" s="282"/>
      <c r="P500" s="73" t="s">
        <v>1026</v>
      </c>
      <c r="Q500" s="282">
        <f>AB511</f>
        <v>8.387122364023357</v>
      </c>
      <c r="R500" s="282"/>
      <c r="S500" s="282"/>
      <c r="T500" s="73" t="s">
        <v>1027</v>
      </c>
      <c r="U500" s="155">
        <v>2</v>
      </c>
      <c r="V500" s="155"/>
      <c r="W500" s="73" t="s">
        <v>1026</v>
      </c>
      <c r="X500" s="156" t="s">
        <v>412</v>
      </c>
      <c r="Y500" s="73"/>
      <c r="Z500" s="73" t="s">
        <v>1026</v>
      </c>
      <c r="AA500" s="282">
        <v>2</v>
      </c>
      <c r="AB500" s="282"/>
      <c r="AC500" s="73" t="s">
        <v>1026</v>
      </c>
      <c r="AD500" s="156" t="s">
        <v>413</v>
      </c>
      <c r="AE500" s="73"/>
      <c r="AH500" s="27"/>
      <c r="AI500" s="27"/>
      <c r="AJ500" s="27"/>
      <c r="AK500" s="27"/>
      <c r="AL500" s="27"/>
      <c r="AM500" s="27"/>
      <c r="AN500" s="27"/>
      <c r="AO500" s="27"/>
      <c r="AP500" s="27"/>
    </row>
    <row r="501" spans="1:43" ht="19.5" customHeight="1">
      <c r="A501" s="4"/>
      <c r="B501" s="4"/>
      <c r="C501" s="4"/>
      <c r="D501" s="4"/>
      <c r="E501" s="4"/>
      <c r="F501" s="4" t="s">
        <v>1366</v>
      </c>
      <c r="G501" s="4"/>
      <c r="H501" s="4"/>
      <c r="I501" s="235"/>
      <c r="M501" s="4"/>
      <c r="N501" s="27" t="s">
        <v>414</v>
      </c>
      <c r="O501" s="29"/>
      <c r="P501" s="280">
        <f>L515</f>
        <v>0.12679824254189084</v>
      </c>
      <c r="Q501" s="280"/>
      <c r="R501" s="280"/>
      <c r="S501" s="27" t="s">
        <v>1026</v>
      </c>
      <c r="T501" s="29" t="s">
        <v>415</v>
      </c>
      <c r="U501" s="29"/>
      <c r="V501" s="29"/>
      <c r="W501" s="237">
        <v>2.6</v>
      </c>
      <c r="X501" s="237"/>
      <c r="Y501" s="39" t="s">
        <v>416</v>
      </c>
      <c r="AH501" s="27"/>
      <c r="AQ501" s="29"/>
    </row>
    <row r="502" spans="1:43" ht="19.5" customHeight="1">
      <c r="A502" s="4"/>
      <c r="B502" s="4"/>
      <c r="C502" s="4"/>
      <c r="D502" s="4"/>
      <c r="E502" s="4"/>
      <c r="F502" s="4" t="s">
        <v>1366</v>
      </c>
      <c r="G502" s="4"/>
      <c r="H502" s="4"/>
      <c r="I502" s="33" t="s">
        <v>1360</v>
      </c>
      <c r="J502" s="244">
        <f>(J500*N500*Q500+U500*AA500*10)/(1+P501*(1+W501/2))</f>
        <v>160.8366862338311</v>
      </c>
      <c r="K502" s="244"/>
      <c r="L502" s="244"/>
      <c r="M502" s="29" t="s">
        <v>417</v>
      </c>
      <c r="AH502" s="27"/>
      <c r="AQ502" s="29"/>
    </row>
    <row r="503" spans="1:43" ht="19.5" customHeight="1">
      <c r="A503" s="4"/>
      <c r="B503" s="4"/>
      <c r="C503" s="4"/>
      <c r="D503" s="4"/>
      <c r="E503" s="4"/>
      <c r="F503" s="4"/>
      <c r="G503" s="4"/>
      <c r="H503" s="4"/>
      <c r="I503" s="33"/>
      <c r="J503" s="78"/>
      <c r="K503" s="78"/>
      <c r="L503" s="78"/>
      <c r="M503" s="29"/>
      <c r="AH503" s="27"/>
      <c r="AQ503" s="29"/>
    </row>
    <row r="504" spans="1:43" ht="19.5" customHeight="1">
      <c r="A504" s="4"/>
      <c r="B504" s="4"/>
      <c r="C504" s="4"/>
      <c r="D504" s="4"/>
      <c r="E504" s="4" t="s">
        <v>929</v>
      </c>
      <c r="F504" s="4"/>
      <c r="G504" s="4"/>
      <c r="H504" s="4"/>
      <c r="I504" s="4"/>
      <c r="J504" s="4"/>
      <c r="K504" s="4"/>
      <c r="L504" s="4"/>
      <c r="M504" s="4"/>
      <c r="AH504" s="27"/>
      <c r="AQ504" s="29"/>
    </row>
    <row r="505" spans="1:43" ht="19.5" customHeight="1">
      <c r="A505" s="4"/>
      <c r="B505" s="4"/>
      <c r="C505" s="4"/>
      <c r="D505" s="4"/>
      <c r="F505" s="4" t="s">
        <v>418</v>
      </c>
      <c r="G505" s="4"/>
      <c r="H505" s="4"/>
      <c r="I505" s="4" t="s">
        <v>419</v>
      </c>
      <c r="J505" s="4"/>
      <c r="AF505" s="29"/>
      <c r="AG505" s="29"/>
      <c r="AN505" s="27"/>
      <c r="AO505" s="27"/>
      <c r="AP505" s="27"/>
      <c r="AQ505" s="29"/>
    </row>
    <row r="506" spans="1:43" ht="19.5" customHeight="1">
      <c r="A506" s="4"/>
      <c r="B506" s="4"/>
      <c r="C506" s="4"/>
      <c r="D506" s="4"/>
      <c r="E506" s="4"/>
      <c r="F506" s="4" t="s">
        <v>960</v>
      </c>
      <c r="G506" s="4"/>
      <c r="H506" s="4"/>
      <c r="I506" s="4" t="s">
        <v>1205</v>
      </c>
      <c r="J506" s="4"/>
      <c r="U506" s="27" t="s">
        <v>420</v>
      </c>
      <c r="W506" s="325">
        <v>2.6</v>
      </c>
      <c r="X506" s="325"/>
      <c r="Y506" s="27" t="s">
        <v>421</v>
      </c>
      <c r="AC506" s="92" t="s">
        <v>910</v>
      </c>
      <c r="AF506" s="29"/>
      <c r="AG506" s="29"/>
      <c r="AN506" s="27"/>
      <c r="AO506" s="27"/>
      <c r="AP506" s="27"/>
      <c r="AQ506" s="29"/>
    </row>
    <row r="507" spans="1:43" ht="19.5" customHeight="1">
      <c r="A507" s="4"/>
      <c r="B507" s="4"/>
      <c r="C507" s="4"/>
      <c r="D507" s="4"/>
      <c r="E507" s="4"/>
      <c r="F507" s="4" t="s">
        <v>961</v>
      </c>
      <c r="G507" s="4"/>
      <c r="H507" s="4"/>
      <c r="I507" s="4" t="s">
        <v>1206</v>
      </c>
      <c r="J507" s="4"/>
      <c r="U507" s="27" t="s">
        <v>1363</v>
      </c>
      <c r="W507" s="325">
        <v>2</v>
      </c>
      <c r="X507" s="325"/>
      <c r="Y507" s="27" t="s">
        <v>1364</v>
      </c>
      <c r="Z507" s="39" t="s">
        <v>422</v>
      </c>
      <c r="AA507" s="29"/>
      <c r="AB507" s="27" t="s">
        <v>423</v>
      </c>
      <c r="AF507" s="29"/>
      <c r="AG507" s="29"/>
      <c r="AN507" s="27"/>
      <c r="AO507" s="27"/>
      <c r="AP507" s="27"/>
      <c r="AQ507" s="29"/>
    </row>
    <row r="508" spans="1:43" ht="19.5" customHeight="1">
      <c r="A508" s="4"/>
      <c r="B508" s="4"/>
      <c r="C508" s="4"/>
      <c r="D508" s="4"/>
      <c r="E508" s="4"/>
      <c r="F508" s="4" t="s">
        <v>424</v>
      </c>
      <c r="G508" s="4"/>
      <c r="H508" s="4"/>
      <c r="I508" s="4" t="s">
        <v>1207</v>
      </c>
      <c r="J508" s="4"/>
      <c r="AC508" s="92" t="s">
        <v>909</v>
      </c>
      <c r="AF508" s="29"/>
      <c r="AG508" s="29"/>
      <c r="AN508" s="27"/>
      <c r="AO508" s="27"/>
      <c r="AP508" s="27"/>
      <c r="AQ508" s="29"/>
    </row>
    <row r="509" spans="1:43" ht="19.5" customHeight="1">
      <c r="A509" s="4"/>
      <c r="B509" s="4"/>
      <c r="C509" s="4"/>
      <c r="D509" s="4"/>
      <c r="E509" s="4"/>
      <c r="F509" s="4" t="s">
        <v>334</v>
      </c>
      <c r="G509" s="4"/>
      <c r="H509" s="4"/>
      <c r="I509" s="4" t="s">
        <v>930</v>
      </c>
      <c r="J509" s="4"/>
      <c r="O509" s="27" t="s">
        <v>425</v>
      </c>
      <c r="T509" s="27" t="s">
        <v>1361</v>
      </c>
      <c r="U509" s="250">
        <f>W360</f>
        <v>2</v>
      </c>
      <c r="V509" s="250"/>
      <c r="W509" s="250"/>
      <c r="X509" s="27" t="s">
        <v>329</v>
      </c>
      <c r="Y509" s="39" t="s">
        <v>336</v>
      </c>
      <c r="Z509" s="29"/>
      <c r="AA509" s="39" t="s">
        <v>1362</v>
      </c>
      <c r="AB509" s="327">
        <v>2.6</v>
      </c>
      <c r="AC509" s="327"/>
      <c r="AD509" s="327"/>
      <c r="AE509" s="27" t="s">
        <v>329</v>
      </c>
      <c r="AF509" s="39" t="s">
        <v>337</v>
      </c>
      <c r="AH509" s="29" t="s">
        <v>1361</v>
      </c>
      <c r="AI509" s="255">
        <f>U509/AB509*10</f>
        <v>7.692307692307692</v>
      </c>
      <c r="AJ509" s="255"/>
      <c r="AK509" s="255"/>
      <c r="AN509" s="27"/>
      <c r="AO509" s="27"/>
      <c r="AP509" s="27"/>
      <c r="AQ509" s="29"/>
    </row>
    <row r="510" spans="1:43" ht="19.5" customHeight="1">
      <c r="A510" s="4"/>
      <c r="B510" s="4"/>
      <c r="C510" s="4"/>
      <c r="D510" s="4"/>
      <c r="E510" s="4"/>
      <c r="F510" s="4" t="s">
        <v>962</v>
      </c>
      <c r="G510" s="4"/>
      <c r="H510" s="4"/>
      <c r="I510" s="4" t="s">
        <v>1208</v>
      </c>
      <c r="J510" s="4"/>
      <c r="AF510" s="29"/>
      <c r="AG510" s="29"/>
      <c r="AN510" s="27"/>
      <c r="AO510" s="27"/>
      <c r="AP510" s="27"/>
      <c r="AQ510" s="29"/>
    </row>
    <row r="511" spans="1:45" ht="19.5" customHeight="1">
      <c r="A511" s="4" t="s">
        <v>877</v>
      </c>
      <c r="B511" s="4"/>
      <c r="C511" s="4"/>
      <c r="D511" s="4"/>
      <c r="E511" s="4"/>
      <c r="F511" s="4"/>
      <c r="G511" s="4"/>
      <c r="H511" s="4"/>
      <c r="J511" s="4" t="s">
        <v>1028</v>
      </c>
      <c r="T511" s="261">
        <f>ABS(P477)</f>
        <v>8.361084166035312</v>
      </c>
      <c r="U511" s="261"/>
      <c r="V511" s="261"/>
      <c r="W511" s="35" t="s">
        <v>1029</v>
      </c>
      <c r="X511" s="261">
        <f>-R283</f>
        <v>0.026038197988044902</v>
      </c>
      <c r="Y511" s="261"/>
      <c r="Z511" s="261"/>
      <c r="AA511" s="27" t="s">
        <v>993</v>
      </c>
      <c r="AB511" s="261">
        <f>T511+X511</f>
        <v>8.387122364023357</v>
      </c>
      <c r="AC511" s="261"/>
      <c r="AD511" s="261"/>
      <c r="AE511" s="29" t="s">
        <v>1116</v>
      </c>
      <c r="AG511" s="29"/>
      <c r="AN511" s="27"/>
      <c r="AO511" s="27"/>
      <c r="AP511" s="27"/>
      <c r="AQ511" s="29"/>
      <c r="AS511" s="36"/>
    </row>
    <row r="512" spans="1:43" ht="19.5" customHeight="1">
      <c r="A512" s="4"/>
      <c r="B512" s="4"/>
      <c r="C512" s="4"/>
      <c r="D512" s="4"/>
      <c r="E512" s="4"/>
      <c r="F512" s="4" t="s">
        <v>1030</v>
      </c>
      <c r="G512" s="4"/>
      <c r="H512" s="4"/>
      <c r="I512" s="4" t="s">
        <v>1031</v>
      </c>
      <c r="J512" s="4"/>
      <c r="T512" s="37"/>
      <c r="U512" s="37"/>
      <c r="V512" s="37"/>
      <c r="W512" s="35"/>
      <c r="X512" s="37"/>
      <c r="Y512" s="37"/>
      <c r="Z512" s="37"/>
      <c r="AB512" s="37"/>
      <c r="AC512" s="37"/>
      <c r="AD512" s="37"/>
      <c r="AE512" s="29"/>
      <c r="AG512" s="29"/>
      <c r="AN512" s="27"/>
      <c r="AO512" s="27"/>
      <c r="AP512" s="27"/>
      <c r="AQ512" s="29"/>
    </row>
    <row r="513" spans="1:43" ht="19.5" customHeight="1">
      <c r="A513" s="4" t="s">
        <v>877</v>
      </c>
      <c r="B513" s="4"/>
      <c r="C513" s="4"/>
      <c r="D513" s="4"/>
      <c r="E513" s="4"/>
      <c r="F513" s="4" t="s">
        <v>1032</v>
      </c>
      <c r="G513" s="4"/>
      <c r="H513" s="4"/>
      <c r="I513" s="4" t="s">
        <v>1033</v>
      </c>
      <c r="J513" s="4"/>
      <c r="AF513" s="29"/>
      <c r="AG513" s="29"/>
      <c r="AN513" s="27"/>
      <c r="AO513" s="27"/>
      <c r="AP513" s="27"/>
      <c r="AQ513" s="29"/>
    </row>
    <row r="514" spans="1:42" ht="19.5" customHeight="1">
      <c r="A514" s="4"/>
      <c r="B514" s="4"/>
      <c r="C514" s="4"/>
      <c r="D514" s="4"/>
      <c r="E514" s="4"/>
      <c r="F514" s="4"/>
      <c r="G514" s="4"/>
      <c r="H514" s="4"/>
      <c r="I514" s="4"/>
      <c r="J514" s="4"/>
      <c r="K514" s="35" t="s">
        <v>993</v>
      </c>
      <c r="L514" s="255">
        <f>AI509</f>
        <v>7.692307692307692</v>
      </c>
      <c r="M514" s="255"/>
      <c r="N514" s="255"/>
      <c r="O514" s="27" t="s">
        <v>1353</v>
      </c>
      <c r="P514" s="237">
        <f>X517</f>
        <v>5941.2</v>
      </c>
      <c r="Q514" s="237"/>
      <c r="R514" s="237"/>
      <c r="S514" s="27" t="s">
        <v>1353</v>
      </c>
      <c r="T514" s="27" t="s">
        <v>1034</v>
      </c>
      <c r="V514" s="237">
        <f>AH246</f>
        <v>3800</v>
      </c>
      <c r="W514" s="237"/>
      <c r="X514" s="237"/>
      <c r="Y514" s="27" t="s">
        <v>1353</v>
      </c>
      <c r="Z514" s="39" t="s">
        <v>1035</v>
      </c>
      <c r="AA514" s="29"/>
      <c r="AB514" s="35" t="s">
        <v>1029</v>
      </c>
      <c r="AC514" s="281">
        <f>L520</f>
        <v>25.562916582508592</v>
      </c>
      <c r="AD514" s="281"/>
      <c r="AE514" s="281"/>
      <c r="AF514" s="281"/>
      <c r="AG514" s="237">
        <f>AH247</f>
        <v>457266.6666666667</v>
      </c>
      <c r="AH514" s="237"/>
      <c r="AI514" s="237"/>
      <c r="AJ514" s="237"/>
      <c r="AK514" s="27" t="s">
        <v>1353</v>
      </c>
      <c r="AL514" s="39" t="s">
        <v>1117</v>
      </c>
      <c r="AN514" s="29" t="s">
        <v>1118</v>
      </c>
      <c r="AO514" s="27"/>
      <c r="AP514" s="27"/>
    </row>
    <row r="515" spans="1:43" ht="19.5" customHeight="1">
      <c r="A515" s="4"/>
      <c r="B515" s="4"/>
      <c r="C515" s="4"/>
      <c r="D515" s="4"/>
      <c r="E515" s="4"/>
      <c r="F515" s="4"/>
      <c r="G515" s="4"/>
      <c r="H515" s="4"/>
      <c r="I515" s="4"/>
      <c r="J515" s="4"/>
      <c r="K515" s="35" t="s">
        <v>993</v>
      </c>
      <c r="L515" s="280">
        <f>L514*P514*(1/(V514*100)+AC514^2/(AG514*10000))</f>
        <v>0.12679824254189084</v>
      </c>
      <c r="M515" s="280"/>
      <c r="N515" s="280"/>
      <c r="P515" s="44"/>
      <c r="Q515" s="44"/>
      <c r="R515" s="44"/>
      <c r="V515" s="44"/>
      <c r="W515" s="44"/>
      <c r="X515" s="44"/>
      <c r="Z515" s="39"/>
      <c r="AA515" s="29"/>
      <c r="AB515" s="35"/>
      <c r="AC515" s="157"/>
      <c r="AD515" s="157"/>
      <c r="AE515" s="157"/>
      <c r="AF515" s="157"/>
      <c r="AG515" s="44"/>
      <c r="AH515" s="44"/>
      <c r="AI515" s="44"/>
      <c r="AJ515" s="44"/>
      <c r="AK515" s="27"/>
      <c r="AL515" s="39"/>
      <c r="AN515" s="27"/>
      <c r="AO515" s="27"/>
      <c r="AP515" s="27"/>
      <c r="AQ515" s="29"/>
    </row>
    <row r="516" spans="1:43" ht="19.5" customHeight="1">
      <c r="A516" s="4"/>
      <c r="B516" s="4"/>
      <c r="C516" s="4"/>
      <c r="D516" s="4"/>
      <c r="E516" s="4"/>
      <c r="F516" s="4" t="s">
        <v>1036</v>
      </c>
      <c r="G516" s="4"/>
      <c r="H516" s="4"/>
      <c r="I516" s="4" t="s">
        <v>1209</v>
      </c>
      <c r="J516" s="4"/>
      <c r="AF516" s="29"/>
      <c r="AG516" s="29"/>
      <c r="AN516" s="27"/>
      <c r="AO516" s="27"/>
      <c r="AP516" s="27"/>
      <c r="AQ516" s="29"/>
    </row>
    <row r="517" spans="1:43" ht="19.5" customHeight="1">
      <c r="A517" s="4"/>
      <c r="B517" s="4"/>
      <c r="C517" s="4"/>
      <c r="D517" s="4"/>
      <c r="E517" s="4"/>
      <c r="F517" s="4"/>
      <c r="G517" s="4"/>
      <c r="H517" s="4"/>
      <c r="I517" s="4" t="s">
        <v>426</v>
      </c>
      <c r="K517" s="27" t="s">
        <v>427</v>
      </c>
      <c r="L517" s="237">
        <f>I240</f>
        <v>1146</v>
      </c>
      <c r="M517" s="237"/>
      <c r="N517" s="237"/>
      <c r="O517" s="27" t="s">
        <v>428</v>
      </c>
      <c r="P517" s="237">
        <f>AG241</f>
        <v>2503.2</v>
      </c>
      <c r="Q517" s="237"/>
      <c r="R517" s="237"/>
      <c r="S517" s="27" t="s">
        <v>428</v>
      </c>
      <c r="T517" s="237">
        <f>AI244</f>
        <v>2292</v>
      </c>
      <c r="U517" s="237"/>
      <c r="V517" s="237"/>
      <c r="W517" s="27" t="s">
        <v>427</v>
      </c>
      <c r="X517" s="237">
        <f>L517+T517+P517</f>
        <v>5941.2</v>
      </c>
      <c r="Y517" s="237"/>
      <c r="Z517" s="237"/>
      <c r="AA517" s="27" t="s">
        <v>429</v>
      </c>
      <c r="AF517" s="29"/>
      <c r="AG517" s="29"/>
      <c r="AN517" s="27"/>
      <c r="AO517" s="27"/>
      <c r="AP517" s="27"/>
      <c r="AQ517" s="29"/>
    </row>
    <row r="518" spans="1:43" ht="19.5" customHeight="1">
      <c r="A518" s="4"/>
      <c r="B518" s="4"/>
      <c r="C518" s="4"/>
      <c r="D518" s="4"/>
      <c r="E518" s="4"/>
      <c r="F518" s="4" t="s">
        <v>430</v>
      </c>
      <c r="G518" s="4"/>
      <c r="H518" s="4"/>
      <c r="I518" s="4" t="s">
        <v>1210</v>
      </c>
      <c r="J518" s="4"/>
      <c r="AF518" s="29"/>
      <c r="AG518" s="29"/>
      <c r="AN518" s="27"/>
      <c r="AO518" s="27"/>
      <c r="AP518" s="27"/>
      <c r="AQ518" s="29"/>
    </row>
    <row r="519" spans="1:43" ht="19.5" customHeight="1">
      <c r="A519" s="4"/>
      <c r="B519" s="4"/>
      <c r="C519" s="4"/>
      <c r="D519" s="4"/>
      <c r="E519" s="4"/>
      <c r="F519" s="4"/>
      <c r="G519" s="4"/>
      <c r="H519" s="4"/>
      <c r="I519" s="4" t="s">
        <v>431</v>
      </c>
      <c r="K519" s="27" t="s">
        <v>1037</v>
      </c>
      <c r="L519" s="236">
        <f>AC240/2</f>
        <v>190</v>
      </c>
      <c r="M519" s="236"/>
      <c r="N519" s="27" t="s">
        <v>1038</v>
      </c>
      <c r="O519" s="27" t="s">
        <v>1039</v>
      </c>
      <c r="P519" s="237">
        <f>AI244</f>
        <v>2292</v>
      </c>
      <c r="Q519" s="237"/>
      <c r="R519" s="237"/>
      <c r="S519" s="27" t="s">
        <v>1040</v>
      </c>
      <c r="T519" s="236">
        <f>O242</f>
        <v>40</v>
      </c>
      <c r="U519" s="236"/>
      <c r="V519" s="27" t="s">
        <v>432</v>
      </c>
      <c r="W519" s="237">
        <f>AG241</f>
        <v>2503.2</v>
      </c>
      <c r="X519" s="237"/>
      <c r="Y519" s="237"/>
      <c r="Z519" s="27" t="s">
        <v>1040</v>
      </c>
      <c r="AA519" s="236">
        <f>AB242</f>
        <v>198</v>
      </c>
      <c r="AB519" s="236"/>
      <c r="AC519" s="27" t="s">
        <v>432</v>
      </c>
      <c r="AD519" s="237">
        <f>I240</f>
        <v>1146</v>
      </c>
      <c r="AE519" s="237"/>
      <c r="AF519" s="237"/>
      <c r="AG519" s="27" t="s">
        <v>1040</v>
      </c>
      <c r="AH519" s="236">
        <f>O242+O241</f>
        <v>340</v>
      </c>
      <c r="AI519" s="236"/>
      <c r="AJ519" s="29" t="s">
        <v>433</v>
      </c>
      <c r="AK519" s="237">
        <f>X517</f>
        <v>5941.2</v>
      </c>
      <c r="AL519" s="237"/>
      <c r="AM519" s="237"/>
      <c r="AN519" s="27"/>
      <c r="AO519" s="27"/>
      <c r="AP519" s="27"/>
      <c r="AQ519" s="29"/>
    </row>
    <row r="520" spans="1:43" ht="19.5" customHeight="1">
      <c r="A520" s="4"/>
      <c r="B520" s="4"/>
      <c r="C520" s="4"/>
      <c r="D520" s="4"/>
      <c r="E520" s="4"/>
      <c r="F520" s="4"/>
      <c r="G520" s="4"/>
      <c r="H520" s="4"/>
      <c r="I520" s="4"/>
      <c r="J520" s="4"/>
      <c r="K520" s="27" t="s">
        <v>1037</v>
      </c>
      <c r="L520" s="237">
        <f>L519-(P519*T519+W519*AA519+AD519*AH519)/AK519</f>
        <v>25.562916582508592</v>
      </c>
      <c r="M520" s="237"/>
      <c r="N520" s="237"/>
      <c r="O520" s="27" t="s">
        <v>434</v>
      </c>
      <c r="AF520" s="29"/>
      <c r="AG520" s="29"/>
      <c r="AN520" s="27"/>
      <c r="AO520" s="27"/>
      <c r="AP520" s="27"/>
      <c r="AQ520" s="29"/>
    </row>
    <row r="521" spans="1:43" ht="19.5" customHeight="1">
      <c r="A521" s="4"/>
      <c r="B521" s="4"/>
      <c r="C521" s="4"/>
      <c r="D521" s="4"/>
      <c r="E521" s="4"/>
      <c r="F521" s="4" t="s">
        <v>1041</v>
      </c>
      <c r="G521" s="4"/>
      <c r="H521" s="4"/>
      <c r="I521" s="4" t="s">
        <v>1211</v>
      </c>
      <c r="J521" s="4"/>
      <c r="AF521" s="29"/>
      <c r="AG521" s="29"/>
      <c r="AN521" s="27"/>
      <c r="AO521" s="27"/>
      <c r="AP521" s="27"/>
      <c r="AQ521" s="29"/>
    </row>
    <row r="522" spans="1:43" ht="19.5" customHeight="1">
      <c r="A522" s="4"/>
      <c r="B522" s="4"/>
      <c r="C522" s="4"/>
      <c r="D522" s="4"/>
      <c r="E522" s="4"/>
      <c r="F522" s="4" t="s">
        <v>435</v>
      </c>
      <c r="G522" s="4"/>
      <c r="H522" s="4"/>
      <c r="I522" s="4" t="s">
        <v>1212</v>
      </c>
      <c r="J522" s="4"/>
      <c r="AA522" s="107"/>
      <c r="AF522" s="29"/>
      <c r="AG522" s="29"/>
      <c r="AN522" s="27"/>
      <c r="AO522" s="27"/>
      <c r="AP522" s="27"/>
      <c r="AQ522" s="29"/>
    </row>
    <row r="523" spans="1:43" ht="19.5" customHeight="1">
      <c r="A523" s="4"/>
      <c r="B523" s="4"/>
      <c r="C523" s="4"/>
      <c r="D523" s="4"/>
      <c r="E523" s="4"/>
      <c r="F523" s="4"/>
      <c r="H523" s="4"/>
      <c r="I523" s="4"/>
      <c r="J523" s="4"/>
      <c r="K523" s="4"/>
      <c r="L523" s="4"/>
      <c r="M523" s="4"/>
      <c r="AD523" s="107"/>
      <c r="AH523" s="27"/>
      <c r="AQ523" s="29"/>
    </row>
    <row r="524" spans="1:43" ht="19.5" customHeight="1">
      <c r="A524" s="4"/>
      <c r="B524" s="4"/>
      <c r="C524" s="4"/>
      <c r="D524" s="4"/>
      <c r="E524" s="4"/>
      <c r="F524" s="4"/>
      <c r="H524" s="4"/>
      <c r="I524" s="4"/>
      <c r="J524" s="4"/>
      <c r="K524" s="4"/>
      <c r="L524" s="4"/>
      <c r="M524" s="4"/>
      <c r="AD524" s="107"/>
      <c r="AH524" s="27"/>
      <c r="AQ524" s="29"/>
    </row>
    <row r="525" spans="1:43" ht="19.5" customHeight="1">
      <c r="A525" s="4"/>
      <c r="B525" s="4"/>
      <c r="C525" s="4"/>
      <c r="D525" s="4"/>
      <c r="E525" s="4"/>
      <c r="F525" s="4" t="s">
        <v>436</v>
      </c>
      <c r="G525" s="4"/>
      <c r="H525" s="4"/>
      <c r="I525" s="4"/>
      <c r="J525" s="4"/>
      <c r="K525" s="4"/>
      <c r="L525" s="4"/>
      <c r="M525" s="4"/>
      <c r="AB525" s="45"/>
      <c r="AC525" s="45"/>
      <c r="AD525" s="45"/>
      <c r="AH525" s="27"/>
      <c r="AQ525" s="29"/>
    </row>
    <row r="526" spans="1:43" ht="19.5" customHeight="1">
      <c r="A526" s="4"/>
      <c r="B526" s="4"/>
      <c r="F526" s="183" t="s">
        <v>1021</v>
      </c>
      <c r="G526" s="183"/>
      <c r="H526" s="183"/>
      <c r="I526" s="183"/>
      <c r="J526" s="183"/>
      <c r="K526" s="183"/>
      <c r="L526" s="183"/>
      <c r="M526" s="204" t="s">
        <v>437</v>
      </c>
      <c r="N526" s="204"/>
      <c r="O526" s="204"/>
      <c r="P526" s="204"/>
      <c r="Q526" s="204" t="s">
        <v>438</v>
      </c>
      <c r="R526" s="204"/>
      <c r="S526" s="204"/>
      <c r="T526" s="204"/>
      <c r="U526" s="204" t="s">
        <v>439</v>
      </c>
      <c r="V526" s="204"/>
      <c r="W526" s="204"/>
      <c r="X526" s="204"/>
      <c r="Y526" s="45"/>
      <c r="Z526" s="45"/>
      <c r="AA526" s="45"/>
      <c r="AB526" s="45"/>
      <c r="AC526" s="45"/>
      <c r="AD526" s="45"/>
      <c r="AE526" s="45"/>
      <c r="AF526" s="45"/>
      <c r="AG526" s="45"/>
      <c r="AH526" s="45"/>
      <c r="AI526" s="45"/>
      <c r="AJ526" s="45"/>
      <c r="AK526" s="45"/>
      <c r="AL526" s="45"/>
      <c r="AM526" s="45"/>
      <c r="AQ526" s="29"/>
    </row>
    <row r="527" spans="1:43" ht="19.5" customHeight="1">
      <c r="A527" s="4"/>
      <c r="B527" s="4"/>
      <c r="F527" s="183" t="s">
        <v>440</v>
      </c>
      <c r="G527" s="183"/>
      <c r="H527" s="183"/>
      <c r="I527" s="204" t="s">
        <v>441</v>
      </c>
      <c r="J527" s="204"/>
      <c r="K527" s="204"/>
      <c r="L527" s="204"/>
      <c r="M527" s="213">
        <f>$AC$255/2-($AI$259*$O$257+$AG$256*($AC$255-$AA$255)+$I$255*($O$257+$O$256))/$M$528</f>
        <v>-25.562916582508564</v>
      </c>
      <c r="N527" s="213"/>
      <c r="O527" s="213"/>
      <c r="P527" s="213"/>
      <c r="Q527" s="213">
        <f>$AC$240/2-($AI$244*$O$242+$AG$241*$AB$242+$I$240*($O$242+$O$241))/$Q$528</f>
        <v>25.562916582508592</v>
      </c>
      <c r="R527" s="213"/>
      <c r="S527" s="213"/>
      <c r="T527" s="213"/>
      <c r="U527" s="213">
        <f>$AC$255/2-($AI$259*$O$257+$AG$256*($AC$255-$AA$255)+$I$255*($O$257+$O$256))/$M$528</f>
        <v>-25.562916582508564</v>
      </c>
      <c r="V527" s="213"/>
      <c r="W527" s="213"/>
      <c r="X527" s="213"/>
      <c r="Y527" s="46"/>
      <c r="Z527" s="46"/>
      <c r="AA527" s="46"/>
      <c r="AB527" s="46"/>
      <c r="AC527" s="46"/>
      <c r="AD527" s="46"/>
      <c r="AE527" s="46"/>
      <c r="AF527" s="46"/>
      <c r="AG527" s="46"/>
      <c r="AH527" s="46"/>
      <c r="AI527" s="46"/>
      <c r="AJ527" s="46"/>
      <c r="AK527" s="46"/>
      <c r="AL527" s="46"/>
      <c r="AM527" s="46"/>
      <c r="AQ527" s="29"/>
    </row>
    <row r="528" spans="1:43" ht="19.5" customHeight="1">
      <c r="A528" s="4" t="s">
        <v>877</v>
      </c>
      <c r="B528" s="4"/>
      <c r="F528" s="183" t="s">
        <v>1036</v>
      </c>
      <c r="G528" s="183"/>
      <c r="H528" s="183"/>
      <c r="I528" s="204" t="s">
        <v>442</v>
      </c>
      <c r="J528" s="204"/>
      <c r="K528" s="204"/>
      <c r="L528" s="204"/>
      <c r="M528" s="190">
        <f>$I$255+$AG$256+$AI$259</f>
        <v>5941.2</v>
      </c>
      <c r="N528" s="190"/>
      <c r="O528" s="190"/>
      <c r="P528" s="190"/>
      <c r="Q528" s="190">
        <f>$I$240+$AG$241+$AI$244</f>
        <v>5941.2</v>
      </c>
      <c r="R528" s="190"/>
      <c r="S528" s="190"/>
      <c r="T528" s="190"/>
      <c r="U528" s="190">
        <f>$I$255+$AG$256+$AI$259</f>
        <v>5941.2</v>
      </c>
      <c r="V528" s="190"/>
      <c r="W528" s="190"/>
      <c r="X528" s="190"/>
      <c r="Y528" s="77"/>
      <c r="Z528" s="77"/>
      <c r="AA528" s="77"/>
      <c r="AB528" s="77"/>
      <c r="AC528" s="77"/>
      <c r="AD528" s="77"/>
      <c r="AE528" s="77"/>
      <c r="AF528" s="77"/>
      <c r="AG528" s="77"/>
      <c r="AH528" s="77"/>
      <c r="AI528" s="77"/>
      <c r="AJ528" s="77"/>
      <c r="AK528" s="77"/>
      <c r="AL528" s="77"/>
      <c r="AM528" s="77"/>
      <c r="AQ528" s="29"/>
    </row>
    <row r="529" spans="1:43" ht="19.5" customHeight="1">
      <c r="A529" s="4"/>
      <c r="B529" s="4"/>
      <c r="F529" s="183" t="s">
        <v>874</v>
      </c>
      <c r="G529" s="183"/>
      <c r="H529" s="183"/>
      <c r="I529" s="204" t="s">
        <v>443</v>
      </c>
      <c r="J529" s="204"/>
      <c r="K529" s="204"/>
      <c r="L529" s="204"/>
      <c r="M529" s="190">
        <f>$AH$261</f>
        <v>3800</v>
      </c>
      <c r="N529" s="190"/>
      <c r="O529" s="190"/>
      <c r="P529" s="190"/>
      <c r="Q529" s="190">
        <f>$AH$246</f>
        <v>3800</v>
      </c>
      <c r="R529" s="190"/>
      <c r="S529" s="190"/>
      <c r="T529" s="190"/>
      <c r="U529" s="190">
        <f>$AH$261</f>
        <v>3800</v>
      </c>
      <c r="V529" s="190"/>
      <c r="W529" s="190"/>
      <c r="X529" s="190"/>
      <c r="Y529" s="77"/>
      <c r="Z529" s="77"/>
      <c r="AA529" s="77"/>
      <c r="AB529" s="77"/>
      <c r="AC529" s="77"/>
      <c r="AD529" s="77"/>
      <c r="AE529" s="77"/>
      <c r="AF529" s="77"/>
      <c r="AG529" s="77"/>
      <c r="AH529" s="77"/>
      <c r="AI529" s="77"/>
      <c r="AJ529" s="77"/>
      <c r="AK529" s="77"/>
      <c r="AL529" s="77"/>
      <c r="AM529" s="77"/>
      <c r="AQ529" s="29"/>
    </row>
    <row r="530" spans="1:43" ht="19.5" customHeight="1">
      <c r="A530" s="4"/>
      <c r="B530" s="4"/>
      <c r="F530" s="183" t="s">
        <v>444</v>
      </c>
      <c r="G530" s="183"/>
      <c r="H530" s="183"/>
      <c r="I530" s="204" t="s">
        <v>445</v>
      </c>
      <c r="J530" s="204"/>
      <c r="K530" s="204"/>
      <c r="L530" s="204"/>
      <c r="M530" s="213">
        <f>$AH$262</f>
        <v>457266.6666666667</v>
      </c>
      <c r="N530" s="213"/>
      <c r="O530" s="213"/>
      <c r="P530" s="213"/>
      <c r="Q530" s="213">
        <f>$AH$247</f>
        <v>457266.6666666667</v>
      </c>
      <c r="R530" s="213"/>
      <c r="S530" s="213"/>
      <c r="T530" s="213"/>
      <c r="U530" s="213">
        <f>$AH$262</f>
        <v>457266.6666666667</v>
      </c>
      <c r="V530" s="213"/>
      <c r="W530" s="213"/>
      <c r="X530" s="213"/>
      <c r="Y530" s="46"/>
      <c r="Z530" s="46"/>
      <c r="AA530" s="46"/>
      <c r="AB530" s="46"/>
      <c r="AC530" s="46"/>
      <c r="AD530" s="46"/>
      <c r="AE530" s="46"/>
      <c r="AF530" s="46"/>
      <c r="AG530" s="46"/>
      <c r="AH530" s="46"/>
      <c r="AI530" s="46"/>
      <c r="AJ530" s="46"/>
      <c r="AK530" s="46"/>
      <c r="AL530" s="46"/>
      <c r="AM530" s="46"/>
      <c r="AQ530" s="29"/>
    </row>
    <row r="531" spans="1:43" ht="19.5" customHeight="1">
      <c r="A531" s="4"/>
      <c r="B531" s="4"/>
      <c r="F531" s="183" t="s">
        <v>1032</v>
      </c>
      <c r="G531" s="183"/>
      <c r="H531" s="183"/>
      <c r="I531" s="204"/>
      <c r="J531" s="204"/>
      <c r="K531" s="204"/>
      <c r="L531" s="204"/>
      <c r="M531" s="254">
        <f>$AI$509*M528*(1/(M529*100)+M527^2/(M530*10000))</f>
        <v>0.12679824254189082</v>
      </c>
      <c r="N531" s="254"/>
      <c r="O531" s="254"/>
      <c r="P531" s="254"/>
      <c r="Q531" s="254">
        <f>$AI$509*Q528*(1/(Q529*100)+Q527^2/(Q530*10000))</f>
        <v>0.12679824254189084</v>
      </c>
      <c r="R531" s="254"/>
      <c r="S531" s="254"/>
      <c r="T531" s="254"/>
      <c r="U531" s="254">
        <f>$AI$509*U528*(1/(U529*100)+U527^2/(U530*10000))</f>
        <v>0.12679824254189082</v>
      </c>
      <c r="V531" s="254"/>
      <c r="W531" s="254"/>
      <c r="X531" s="254"/>
      <c r="Y531" s="77"/>
      <c r="Z531" s="77"/>
      <c r="AA531" s="77"/>
      <c r="AB531" s="77"/>
      <c r="AC531" s="77"/>
      <c r="AD531" s="77"/>
      <c r="AE531" s="77"/>
      <c r="AF531" s="77"/>
      <c r="AG531" s="77"/>
      <c r="AH531" s="77"/>
      <c r="AI531" s="77"/>
      <c r="AJ531" s="77"/>
      <c r="AK531" s="77"/>
      <c r="AL531" s="77"/>
      <c r="AM531" s="77"/>
      <c r="AQ531" s="29"/>
    </row>
    <row r="532" spans="1:43" ht="19.5" customHeight="1">
      <c r="A532" s="4"/>
      <c r="B532" s="4"/>
      <c r="F532" s="183" t="s">
        <v>446</v>
      </c>
      <c r="G532" s="183"/>
      <c r="H532" s="183"/>
      <c r="I532" s="204" t="s">
        <v>447</v>
      </c>
      <c r="J532" s="204"/>
      <c r="K532" s="204"/>
      <c r="L532" s="204"/>
      <c r="M532" s="213">
        <f>ABS(L477)</f>
        <v>8.357362290365971</v>
      </c>
      <c r="N532" s="213"/>
      <c r="O532" s="213"/>
      <c r="P532" s="213"/>
      <c r="Q532" s="213">
        <f>ABS(P477)</f>
        <v>8.361084166035312</v>
      </c>
      <c r="R532" s="213"/>
      <c r="S532" s="213"/>
      <c r="T532" s="213"/>
      <c r="U532" s="213">
        <f>ABS(T477)</f>
        <v>8.357362290365971</v>
      </c>
      <c r="V532" s="213"/>
      <c r="W532" s="213"/>
      <c r="X532" s="213"/>
      <c r="Y532" s="77"/>
      <c r="Z532" s="77"/>
      <c r="AA532" s="77"/>
      <c r="AB532" s="77"/>
      <c r="AC532" s="77"/>
      <c r="AD532" s="77"/>
      <c r="AE532" s="77"/>
      <c r="AF532" s="77"/>
      <c r="AG532" s="77"/>
      <c r="AH532" s="77"/>
      <c r="AI532" s="77"/>
      <c r="AJ532" s="77"/>
      <c r="AK532" s="77"/>
      <c r="AL532" s="77"/>
      <c r="AM532" s="77"/>
      <c r="AQ532" s="29"/>
    </row>
    <row r="533" spans="1:43" ht="19.5" customHeight="1">
      <c r="A533" s="4"/>
      <c r="B533" s="4"/>
      <c r="F533" s="204" t="s">
        <v>1030</v>
      </c>
      <c r="G533" s="204"/>
      <c r="H533" s="204"/>
      <c r="I533" s="204" t="s">
        <v>447</v>
      </c>
      <c r="J533" s="204"/>
      <c r="K533" s="204"/>
      <c r="L533" s="204"/>
      <c r="M533" s="213">
        <f>-N283</f>
        <v>0.07338912377897652</v>
      </c>
      <c r="N533" s="213"/>
      <c r="O533" s="213"/>
      <c r="P533" s="213"/>
      <c r="Q533" s="213">
        <f>-R283</f>
        <v>0.026038197988044902</v>
      </c>
      <c r="R533" s="213"/>
      <c r="S533" s="213"/>
      <c r="T533" s="213"/>
      <c r="U533" s="213">
        <f>-V283</f>
        <v>0.07338912377897652</v>
      </c>
      <c r="V533" s="213"/>
      <c r="W533" s="213"/>
      <c r="X533" s="213"/>
      <c r="Y533" s="46"/>
      <c r="Z533" s="46"/>
      <c r="AA533" s="46"/>
      <c r="AB533" s="46"/>
      <c r="AC533" s="46"/>
      <c r="AD533" s="46"/>
      <c r="AE533" s="46"/>
      <c r="AF533" s="46"/>
      <c r="AG533" s="46"/>
      <c r="AH533" s="46"/>
      <c r="AI533" s="46"/>
      <c r="AJ533" s="46"/>
      <c r="AK533" s="46"/>
      <c r="AL533" s="46"/>
      <c r="AM533" s="46"/>
      <c r="AQ533" s="29"/>
    </row>
    <row r="534" spans="1:43" ht="19.5" customHeight="1">
      <c r="A534" s="4"/>
      <c r="B534" s="4"/>
      <c r="C534" s="4"/>
      <c r="D534" s="4"/>
      <c r="E534" s="4"/>
      <c r="F534" s="184" t="s">
        <v>448</v>
      </c>
      <c r="G534" s="184"/>
      <c r="H534" s="184"/>
      <c r="I534" s="204" t="s">
        <v>447</v>
      </c>
      <c r="J534" s="204"/>
      <c r="K534" s="204"/>
      <c r="L534" s="204"/>
      <c r="M534" s="213">
        <f>($AI$509*$W$506*(M532+M533)+2*2*10)/(1+M531*(1+$W$506/2))</f>
        <v>161.51224887757076</v>
      </c>
      <c r="N534" s="213"/>
      <c r="O534" s="213"/>
      <c r="P534" s="213"/>
      <c r="Q534" s="213">
        <f>($AI$509*$W$506*(Q532+Q533)+2*2*10)/(1+Q531*(1+$W$506/2))</f>
        <v>160.8366862338311</v>
      </c>
      <c r="R534" s="213"/>
      <c r="S534" s="213"/>
      <c r="T534" s="213"/>
      <c r="U534" s="213">
        <f>($AI$509*$W$506*(U532+U533)+2*2*10)/(1+U531*(1+$W$506/2))</f>
        <v>161.51224887757076</v>
      </c>
      <c r="V534" s="213"/>
      <c r="W534" s="213"/>
      <c r="X534" s="213"/>
      <c r="Y534" s="46"/>
      <c r="Z534" s="46"/>
      <c r="AA534" s="46"/>
      <c r="AB534" s="46"/>
      <c r="AC534" s="46"/>
      <c r="AD534" s="46"/>
      <c r="AE534" s="46"/>
      <c r="AF534" s="46"/>
      <c r="AG534" s="46"/>
      <c r="AH534" s="46"/>
      <c r="AI534" s="46"/>
      <c r="AJ534" s="46"/>
      <c r="AK534" s="46"/>
      <c r="AL534" s="46"/>
      <c r="AM534" s="46"/>
      <c r="AQ534" s="29"/>
    </row>
    <row r="535" spans="1:43" ht="19.5" customHeight="1">
      <c r="A535" s="4"/>
      <c r="B535" s="4"/>
      <c r="C535" s="4"/>
      <c r="D535" s="4"/>
      <c r="E535" s="4"/>
      <c r="F535" s="58"/>
      <c r="G535" s="58"/>
      <c r="H535" s="58"/>
      <c r="I535" s="45"/>
      <c r="J535" s="45"/>
      <c r="K535" s="45"/>
      <c r="L535" s="45"/>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Q535" s="29"/>
    </row>
    <row r="536" spans="1:43" ht="19.5" customHeight="1">
      <c r="A536" s="4"/>
      <c r="B536" s="4"/>
      <c r="F536" s="183" t="s">
        <v>917</v>
      </c>
      <c r="G536" s="183"/>
      <c r="H536" s="183"/>
      <c r="I536" s="183"/>
      <c r="J536" s="183"/>
      <c r="K536" s="183"/>
      <c r="L536" s="183"/>
      <c r="M536" s="204" t="s">
        <v>437</v>
      </c>
      <c r="N536" s="204"/>
      <c r="O536" s="204"/>
      <c r="P536" s="204"/>
      <c r="Q536" s="204" t="s">
        <v>438</v>
      </c>
      <c r="R536" s="204"/>
      <c r="S536" s="204"/>
      <c r="T536" s="204"/>
      <c r="U536" s="204" t="s">
        <v>439</v>
      </c>
      <c r="V536" s="204"/>
      <c r="W536" s="204"/>
      <c r="X536" s="204"/>
      <c r="Y536" s="45"/>
      <c r="Z536" s="45"/>
      <c r="AA536" s="45"/>
      <c r="AB536" s="45"/>
      <c r="AC536" s="45"/>
      <c r="AD536" s="45"/>
      <c r="AE536" s="45"/>
      <c r="AF536" s="45"/>
      <c r="AG536" s="45"/>
      <c r="AH536" s="45"/>
      <c r="AI536" s="45"/>
      <c r="AJ536" s="45"/>
      <c r="AK536" s="45"/>
      <c r="AL536" s="45"/>
      <c r="AM536" s="45"/>
      <c r="AQ536" s="29"/>
    </row>
    <row r="537" spans="1:43" ht="19.5" customHeight="1">
      <c r="A537" s="4"/>
      <c r="B537" s="4"/>
      <c r="F537" s="183" t="s">
        <v>440</v>
      </c>
      <c r="G537" s="183"/>
      <c r="H537" s="183"/>
      <c r="I537" s="204" t="s">
        <v>441</v>
      </c>
      <c r="J537" s="204"/>
      <c r="K537" s="204"/>
      <c r="L537" s="204"/>
      <c r="M537" s="213">
        <f>$AC$255/2-($AI$259*$O$257+$AG$256*($AC$255-$AA$255)+$I$255*($O$257+$O$256))/M538</f>
        <v>-25.562916582508564</v>
      </c>
      <c r="N537" s="213"/>
      <c r="O537" s="213"/>
      <c r="P537" s="213"/>
      <c r="Q537" s="213">
        <f>$AC$240/2-($AI$244*$O$242+$AG$241*$AB$242+$I$240*($O$242+$O$241))/Q538</f>
        <v>25.562916582508592</v>
      </c>
      <c r="R537" s="213"/>
      <c r="S537" s="213"/>
      <c r="T537" s="213"/>
      <c r="U537" s="213">
        <f>$AC$255/2-($AI$259*$O$257+$AG$256*($AC$255-$AA$255)+$I$255*($O$257+$O$256))/U538</f>
        <v>-25.562916582508564</v>
      </c>
      <c r="V537" s="213"/>
      <c r="W537" s="213"/>
      <c r="X537" s="213"/>
      <c r="Y537" s="46"/>
      <c r="Z537" s="46"/>
      <c r="AA537" s="46"/>
      <c r="AB537" s="46"/>
      <c r="AC537" s="46"/>
      <c r="AD537" s="46"/>
      <c r="AE537" s="46"/>
      <c r="AF537" s="46"/>
      <c r="AG537" s="46"/>
      <c r="AH537" s="46"/>
      <c r="AI537" s="46"/>
      <c r="AJ537" s="46"/>
      <c r="AK537" s="46"/>
      <c r="AL537" s="46"/>
      <c r="AM537" s="46"/>
      <c r="AQ537" s="29"/>
    </row>
    <row r="538" spans="1:43" ht="19.5" customHeight="1">
      <c r="A538" s="4" t="s">
        <v>877</v>
      </c>
      <c r="B538" s="4"/>
      <c r="F538" s="183" t="s">
        <v>1036</v>
      </c>
      <c r="G538" s="183"/>
      <c r="H538" s="183"/>
      <c r="I538" s="204" t="s">
        <v>442</v>
      </c>
      <c r="J538" s="204"/>
      <c r="K538" s="204"/>
      <c r="L538" s="204"/>
      <c r="M538" s="190">
        <f>$I$255+$AG$256+$AI$259</f>
        <v>5941.2</v>
      </c>
      <c r="N538" s="190"/>
      <c r="O538" s="190"/>
      <c r="P538" s="190"/>
      <c r="Q538" s="190">
        <f>$I$240+$AG$241+$AI$244</f>
        <v>5941.2</v>
      </c>
      <c r="R538" s="190"/>
      <c r="S538" s="190"/>
      <c r="T538" s="190"/>
      <c r="U538" s="190">
        <f>$I$255+$AG$256+$AI$259</f>
        <v>5941.2</v>
      </c>
      <c r="V538" s="190"/>
      <c r="W538" s="190"/>
      <c r="X538" s="190"/>
      <c r="Y538" s="77"/>
      <c r="Z538" s="77"/>
      <c r="AA538" s="77"/>
      <c r="AB538" s="77"/>
      <c r="AC538" s="77"/>
      <c r="AD538" s="77"/>
      <c r="AE538" s="77"/>
      <c r="AF538" s="77"/>
      <c r="AG538" s="77"/>
      <c r="AH538" s="77"/>
      <c r="AI538" s="77"/>
      <c r="AJ538" s="77"/>
      <c r="AK538" s="77"/>
      <c r="AL538" s="77"/>
      <c r="AM538" s="77"/>
      <c r="AQ538" s="29"/>
    </row>
    <row r="539" spans="1:43" ht="19.5" customHeight="1">
      <c r="A539" s="4"/>
      <c r="B539" s="4"/>
      <c r="F539" s="183" t="s">
        <v>874</v>
      </c>
      <c r="G539" s="183"/>
      <c r="H539" s="183"/>
      <c r="I539" s="204" t="s">
        <v>443</v>
      </c>
      <c r="J539" s="204"/>
      <c r="K539" s="204"/>
      <c r="L539" s="204"/>
      <c r="M539" s="190">
        <f>$AH$261</f>
        <v>3800</v>
      </c>
      <c r="N539" s="190"/>
      <c r="O539" s="190"/>
      <c r="P539" s="190"/>
      <c r="Q539" s="190">
        <f>$AH$246</f>
        <v>3800</v>
      </c>
      <c r="R539" s="190"/>
      <c r="S539" s="190"/>
      <c r="T539" s="190"/>
      <c r="U539" s="190">
        <f>$AH$261</f>
        <v>3800</v>
      </c>
      <c r="V539" s="190"/>
      <c r="W539" s="190"/>
      <c r="X539" s="190"/>
      <c r="Y539" s="77"/>
      <c r="Z539" s="77"/>
      <c r="AA539" s="77"/>
      <c r="AB539" s="77"/>
      <c r="AC539" s="77"/>
      <c r="AD539" s="77"/>
      <c r="AE539" s="77"/>
      <c r="AF539" s="77"/>
      <c r="AG539" s="77"/>
      <c r="AH539" s="77"/>
      <c r="AI539" s="77"/>
      <c r="AJ539" s="77"/>
      <c r="AK539" s="77"/>
      <c r="AL539" s="77"/>
      <c r="AM539" s="77"/>
      <c r="AQ539" s="29"/>
    </row>
    <row r="540" spans="1:43" ht="19.5" customHeight="1">
      <c r="A540" s="4"/>
      <c r="B540" s="4"/>
      <c r="F540" s="183" t="s">
        <v>444</v>
      </c>
      <c r="G540" s="183"/>
      <c r="H540" s="183"/>
      <c r="I540" s="204" t="s">
        <v>445</v>
      </c>
      <c r="J540" s="204"/>
      <c r="K540" s="204"/>
      <c r="L540" s="204"/>
      <c r="M540" s="213">
        <f>$AH$262</f>
        <v>457266.6666666667</v>
      </c>
      <c r="N540" s="213"/>
      <c r="O540" s="213"/>
      <c r="P540" s="213"/>
      <c r="Q540" s="213">
        <f>$AH$247</f>
        <v>457266.6666666667</v>
      </c>
      <c r="R540" s="213"/>
      <c r="S540" s="213"/>
      <c r="T540" s="213"/>
      <c r="U540" s="213">
        <f>$AH$262</f>
        <v>457266.6666666667</v>
      </c>
      <c r="V540" s="213"/>
      <c r="W540" s="213"/>
      <c r="X540" s="213"/>
      <c r="Y540" s="46"/>
      <c r="Z540" s="46"/>
      <c r="AA540" s="46"/>
      <c r="AB540" s="46"/>
      <c r="AC540" s="46"/>
      <c r="AD540" s="46"/>
      <c r="AE540" s="46"/>
      <c r="AF540" s="46"/>
      <c r="AG540" s="46"/>
      <c r="AH540" s="46"/>
      <c r="AI540" s="46"/>
      <c r="AJ540" s="46"/>
      <c r="AK540" s="46"/>
      <c r="AL540" s="46"/>
      <c r="AM540" s="46"/>
      <c r="AQ540" s="29"/>
    </row>
    <row r="541" spans="1:43" ht="19.5" customHeight="1">
      <c r="A541" s="4"/>
      <c r="B541" s="4"/>
      <c r="F541" s="183" t="s">
        <v>1032</v>
      </c>
      <c r="G541" s="183"/>
      <c r="H541" s="183"/>
      <c r="I541" s="204"/>
      <c r="J541" s="204"/>
      <c r="K541" s="204"/>
      <c r="L541" s="204"/>
      <c r="M541" s="254">
        <f>$AI$509*M538*(1/(M539*100)+M537^2/(M540*10000))</f>
        <v>0.12679824254189082</v>
      </c>
      <c r="N541" s="254"/>
      <c r="O541" s="254"/>
      <c r="P541" s="254"/>
      <c r="Q541" s="254">
        <f>$AI$509*Q538*(1/(Q539*100)+Q537^2/(Q540*10000))</f>
        <v>0.12679824254189084</v>
      </c>
      <c r="R541" s="254"/>
      <c r="S541" s="254"/>
      <c r="T541" s="254"/>
      <c r="U541" s="254">
        <f>$AI$509*U538*(1/(U539*100)+U537^2/(U540*10000))</f>
        <v>0.12679824254189082</v>
      </c>
      <c r="V541" s="254"/>
      <c r="W541" s="254"/>
      <c r="X541" s="254"/>
      <c r="Y541" s="77"/>
      <c r="Z541" s="77"/>
      <c r="AA541" s="77"/>
      <c r="AB541" s="77"/>
      <c r="AC541" s="77"/>
      <c r="AD541" s="77"/>
      <c r="AE541" s="77"/>
      <c r="AF541" s="77"/>
      <c r="AG541" s="77"/>
      <c r="AH541" s="77"/>
      <c r="AI541" s="77"/>
      <c r="AJ541" s="77"/>
      <c r="AK541" s="77"/>
      <c r="AL541" s="77"/>
      <c r="AM541" s="77"/>
      <c r="AQ541" s="29"/>
    </row>
    <row r="542" spans="1:43" ht="19.5" customHeight="1">
      <c r="A542" s="4"/>
      <c r="B542" s="4"/>
      <c r="F542" s="183" t="s">
        <v>446</v>
      </c>
      <c r="G542" s="183"/>
      <c r="H542" s="183"/>
      <c r="I542" s="204" t="s">
        <v>447</v>
      </c>
      <c r="J542" s="204"/>
      <c r="K542" s="204"/>
      <c r="L542" s="204"/>
      <c r="M542" s="213">
        <f>ABS(L490)</f>
        <v>8.357362290365971</v>
      </c>
      <c r="N542" s="213"/>
      <c r="O542" s="213"/>
      <c r="P542" s="213"/>
      <c r="Q542" s="213">
        <f>ABS(P490)</f>
        <v>8.36114105474637</v>
      </c>
      <c r="R542" s="213"/>
      <c r="S542" s="213"/>
      <c r="T542" s="213"/>
      <c r="U542" s="213">
        <f>ABS(T490)</f>
        <v>8.357362290365971</v>
      </c>
      <c r="V542" s="213"/>
      <c r="W542" s="213"/>
      <c r="X542" s="213"/>
      <c r="Y542" s="77"/>
      <c r="Z542" s="77"/>
      <c r="AA542" s="77"/>
      <c r="AB542" s="77"/>
      <c r="AC542" s="77"/>
      <c r="AD542" s="77"/>
      <c r="AE542" s="77"/>
      <c r="AF542" s="77"/>
      <c r="AG542" s="77"/>
      <c r="AH542" s="77"/>
      <c r="AI542" s="77"/>
      <c r="AJ542" s="77"/>
      <c r="AK542" s="77"/>
      <c r="AL542" s="77"/>
      <c r="AM542" s="77"/>
      <c r="AQ542" s="29"/>
    </row>
    <row r="543" spans="1:43" ht="19.5" customHeight="1">
      <c r="A543" s="4"/>
      <c r="B543" s="4"/>
      <c r="F543" s="204" t="s">
        <v>1030</v>
      </c>
      <c r="G543" s="204"/>
      <c r="H543" s="204"/>
      <c r="I543" s="204" t="s">
        <v>447</v>
      </c>
      <c r="J543" s="204"/>
      <c r="K543" s="204"/>
      <c r="L543" s="204"/>
      <c r="M543" s="213">
        <f>-N297</f>
        <v>0.07338912377897652</v>
      </c>
      <c r="N543" s="213"/>
      <c r="O543" s="213"/>
      <c r="P543" s="213"/>
      <c r="Q543" s="213">
        <f>-R297</f>
        <v>0.0015833211838460412</v>
      </c>
      <c r="R543" s="213"/>
      <c r="S543" s="213"/>
      <c r="T543" s="213"/>
      <c r="U543" s="213">
        <f>-V297</f>
        <v>0.07338912377897652</v>
      </c>
      <c r="V543" s="213"/>
      <c r="W543" s="213"/>
      <c r="X543" s="213"/>
      <c r="Y543" s="46"/>
      <c r="Z543" s="46"/>
      <c r="AA543" s="46"/>
      <c r="AB543" s="46"/>
      <c r="AC543" s="46"/>
      <c r="AD543" s="46"/>
      <c r="AE543" s="46"/>
      <c r="AF543" s="46"/>
      <c r="AG543" s="46"/>
      <c r="AH543" s="46"/>
      <c r="AI543" s="46"/>
      <c r="AJ543" s="46"/>
      <c r="AK543" s="46"/>
      <c r="AL543" s="46"/>
      <c r="AM543" s="46"/>
      <c r="AQ543" s="29"/>
    </row>
    <row r="544" spans="1:43" ht="19.5" customHeight="1">
      <c r="A544" s="4"/>
      <c r="B544" s="4"/>
      <c r="C544" s="4"/>
      <c r="D544" s="4"/>
      <c r="E544" s="4"/>
      <c r="F544" s="184" t="s">
        <v>448</v>
      </c>
      <c r="G544" s="184"/>
      <c r="H544" s="184"/>
      <c r="I544" s="204" t="s">
        <v>447</v>
      </c>
      <c r="J544" s="204"/>
      <c r="K544" s="204"/>
      <c r="L544" s="204"/>
      <c r="M544" s="213">
        <f>($AI$509*$W$506*(M542+M543)+2*2*10)/(1+M541*(1+$W$506/2))</f>
        <v>161.51224887757076</v>
      </c>
      <c r="N544" s="213"/>
      <c r="O544" s="213"/>
      <c r="P544" s="213"/>
      <c r="Q544" s="213">
        <f>($AI$509*$W$506*(Q542+Q543)+2*2*10)/(1+Q541*(1+$W$506/2))</f>
        <v>160.45890195266534</v>
      </c>
      <c r="R544" s="213"/>
      <c r="S544" s="213"/>
      <c r="T544" s="213"/>
      <c r="U544" s="213">
        <f>($AI$509*$W$506*(U542+U543)+2*2*10)/(1+U541*(1+$W$506/2))</f>
        <v>161.51224887757076</v>
      </c>
      <c r="V544" s="213"/>
      <c r="W544" s="213"/>
      <c r="X544" s="213"/>
      <c r="Y544" s="46"/>
      <c r="Z544" s="46"/>
      <c r="AA544" s="46"/>
      <c r="AB544" s="46"/>
      <c r="AC544" s="46"/>
      <c r="AD544" s="46"/>
      <c r="AE544" s="46"/>
      <c r="AF544" s="46"/>
      <c r="AG544" s="46"/>
      <c r="AH544" s="46"/>
      <c r="AI544" s="46"/>
      <c r="AJ544" s="46"/>
      <c r="AK544" s="46"/>
      <c r="AL544" s="46"/>
      <c r="AM544" s="46"/>
      <c r="AQ544" s="29"/>
    </row>
    <row r="545" spans="1:43" ht="19.5" customHeight="1">
      <c r="A545" s="4"/>
      <c r="B545" s="4"/>
      <c r="C545" s="4"/>
      <c r="D545" s="4"/>
      <c r="E545" s="4"/>
      <c r="F545" s="58"/>
      <c r="G545" s="58"/>
      <c r="H545" s="58"/>
      <c r="I545" s="45"/>
      <c r="J545" s="45"/>
      <c r="K545" s="45"/>
      <c r="L545" s="45"/>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6"/>
      <c r="AL545" s="46"/>
      <c r="AM545" s="46"/>
      <c r="AQ545" s="29"/>
    </row>
    <row r="546" spans="1:43" ht="19.5" customHeight="1">
      <c r="A546" s="4"/>
      <c r="B546" s="4"/>
      <c r="C546" s="4"/>
      <c r="D546" s="4"/>
      <c r="E546" s="4" t="s">
        <v>1279</v>
      </c>
      <c r="F546" s="4"/>
      <c r="G546" s="4"/>
      <c r="H546" s="4"/>
      <c r="I546" s="4"/>
      <c r="J546" s="4"/>
      <c r="K546" s="4"/>
      <c r="L546" s="4"/>
      <c r="M546" s="4"/>
      <c r="AH546" s="27"/>
      <c r="AQ546" s="29"/>
    </row>
    <row r="547" spans="1:43" ht="19.5" customHeight="1">
      <c r="A547" s="4"/>
      <c r="B547" s="4"/>
      <c r="C547" s="4"/>
      <c r="D547" s="4"/>
      <c r="F547" s="4" t="s">
        <v>1213</v>
      </c>
      <c r="G547" s="4"/>
      <c r="H547" s="4"/>
      <c r="I547" s="4"/>
      <c r="J547" s="4"/>
      <c r="K547" s="4"/>
      <c r="L547" s="4"/>
      <c r="M547" s="4"/>
      <c r="AH547" s="27"/>
      <c r="AQ547" s="29"/>
    </row>
    <row r="548" spans="1:43" ht="19.5" customHeight="1">
      <c r="A548" s="4"/>
      <c r="B548" s="4"/>
      <c r="C548" s="4"/>
      <c r="D548" s="4"/>
      <c r="F548" s="4" t="s">
        <v>1119</v>
      </c>
      <c r="G548" s="4"/>
      <c r="H548" s="4"/>
      <c r="I548" s="4"/>
      <c r="J548" s="4"/>
      <c r="K548" s="4"/>
      <c r="L548" s="4"/>
      <c r="M548" s="4"/>
      <c r="AH548" s="27"/>
      <c r="AQ548" s="29"/>
    </row>
    <row r="549" spans="1:43" ht="19.5" customHeight="1">
      <c r="A549" s="4"/>
      <c r="B549" s="4"/>
      <c r="C549" s="4"/>
      <c r="D549" s="4"/>
      <c r="E549" s="4"/>
      <c r="F549" s="4" t="s">
        <v>1000</v>
      </c>
      <c r="G549" s="4"/>
      <c r="H549" s="4"/>
      <c r="I549" s="4"/>
      <c r="J549" s="4"/>
      <c r="K549" s="4"/>
      <c r="L549" s="4"/>
      <c r="M549" s="4"/>
      <c r="AH549" s="27"/>
      <c r="AQ549" s="29"/>
    </row>
    <row r="550" spans="1:43" ht="19.5" customHeight="1">
      <c r="A550" s="4"/>
      <c r="B550" s="4"/>
      <c r="C550" s="4" t="s">
        <v>323</v>
      </c>
      <c r="D550" s="4"/>
      <c r="E550" s="4"/>
      <c r="F550" s="4"/>
      <c r="G550" s="4" t="s">
        <v>449</v>
      </c>
      <c r="H550" s="4"/>
      <c r="I550" s="4" t="s">
        <v>450</v>
      </c>
      <c r="J550" s="4"/>
      <c r="K550" s="4"/>
      <c r="L550" s="4"/>
      <c r="M550" s="4"/>
      <c r="AH550" s="27"/>
      <c r="AQ550" s="29"/>
    </row>
    <row r="551" spans="1:43" ht="19.5" customHeight="1">
      <c r="A551" s="4"/>
      <c r="B551" s="4"/>
      <c r="C551" s="4"/>
      <c r="D551" s="4" t="s">
        <v>323</v>
      </c>
      <c r="E551" s="4"/>
      <c r="F551" s="4"/>
      <c r="G551" s="4"/>
      <c r="H551" s="33" t="s">
        <v>317</v>
      </c>
      <c r="I551" s="237">
        <f>I240+AI244</f>
        <v>3438</v>
      </c>
      <c r="J551" s="237"/>
      <c r="K551" s="237"/>
      <c r="L551" s="4" t="s">
        <v>956</v>
      </c>
      <c r="M551" s="244">
        <f>Q534</f>
        <v>160.8366862338311</v>
      </c>
      <c r="N551" s="244"/>
      <c r="O551" s="244"/>
      <c r="P551" s="35" t="s">
        <v>317</v>
      </c>
      <c r="Q551" s="237">
        <f>I551*M551</f>
        <v>552956.5272719114</v>
      </c>
      <c r="R551" s="237"/>
      <c r="S551" s="237"/>
      <c r="T551" s="237"/>
      <c r="U551" s="27" t="s">
        <v>451</v>
      </c>
      <c r="V551" s="27" t="s">
        <v>1323</v>
      </c>
      <c r="Z551" s="27" t="s">
        <v>452</v>
      </c>
      <c r="AH551" s="27"/>
      <c r="AQ551" s="29"/>
    </row>
    <row r="552" spans="1:43" ht="19.5" customHeight="1">
      <c r="A552" s="4"/>
      <c r="B552" s="4"/>
      <c r="C552" s="4"/>
      <c r="D552" s="4"/>
      <c r="E552" s="4" t="s">
        <v>323</v>
      </c>
      <c r="F552" s="4"/>
      <c r="G552" s="4" t="s">
        <v>453</v>
      </c>
      <c r="H552" s="4"/>
      <c r="I552" s="4" t="s">
        <v>454</v>
      </c>
      <c r="J552" s="4"/>
      <c r="K552" s="4"/>
      <c r="L552" s="4"/>
      <c r="M552" s="4"/>
      <c r="AH552" s="27"/>
      <c r="AQ552" s="29"/>
    </row>
    <row r="553" spans="1:43" ht="19.5" customHeight="1">
      <c r="A553" s="4"/>
      <c r="B553" s="4"/>
      <c r="C553" s="4"/>
      <c r="D553" s="4"/>
      <c r="E553" s="4" t="s">
        <v>323</v>
      </c>
      <c r="F553" s="4"/>
      <c r="G553" s="4"/>
      <c r="H553" s="33" t="s">
        <v>317</v>
      </c>
      <c r="I553" s="237">
        <f>AL555</f>
        <v>50</v>
      </c>
      <c r="J553" s="237"/>
      <c r="K553" s="237"/>
      <c r="L553" s="4" t="s">
        <v>956</v>
      </c>
      <c r="M553" s="237">
        <f>Q551</f>
        <v>552956.5272719114</v>
      </c>
      <c r="N553" s="237"/>
      <c r="O553" s="237"/>
      <c r="P553" s="237"/>
      <c r="Q553" s="27" t="s">
        <v>317</v>
      </c>
      <c r="R553" s="236">
        <f>I553*M553</f>
        <v>27647826.363595568</v>
      </c>
      <c r="S553" s="236"/>
      <c r="T553" s="236"/>
      <c r="U553" s="236"/>
      <c r="V553" s="27" t="s">
        <v>455</v>
      </c>
      <c r="AH553" s="27"/>
      <c r="AQ553" s="29"/>
    </row>
    <row r="554" spans="1:43" ht="19.5" customHeight="1">
      <c r="A554" s="4"/>
      <c r="B554" s="4"/>
      <c r="C554" s="4"/>
      <c r="D554" s="4"/>
      <c r="G554" s="4" t="s">
        <v>929</v>
      </c>
      <c r="H554" s="4"/>
      <c r="I554" s="4"/>
      <c r="J554" s="4"/>
      <c r="K554" s="4" t="s">
        <v>1214</v>
      </c>
      <c r="L554" s="4"/>
      <c r="M554" s="4"/>
      <c r="AH554" s="27"/>
      <c r="AQ554" s="29"/>
    </row>
    <row r="555" spans="1:42" ht="19.5" customHeight="1">
      <c r="A555" s="4"/>
      <c r="B555" s="4"/>
      <c r="C555" s="4"/>
      <c r="D555" s="4"/>
      <c r="E555" s="4"/>
      <c r="F555" s="4"/>
      <c r="G555" s="4"/>
      <c r="H555" s="4"/>
      <c r="I555" s="4"/>
      <c r="J555" s="4"/>
      <c r="K555" s="4"/>
      <c r="L555" s="4"/>
      <c r="M555" s="235" t="s">
        <v>456</v>
      </c>
      <c r="N555" s="235"/>
      <c r="O555" s="27" t="s">
        <v>1361</v>
      </c>
      <c r="P555" s="236">
        <f>AC240/2</f>
        <v>190</v>
      </c>
      <c r="Q555" s="236"/>
      <c r="R555" s="27" t="s">
        <v>331</v>
      </c>
      <c r="S555" s="27" t="s">
        <v>330</v>
      </c>
      <c r="T555" s="237">
        <f>AI244</f>
        <v>2292</v>
      </c>
      <c r="U555" s="237"/>
      <c r="V555" s="237"/>
      <c r="W555" s="27" t="s">
        <v>329</v>
      </c>
      <c r="X555" s="236">
        <f>O242</f>
        <v>40</v>
      </c>
      <c r="Y555" s="236"/>
      <c r="Z555" s="27" t="s">
        <v>1044</v>
      </c>
      <c r="AA555" s="237">
        <f>I240</f>
        <v>1146</v>
      </c>
      <c r="AB555" s="237"/>
      <c r="AC555" s="237"/>
      <c r="AD555" s="27" t="s">
        <v>329</v>
      </c>
      <c r="AE555" s="236">
        <f>O242+O241</f>
        <v>340</v>
      </c>
      <c r="AF555" s="236"/>
      <c r="AG555" s="29" t="s">
        <v>457</v>
      </c>
      <c r="AH555" s="237">
        <f>I240+AI244</f>
        <v>3438</v>
      </c>
      <c r="AI555" s="237"/>
      <c r="AJ555" s="237"/>
      <c r="AK555" s="27" t="s">
        <v>1361</v>
      </c>
      <c r="AL555" s="237">
        <f>P555-(T555*X555+AA555*AE555)/AH555</f>
        <v>50</v>
      </c>
      <c r="AM555" s="237"/>
      <c r="AN555" s="237"/>
      <c r="AO555" s="27" t="s">
        <v>458</v>
      </c>
      <c r="AP555" s="27"/>
    </row>
    <row r="556" spans="1:43" ht="19.5" customHeight="1">
      <c r="A556" s="4"/>
      <c r="B556" s="4"/>
      <c r="C556" s="4"/>
      <c r="D556" s="4"/>
      <c r="F556" s="4" t="s">
        <v>1215</v>
      </c>
      <c r="G556" s="4"/>
      <c r="H556" s="4"/>
      <c r="I556" s="4"/>
      <c r="J556" s="4"/>
      <c r="K556" s="4"/>
      <c r="L556" s="4"/>
      <c r="M556" s="4"/>
      <c r="V556" s="27" t="s">
        <v>459</v>
      </c>
      <c r="AH556" s="27"/>
      <c r="AQ556" s="29"/>
    </row>
    <row r="557" spans="1:43" ht="19.5" customHeight="1">
      <c r="A557" s="4"/>
      <c r="B557" s="4"/>
      <c r="C557" s="4"/>
      <c r="D557" s="4"/>
      <c r="E557" s="4"/>
      <c r="F557" s="183" t="s">
        <v>1021</v>
      </c>
      <c r="G557" s="183"/>
      <c r="H557" s="183"/>
      <c r="I557" s="183"/>
      <c r="J557" s="183"/>
      <c r="K557" s="183"/>
      <c r="L557" s="183"/>
      <c r="M557" s="204" t="s">
        <v>460</v>
      </c>
      <c r="N557" s="204"/>
      <c r="O557" s="204"/>
      <c r="P557" s="204"/>
      <c r="Q557" s="204" t="s">
        <v>461</v>
      </c>
      <c r="R557" s="204"/>
      <c r="S557" s="204"/>
      <c r="T557" s="204"/>
      <c r="U557" s="204" t="s">
        <v>462</v>
      </c>
      <c r="V557" s="204"/>
      <c r="W557" s="204"/>
      <c r="X557" s="204"/>
      <c r="AH557" s="27"/>
      <c r="AQ557" s="29"/>
    </row>
    <row r="558" spans="1:47" ht="19.5" customHeight="1">
      <c r="A558" s="4"/>
      <c r="B558" s="4"/>
      <c r="C558" s="4"/>
      <c r="D558" s="4"/>
      <c r="F558" s="183" t="s">
        <v>463</v>
      </c>
      <c r="G558" s="183"/>
      <c r="H558" s="183"/>
      <c r="I558" s="204" t="s">
        <v>464</v>
      </c>
      <c r="J558" s="204"/>
      <c r="K558" s="204"/>
      <c r="L558" s="204"/>
      <c r="M558" s="213">
        <f>M534</f>
        <v>161.51224887757076</v>
      </c>
      <c r="N558" s="213"/>
      <c r="O558" s="213"/>
      <c r="P558" s="213"/>
      <c r="Q558" s="213">
        <f>Q534</f>
        <v>160.8366862338311</v>
      </c>
      <c r="R558" s="213"/>
      <c r="S558" s="213"/>
      <c r="T558" s="213"/>
      <c r="U558" s="213">
        <f>U534</f>
        <v>161.51224887757076</v>
      </c>
      <c r="V558" s="213"/>
      <c r="W558" s="213"/>
      <c r="X558" s="213"/>
      <c r="AH558" s="27"/>
      <c r="AQ558" s="29"/>
      <c r="AS558" s="4"/>
      <c r="AT558" s="4"/>
      <c r="AU558" s="4"/>
    </row>
    <row r="559" spans="1:47" ht="19.5" customHeight="1">
      <c r="A559" s="4"/>
      <c r="B559" s="4"/>
      <c r="C559" s="4"/>
      <c r="D559" s="4"/>
      <c r="F559" s="183" t="s">
        <v>465</v>
      </c>
      <c r="G559" s="183"/>
      <c r="H559" s="183"/>
      <c r="I559" s="204" t="s">
        <v>466</v>
      </c>
      <c r="J559" s="204"/>
      <c r="K559" s="204"/>
      <c r="L559" s="204"/>
      <c r="M559" s="190">
        <f>$I$255+$AI$259</f>
        <v>3438</v>
      </c>
      <c r="N559" s="190"/>
      <c r="O559" s="190"/>
      <c r="P559" s="190"/>
      <c r="Q559" s="190">
        <f>$I$240+$AI$244</f>
        <v>3438</v>
      </c>
      <c r="R559" s="190"/>
      <c r="S559" s="190"/>
      <c r="T559" s="190"/>
      <c r="U559" s="190">
        <f>$I$255+$AI$259</f>
        <v>3438</v>
      </c>
      <c r="V559" s="190"/>
      <c r="W559" s="190"/>
      <c r="X559" s="190"/>
      <c r="AH559" s="27"/>
      <c r="AQ559" s="29"/>
      <c r="AS559" s="4"/>
      <c r="AT559" s="4"/>
      <c r="AU559" s="4"/>
    </row>
    <row r="560" spans="1:45" ht="19.5" customHeight="1">
      <c r="A560" s="4"/>
      <c r="B560" s="4"/>
      <c r="C560" s="4"/>
      <c r="D560" s="4"/>
      <c r="F560" s="183" t="s">
        <v>467</v>
      </c>
      <c r="G560" s="183"/>
      <c r="H560" s="183"/>
      <c r="I560" s="204" t="s">
        <v>468</v>
      </c>
      <c r="J560" s="204"/>
      <c r="K560" s="204"/>
      <c r="L560" s="204"/>
      <c r="M560" s="190">
        <f>$AC$255/2-($AI$259*$O$257+$I$255*($O$257+$O$256))/$M$559</f>
        <v>-50</v>
      </c>
      <c r="N560" s="190"/>
      <c r="O560" s="190"/>
      <c r="P560" s="190"/>
      <c r="Q560" s="190">
        <f>$AC$240/2-($AI$244*$O$242+$I$240*($O$242+$O$241))/$Q$559</f>
        <v>50</v>
      </c>
      <c r="R560" s="190"/>
      <c r="S560" s="190"/>
      <c r="T560" s="190"/>
      <c r="U560" s="190">
        <f>$AC$255/2-($AI$259*$O$257+$I$255*($O$257+$O$256))/$M$559</f>
        <v>-50</v>
      </c>
      <c r="V560" s="190"/>
      <c r="W560" s="190"/>
      <c r="X560" s="190"/>
      <c r="AH560" s="27"/>
      <c r="AQ560" s="29"/>
      <c r="AS560" s="4"/>
    </row>
    <row r="561" spans="1:45" ht="19.5" customHeight="1">
      <c r="A561" s="4"/>
      <c r="B561" s="4"/>
      <c r="C561" s="4"/>
      <c r="D561" s="4"/>
      <c r="F561" s="183" t="s">
        <v>469</v>
      </c>
      <c r="G561" s="183"/>
      <c r="H561" s="183"/>
      <c r="I561" s="204" t="s">
        <v>470</v>
      </c>
      <c r="J561" s="204"/>
      <c r="K561" s="204"/>
      <c r="L561" s="204"/>
      <c r="M561" s="213">
        <f>M559*M558/1000</f>
        <v>555.2791116410883</v>
      </c>
      <c r="N561" s="213"/>
      <c r="O561" s="213"/>
      <c r="P561" s="213"/>
      <c r="Q561" s="213">
        <f>Q559*Q558/1000</f>
        <v>552.9565272719113</v>
      </c>
      <c r="R561" s="213"/>
      <c r="S561" s="213"/>
      <c r="T561" s="213"/>
      <c r="U561" s="213">
        <f>U559*U558/1000</f>
        <v>555.2791116410883</v>
      </c>
      <c r="V561" s="213"/>
      <c r="W561" s="213"/>
      <c r="X561" s="213"/>
      <c r="AH561" s="27"/>
      <c r="AQ561" s="29"/>
      <c r="AS561" s="4"/>
    </row>
    <row r="562" spans="1:43" ht="19.5" customHeight="1">
      <c r="A562" s="4"/>
      <c r="B562" s="4"/>
      <c r="C562" s="4"/>
      <c r="D562" s="4"/>
      <c r="E562" s="4"/>
      <c r="F562" s="183" t="s">
        <v>471</v>
      </c>
      <c r="G562" s="183"/>
      <c r="H562" s="183"/>
      <c r="I562" s="204" t="s">
        <v>472</v>
      </c>
      <c r="J562" s="204"/>
      <c r="K562" s="204"/>
      <c r="L562" s="204"/>
      <c r="M562" s="254">
        <f>M560*M561/1000</f>
        <v>-27.763955582054415</v>
      </c>
      <c r="N562" s="254"/>
      <c r="O562" s="254"/>
      <c r="P562" s="254"/>
      <c r="Q562" s="254">
        <f>Q560*Q561/1000</f>
        <v>27.647826363595566</v>
      </c>
      <c r="R562" s="254"/>
      <c r="S562" s="254"/>
      <c r="T562" s="254"/>
      <c r="U562" s="254">
        <f>U560*U561/1000</f>
        <v>-27.763955582054415</v>
      </c>
      <c r="V562" s="254"/>
      <c r="W562" s="254"/>
      <c r="X562" s="254"/>
      <c r="AH562" s="27"/>
      <c r="AQ562" s="29"/>
    </row>
    <row r="563" spans="1:43" ht="19.5" customHeight="1">
      <c r="A563" s="4"/>
      <c r="B563" s="4"/>
      <c r="C563" s="4"/>
      <c r="D563" s="4"/>
      <c r="E563" s="4"/>
      <c r="F563" s="183" t="s">
        <v>473</v>
      </c>
      <c r="G563" s="183"/>
      <c r="H563" s="183"/>
      <c r="I563" s="204" t="s">
        <v>466</v>
      </c>
      <c r="J563" s="204"/>
      <c r="K563" s="204"/>
      <c r="L563" s="204"/>
      <c r="M563" s="205">
        <f>$AH$261*100</f>
        <v>380000</v>
      </c>
      <c r="N563" s="206"/>
      <c r="O563" s="206"/>
      <c r="P563" s="207"/>
      <c r="Q563" s="205">
        <f>$AH$246*100</f>
        <v>380000</v>
      </c>
      <c r="R563" s="206"/>
      <c r="S563" s="206"/>
      <c r="T563" s="207"/>
      <c r="U563" s="205">
        <f>$AH$261*100</f>
        <v>380000</v>
      </c>
      <c r="V563" s="206"/>
      <c r="W563" s="206"/>
      <c r="X563" s="207"/>
      <c r="AH563" s="27"/>
      <c r="AQ563" s="29"/>
    </row>
    <row r="564" spans="1:43" ht="19.5" customHeight="1">
      <c r="A564" s="4"/>
      <c r="B564" s="4"/>
      <c r="C564" s="4"/>
      <c r="D564" s="4"/>
      <c r="E564" s="4"/>
      <c r="F564" s="183" t="s">
        <v>474</v>
      </c>
      <c r="G564" s="183"/>
      <c r="H564" s="183"/>
      <c r="I564" s="287" t="s">
        <v>475</v>
      </c>
      <c r="J564" s="288"/>
      <c r="K564" s="288"/>
      <c r="L564" s="289"/>
      <c r="M564" s="205">
        <f>$AH$264</f>
        <v>-24066.666666666668</v>
      </c>
      <c r="N564" s="206"/>
      <c r="O564" s="206"/>
      <c r="P564" s="207"/>
      <c r="Q564" s="205">
        <f>$AH$249</f>
        <v>-24066.666666666668</v>
      </c>
      <c r="R564" s="206"/>
      <c r="S564" s="206"/>
      <c r="T564" s="207"/>
      <c r="U564" s="205">
        <f>$AH$264</f>
        <v>-24066.666666666668</v>
      </c>
      <c r="V564" s="206"/>
      <c r="W564" s="206"/>
      <c r="X564" s="207"/>
      <c r="AH564" s="27"/>
      <c r="AQ564" s="29"/>
    </row>
    <row r="565" spans="1:43" ht="19.5" customHeight="1">
      <c r="A565" s="4"/>
      <c r="B565" s="4"/>
      <c r="C565" s="4"/>
      <c r="D565" s="4"/>
      <c r="E565" s="4"/>
      <c r="F565" s="183" t="s">
        <v>476</v>
      </c>
      <c r="G565" s="183"/>
      <c r="H565" s="183"/>
      <c r="I565" s="287" t="s">
        <v>475</v>
      </c>
      <c r="J565" s="288"/>
      <c r="K565" s="288"/>
      <c r="L565" s="289"/>
      <c r="M565" s="205">
        <f>$AH$265</f>
        <v>24066.666666666668</v>
      </c>
      <c r="N565" s="206"/>
      <c r="O565" s="206"/>
      <c r="P565" s="207"/>
      <c r="Q565" s="205">
        <f>$AH$250</f>
        <v>24066.666666666668</v>
      </c>
      <c r="R565" s="206"/>
      <c r="S565" s="206"/>
      <c r="T565" s="207"/>
      <c r="U565" s="205">
        <f>$AH$265</f>
        <v>24066.666666666668</v>
      </c>
      <c r="V565" s="206"/>
      <c r="W565" s="206"/>
      <c r="X565" s="207"/>
      <c r="AH565" s="27"/>
      <c r="AQ565" s="29"/>
    </row>
    <row r="566" spans="1:43" ht="19.5" customHeight="1">
      <c r="A566" s="4"/>
      <c r="B566" s="4"/>
      <c r="C566" s="4"/>
      <c r="D566" s="4"/>
      <c r="E566" s="4"/>
      <c r="F566" s="183" t="s">
        <v>477</v>
      </c>
      <c r="G566" s="183"/>
      <c r="H566" s="183"/>
      <c r="I566" s="287" t="s">
        <v>475</v>
      </c>
      <c r="J566" s="288"/>
      <c r="K566" s="288"/>
      <c r="L566" s="289"/>
      <c r="M566" s="205">
        <f>$AH$266</f>
        <v>571583.3333333334</v>
      </c>
      <c r="N566" s="206"/>
      <c r="O566" s="206"/>
      <c r="P566" s="207"/>
      <c r="Q566" s="205">
        <f>$AH$251</f>
        <v>-571583.3333333334</v>
      </c>
      <c r="R566" s="206"/>
      <c r="S566" s="206"/>
      <c r="T566" s="207"/>
      <c r="U566" s="205">
        <f>$AH$266</f>
        <v>571583.3333333334</v>
      </c>
      <c r="V566" s="206"/>
      <c r="W566" s="206"/>
      <c r="X566" s="207"/>
      <c r="AH566" s="27"/>
      <c r="AQ566" s="29"/>
    </row>
    <row r="567" spans="1:43" ht="19.5" customHeight="1">
      <c r="A567" s="4"/>
      <c r="B567" s="4"/>
      <c r="C567" s="4"/>
      <c r="D567" s="4"/>
      <c r="F567" s="204" t="s">
        <v>478</v>
      </c>
      <c r="G567" s="204"/>
      <c r="H567" s="204"/>
      <c r="I567" s="204" t="s">
        <v>464</v>
      </c>
      <c r="J567" s="204"/>
      <c r="K567" s="204"/>
      <c r="L567" s="204"/>
      <c r="M567" s="213">
        <f>M561*10^3/M563+M562*10^6/(M564*10^3)</f>
        <v>2.614887783351385</v>
      </c>
      <c r="N567" s="213"/>
      <c r="O567" s="213"/>
      <c r="P567" s="213"/>
      <c r="Q567" s="213">
        <f>Q561*10^3/Q563+Q562*10^6/(Q564*10^3)</f>
        <v>0.3063471065218346</v>
      </c>
      <c r="R567" s="213"/>
      <c r="S567" s="213"/>
      <c r="T567" s="213"/>
      <c r="U567" s="213">
        <f>U561*10^3/U563+U562*10^6/(U564*10^3)</f>
        <v>2.614887783351385</v>
      </c>
      <c r="V567" s="213"/>
      <c r="W567" s="213"/>
      <c r="X567" s="213"/>
      <c r="AH567" s="27"/>
      <c r="AQ567" s="29"/>
    </row>
    <row r="568" spans="1:43" ht="19.5" customHeight="1">
      <c r="A568" s="4"/>
      <c r="B568" s="4"/>
      <c r="C568" s="4"/>
      <c r="E568" s="4"/>
      <c r="F568" s="204" t="s">
        <v>479</v>
      </c>
      <c r="G568" s="204"/>
      <c r="H568" s="204"/>
      <c r="I568" s="204" t="s">
        <v>464</v>
      </c>
      <c r="J568" s="204"/>
      <c r="K568" s="204"/>
      <c r="L568" s="204"/>
      <c r="M568" s="213">
        <f>M561*10^3/M563+M562*10^6/(M565*10^3)</f>
        <v>0.3076338568648689</v>
      </c>
      <c r="N568" s="213"/>
      <c r="O568" s="213"/>
      <c r="P568" s="213"/>
      <c r="Q568" s="213">
        <f>Q561*10^3/Q563+Q562*10^6/(Q565*10^3)</f>
        <v>2.6039504054355938</v>
      </c>
      <c r="R568" s="213"/>
      <c r="S568" s="213"/>
      <c r="T568" s="213"/>
      <c r="U568" s="213">
        <f>U561*10^3/U563+U562*10^6/(U565*10^3)</f>
        <v>0.3076338568648689</v>
      </c>
      <c r="V568" s="213"/>
      <c r="W568" s="213"/>
      <c r="X568" s="213"/>
      <c r="AH568" s="27"/>
      <c r="AQ568" s="29"/>
    </row>
    <row r="569" spans="1:43" ht="19.5" customHeight="1">
      <c r="A569" s="4"/>
      <c r="B569" s="4"/>
      <c r="C569" s="4"/>
      <c r="E569" s="4"/>
      <c r="F569" s="204" t="s">
        <v>480</v>
      </c>
      <c r="G569" s="204"/>
      <c r="H569" s="204"/>
      <c r="I569" s="204" t="s">
        <v>464</v>
      </c>
      <c r="J569" s="204"/>
      <c r="K569" s="204"/>
      <c r="L569" s="204"/>
      <c r="M569" s="213">
        <f>M561*10^3/M563+M562*10^6/(M566*10^3)</f>
        <v>1.4126870532347267</v>
      </c>
      <c r="N569" s="213"/>
      <c r="O569" s="213"/>
      <c r="P569" s="213"/>
      <c r="Q569" s="213">
        <f>Q561*10^3/Q563+Q562*10^6/(Q566*10^3)</f>
        <v>1.4067781602121088</v>
      </c>
      <c r="R569" s="213"/>
      <c r="S569" s="213"/>
      <c r="T569" s="213"/>
      <c r="U569" s="213">
        <f>U561*10^3/U563+U562*10^6/(U566*10^3)</f>
        <v>1.4126870532347267</v>
      </c>
      <c r="V569" s="213"/>
      <c r="W569" s="213"/>
      <c r="X569" s="213"/>
      <c r="AH569" s="27"/>
      <c r="AQ569" s="29"/>
    </row>
    <row r="570" spans="1:43" ht="19.5" customHeight="1">
      <c r="A570" s="4"/>
      <c r="B570" s="4"/>
      <c r="C570" s="4"/>
      <c r="E570" s="4"/>
      <c r="F570" s="45"/>
      <c r="G570" s="45"/>
      <c r="H570" s="45"/>
      <c r="I570" s="45"/>
      <c r="J570" s="45"/>
      <c r="K570" s="45"/>
      <c r="L570" s="45"/>
      <c r="M570" s="46"/>
      <c r="N570" s="46"/>
      <c r="O570" s="46"/>
      <c r="P570" s="46"/>
      <c r="Q570" s="46"/>
      <c r="R570" s="46"/>
      <c r="S570" s="46"/>
      <c r="T570" s="46"/>
      <c r="U570" s="46"/>
      <c r="V570" s="46"/>
      <c r="W570" s="46"/>
      <c r="X570" s="46"/>
      <c r="AH570" s="27"/>
      <c r="AQ570" s="29"/>
    </row>
    <row r="571" spans="1:43" ht="19.5" customHeight="1">
      <c r="A571" s="4"/>
      <c r="B571" s="4"/>
      <c r="C571" s="4"/>
      <c r="D571" s="4"/>
      <c r="E571" s="4"/>
      <c r="F571" s="183" t="s">
        <v>917</v>
      </c>
      <c r="G571" s="183"/>
      <c r="H571" s="183"/>
      <c r="I571" s="183"/>
      <c r="J571" s="183"/>
      <c r="K571" s="183"/>
      <c r="L571" s="183"/>
      <c r="M571" s="204" t="s">
        <v>460</v>
      </c>
      <c r="N571" s="204"/>
      <c r="O571" s="204"/>
      <c r="P571" s="204"/>
      <c r="Q571" s="204" t="s">
        <v>461</v>
      </c>
      <c r="R571" s="204"/>
      <c r="S571" s="204"/>
      <c r="T571" s="204"/>
      <c r="U571" s="204" t="s">
        <v>462</v>
      </c>
      <c r="V571" s="204"/>
      <c r="W571" s="204"/>
      <c r="X571" s="204"/>
      <c r="AH571" s="27"/>
      <c r="AQ571" s="29"/>
    </row>
    <row r="572" spans="1:47" ht="19.5" customHeight="1">
      <c r="A572" s="4"/>
      <c r="B572" s="4"/>
      <c r="C572" s="4"/>
      <c r="D572" s="4"/>
      <c r="F572" s="183" t="s">
        <v>463</v>
      </c>
      <c r="G572" s="183"/>
      <c r="H572" s="183"/>
      <c r="I572" s="204" t="s">
        <v>464</v>
      </c>
      <c r="J572" s="204"/>
      <c r="K572" s="204"/>
      <c r="L572" s="204"/>
      <c r="M572" s="213">
        <f>M544</f>
        <v>161.51224887757076</v>
      </c>
      <c r="N572" s="213"/>
      <c r="O572" s="213"/>
      <c r="P572" s="213"/>
      <c r="Q572" s="213">
        <f>Q544</f>
        <v>160.45890195266534</v>
      </c>
      <c r="R572" s="213"/>
      <c r="S572" s="213"/>
      <c r="T572" s="213"/>
      <c r="U572" s="213">
        <f>U544</f>
        <v>161.51224887757076</v>
      </c>
      <c r="V572" s="213"/>
      <c r="W572" s="213"/>
      <c r="X572" s="213"/>
      <c r="AH572" s="27"/>
      <c r="AQ572" s="29"/>
      <c r="AS572" s="4"/>
      <c r="AT572" s="4"/>
      <c r="AU572" s="4"/>
    </row>
    <row r="573" spans="1:47" ht="19.5" customHeight="1">
      <c r="A573" s="4"/>
      <c r="B573" s="4"/>
      <c r="C573" s="4"/>
      <c r="D573" s="4"/>
      <c r="F573" s="183" t="s">
        <v>465</v>
      </c>
      <c r="G573" s="183"/>
      <c r="H573" s="183"/>
      <c r="I573" s="204" t="s">
        <v>466</v>
      </c>
      <c r="J573" s="204"/>
      <c r="K573" s="204"/>
      <c r="L573" s="204"/>
      <c r="M573" s="190">
        <f>$I$255+$AI$259</f>
        <v>3438</v>
      </c>
      <c r="N573" s="190"/>
      <c r="O573" s="190"/>
      <c r="P573" s="190"/>
      <c r="Q573" s="190">
        <f>$I$240+$AI$244</f>
        <v>3438</v>
      </c>
      <c r="R573" s="190"/>
      <c r="S573" s="190"/>
      <c r="T573" s="190"/>
      <c r="U573" s="190">
        <f>$I$255+$AI$259</f>
        <v>3438</v>
      </c>
      <c r="V573" s="190"/>
      <c r="W573" s="190"/>
      <c r="X573" s="190"/>
      <c r="AH573" s="27"/>
      <c r="AQ573" s="29"/>
      <c r="AS573" s="4"/>
      <c r="AT573" s="4"/>
      <c r="AU573" s="4"/>
    </row>
    <row r="574" spans="1:45" ht="19.5" customHeight="1">
      <c r="A574" s="4"/>
      <c r="B574" s="4"/>
      <c r="C574" s="4"/>
      <c r="D574" s="4"/>
      <c r="F574" s="183" t="s">
        <v>467</v>
      </c>
      <c r="G574" s="183"/>
      <c r="H574" s="183"/>
      <c r="I574" s="204" t="s">
        <v>468</v>
      </c>
      <c r="J574" s="204"/>
      <c r="K574" s="204"/>
      <c r="L574" s="204"/>
      <c r="M574" s="190">
        <f>$AC$255/2-($AI$259*$O$257+$I$255*($O$257+$O$256))/M573</f>
        <v>-50</v>
      </c>
      <c r="N574" s="190"/>
      <c r="O574" s="190"/>
      <c r="P574" s="190"/>
      <c r="Q574" s="190">
        <f>$AC$240/2-($AI$244*$O$242+$I$240*($O$242+$O$241))/Q573</f>
        <v>50</v>
      </c>
      <c r="R574" s="190"/>
      <c r="S574" s="190"/>
      <c r="T574" s="190"/>
      <c r="U574" s="190">
        <f>$AC$255/2-($AI$259*$O$257+$I$255*($O$257+$O$256))/U573</f>
        <v>-50</v>
      </c>
      <c r="V574" s="190"/>
      <c r="W574" s="190"/>
      <c r="X574" s="190"/>
      <c r="AH574" s="27"/>
      <c r="AQ574" s="29"/>
      <c r="AS574" s="4"/>
    </row>
    <row r="575" spans="1:45" ht="19.5" customHeight="1">
      <c r="A575" s="4"/>
      <c r="B575" s="4"/>
      <c r="C575" s="4"/>
      <c r="D575" s="4"/>
      <c r="F575" s="183" t="s">
        <v>469</v>
      </c>
      <c r="G575" s="183"/>
      <c r="H575" s="183"/>
      <c r="I575" s="204" t="s">
        <v>470</v>
      </c>
      <c r="J575" s="204"/>
      <c r="K575" s="204"/>
      <c r="L575" s="204"/>
      <c r="M575" s="213">
        <f>M573*M572/1000</f>
        <v>555.2791116410883</v>
      </c>
      <c r="N575" s="213"/>
      <c r="O575" s="213"/>
      <c r="P575" s="213"/>
      <c r="Q575" s="213">
        <f>Q573*Q572/1000</f>
        <v>551.6577049132634</v>
      </c>
      <c r="R575" s="213"/>
      <c r="S575" s="213"/>
      <c r="T575" s="213"/>
      <c r="U575" s="213">
        <f>U573*U572/1000</f>
        <v>555.2791116410883</v>
      </c>
      <c r="V575" s="213"/>
      <c r="W575" s="213"/>
      <c r="X575" s="213"/>
      <c r="AH575" s="27"/>
      <c r="AQ575" s="29"/>
      <c r="AS575" s="4"/>
    </row>
    <row r="576" spans="1:43" ht="19.5" customHeight="1">
      <c r="A576" s="4"/>
      <c r="B576" s="4"/>
      <c r="C576" s="4"/>
      <c r="D576" s="4"/>
      <c r="E576" s="4"/>
      <c r="F576" s="183" t="s">
        <v>471</v>
      </c>
      <c r="G576" s="183"/>
      <c r="H576" s="183"/>
      <c r="I576" s="204" t="s">
        <v>472</v>
      </c>
      <c r="J576" s="204"/>
      <c r="K576" s="204"/>
      <c r="L576" s="204"/>
      <c r="M576" s="254">
        <f>M574*M575/1000</f>
        <v>-27.763955582054415</v>
      </c>
      <c r="N576" s="254"/>
      <c r="O576" s="254"/>
      <c r="P576" s="254"/>
      <c r="Q576" s="254">
        <f>Q574*Q575/1000</f>
        <v>27.582885245663167</v>
      </c>
      <c r="R576" s="254"/>
      <c r="S576" s="254"/>
      <c r="T576" s="254"/>
      <c r="U576" s="254">
        <f>U574*U575/1000</f>
        <v>-27.763955582054415</v>
      </c>
      <c r="V576" s="254"/>
      <c r="W576" s="254"/>
      <c r="X576" s="254"/>
      <c r="AH576" s="27"/>
      <c r="AQ576" s="29"/>
    </row>
    <row r="577" spans="1:43" ht="19.5" customHeight="1">
      <c r="A577" s="4"/>
      <c r="B577" s="4"/>
      <c r="C577" s="4"/>
      <c r="D577" s="4"/>
      <c r="E577" s="4"/>
      <c r="F577" s="183" t="s">
        <v>473</v>
      </c>
      <c r="G577" s="183"/>
      <c r="H577" s="183"/>
      <c r="I577" s="204" t="s">
        <v>466</v>
      </c>
      <c r="J577" s="204"/>
      <c r="K577" s="204"/>
      <c r="L577" s="204"/>
      <c r="M577" s="205">
        <f>$AH$261*100</f>
        <v>380000</v>
      </c>
      <c r="N577" s="206"/>
      <c r="O577" s="206"/>
      <c r="P577" s="207"/>
      <c r="Q577" s="205">
        <f>$AH$246*100</f>
        <v>380000</v>
      </c>
      <c r="R577" s="206"/>
      <c r="S577" s="206"/>
      <c r="T577" s="207"/>
      <c r="U577" s="205">
        <f>$AH$261*100</f>
        <v>380000</v>
      </c>
      <c r="V577" s="206"/>
      <c r="W577" s="206"/>
      <c r="X577" s="207"/>
      <c r="AH577" s="27"/>
      <c r="AQ577" s="29"/>
    </row>
    <row r="578" spans="1:43" ht="19.5" customHeight="1">
      <c r="A578" s="4"/>
      <c r="B578" s="4"/>
      <c r="C578" s="4"/>
      <c r="D578" s="4"/>
      <c r="E578" s="4"/>
      <c r="F578" s="183" t="s">
        <v>474</v>
      </c>
      <c r="G578" s="183"/>
      <c r="H578" s="183"/>
      <c r="I578" s="287" t="s">
        <v>475</v>
      </c>
      <c r="J578" s="288"/>
      <c r="K578" s="288"/>
      <c r="L578" s="289"/>
      <c r="M578" s="205">
        <f>$AH$264</f>
        <v>-24066.666666666668</v>
      </c>
      <c r="N578" s="206"/>
      <c r="O578" s="206"/>
      <c r="P578" s="207"/>
      <c r="Q578" s="205">
        <f>$AH$249</f>
        <v>-24066.666666666668</v>
      </c>
      <c r="R578" s="206"/>
      <c r="S578" s="206"/>
      <c r="T578" s="207"/>
      <c r="U578" s="205">
        <f>$AH$264</f>
        <v>-24066.666666666668</v>
      </c>
      <c r="V578" s="206"/>
      <c r="W578" s="206"/>
      <c r="X578" s="207"/>
      <c r="AH578" s="27"/>
      <c r="AQ578" s="29"/>
    </row>
    <row r="579" spans="1:43" ht="19.5" customHeight="1">
      <c r="A579" s="4"/>
      <c r="B579" s="4"/>
      <c r="C579" s="4"/>
      <c r="D579" s="4"/>
      <c r="E579" s="4"/>
      <c r="F579" s="183" t="s">
        <v>476</v>
      </c>
      <c r="G579" s="183"/>
      <c r="H579" s="183"/>
      <c r="I579" s="287" t="s">
        <v>475</v>
      </c>
      <c r="J579" s="288"/>
      <c r="K579" s="288"/>
      <c r="L579" s="289"/>
      <c r="M579" s="205">
        <f>$AH$265</f>
        <v>24066.666666666668</v>
      </c>
      <c r="N579" s="206"/>
      <c r="O579" s="206"/>
      <c r="P579" s="207"/>
      <c r="Q579" s="205">
        <f>$AH$250</f>
        <v>24066.666666666668</v>
      </c>
      <c r="R579" s="206"/>
      <c r="S579" s="206"/>
      <c r="T579" s="207"/>
      <c r="U579" s="205">
        <f>$AH$265</f>
        <v>24066.666666666668</v>
      </c>
      <c r="V579" s="206"/>
      <c r="W579" s="206"/>
      <c r="X579" s="207"/>
      <c r="AH579" s="27"/>
      <c r="AQ579" s="29"/>
    </row>
    <row r="580" spans="1:43" ht="19.5" customHeight="1">
      <c r="A580" s="4"/>
      <c r="B580" s="4"/>
      <c r="C580" s="4"/>
      <c r="D580" s="4"/>
      <c r="E580" s="4"/>
      <c r="F580" s="183" t="s">
        <v>477</v>
      </c>
      <c r="G580" s="183"/>
      <c r="H580" s="183"/>
      <c r="I580" s="287" t="s">
        <v>475</v>
      </c>
      <c r="J580" s="288"/>
      <c r="K580" s="288"/>
      <c r="L580" s="289"/>
      <c r="M580" s="205">
        <f>$AH$266</f>
        <v>571583.3333333334</v>
      </c>
      <c r="N580" s="206"/>
      <c r="O580" s="206"/>
      <c r="P580" s="207"/>
      <c r="Q580" s="205">
        <f>$AH$251</f>
        <v>-571583.3333333334</v>
      </c>
      <c r="R580" s="206"/>
      <c r="S580" s="206"/>
      <c r="T580" s="207"/>
      <c r="U580" s="205">
        <f>$AH$266</f>
        <v>571583.3333333334</v>
      </c>
      <c r="V580" s="206"/>
      <c r="W580" s="206"/>
      <c r="X580" s="207"/>
      <c r="AH580" s="27"/>
      <c r="AQ580" s="29"/>
    </row>
    <row r="581" spans="1:43" ht="19.5" customHeight="1">
      <c r="A581" s="4"/>
      <c r="B581" s="4"/>
      <c r="C581" s="4"/>
      <c r="D581" s="4"/>
      <c r="F581" s="204" t="s">
        <v>478</v>
      </c>
      <c r="G581" s="204"/>
      <c r="H581" s="204"/>
      <c r="I581" s="204" t="s">
        <v>464</v>
      </c>
      <c r="J581" s="204"/>
      <c r="K581" s="204"/>
      <c r="L581" s="204"/>
      <c r="M581" s="213">
        <f>M575*10^3/M577+M576*10^6/(M578*10^3)</f>
        <v>2.614887783351385</v>
      </c>
      <c r="N581" s="213"/>
      <c r="O581" s="213"/>
      <c r="P581" s="213"/>
      <c r="Q581" s="213">
        <f>Q575*10^3/Q577+Q576*10^6/(Q578*10^3)</f>
        <v>0.3056275373480688</v>
      </c>
      <c r="R581" s="213"/>
      <c r="S581" s="213"/>
      <c r="T581" s="213"/>
      <c r="U581" s="213">
        <f>U575*10^3/U577+U576*10^6/(U578*10^3)</f>
        <v>2.614887783351385</v>
      </c>
      <c r="V581" s="213"/>
      <c r="W581" s="213"/>
      <c r="X581" s="213"/>
      <c r="AH581" s="27"/>
      <c r="AQ581" s="29"/>
    </row>
    <row r="582" spans="1:43" ht="19.5" customHeight="1">
      <c r="A582" s="4"/>
      <c r="B582" s="4"/>
      <c r="C582" s="4"/>
      <c r="E582" s="4"/>
      <c r="F582" s="204" t="s">
        <v>479</v>
      </c>
      <c r="G582" s="204"/>
      <c r="H582" s="204"/>
      <c r="I582" s="204" t="s">
        <v>464</v>
      </c>
      <c r="J582" s="204"/>
      <c r="K582" s="204"/>
      <c r="L582" s="204"/>
      <c r="M582" s="213">
        <f>M575*10^3/M577+M576*10^6/(M579*10^3)</f>
        <v>0.3076338568648689</v>
      </c>
      <c r="N582" s="213"/>
      <c r="O582" s="213"/>
      <c r="P582" s="213"/>
      <c r="Q582" s="213">
        <f>Q575*10^3/Q577+Q576*10^6/(Q579*10^3)</f>
        <v>2.5978340674585807</v>
      </c>
      <c r="R582" s="213"/>
      <c r="S582" s="213"/>
      <c r="T582" s="213"/>
      <c r="U582" s="213">
        <f>U575*10^3/U577+U576*10^6/(U579*10^3)</f>
        <v>0.3076338568648689</v>
      </c>
      <c r="V582" s="213"/>
      <c r="W582" s="213"/>
      <c r="X582" s="213"/>
      <c r="AH582" s="27"/>
      <c r="AQ582" s="29"/>
    </row>
    <row r="583" spans="1:43" ht="19.5" customHeight="1">
      <c r="A583" s="4"/>
      <c r="B583" s="4"/>
      <c r="C583" s="4"/>
      <c r="E583" s="4"/>
      <c r="F583" s="204" t="s">
        <v>480</v>
      </c>
      <c r="G583" s="204"/>
      <c r="H583" s="204"/>
      <c r="I583" s="204" t="s">
        <v>464</v>
      </c>
      <c r="J583" s="204"/>
      <c r="K583" s="204"/>
      <c r="L583" s="204"/>
      <c r="M583" s="213">
        <f>M575*10^3/M577+M576*10^6/(M580*10^3)</f>
        <v>1.4126870532347267</v>
      </c>
      <c r="N583" s="213"/>
      <c r="O583" s="213"/>
      <c r="P583" s="213"/>
      <c r="Q583" s="213">
        <f>Q575*10^3/Q577+Q576*10^6/(Q580*10^3)</f>
        <v>1.403473822822051</v>
      </c>
      <c r="R583" s="213"/>
      <c r="S583" s="213"/>
      <c r="T583" s="213"/>
      <c r="U583" s="213">
        <f>U575*10^3/U577+U576*10^6/(U580*10^3)</f>
        <v>1.4126870532347267</v>
      </c>
      <c r="V583" s="213"/>
      <c r="W583" s="213"/>
      <c r="X583" s="213"/>
      <c r="AH583" s="27"/>
      <c r="AQ583" s="29"/>
    </row>
    <row r="584" spans="1:43" ht="19.5" customHeight="1">
      <c r="A584" s="4"/>
      <c r="B584" s="4"/>
      <c r="C584" s="4"/>
      <c r="E584" s="4"/>
      <c r="F584" s="45"/>
      <c r="G584" s="45"/>
      <c r="H584" s="45"/>
      <c r="I584" s="45"/>
      <c r="J584" s="45"/>
      <c r="K584" s="45"/>
      <c r="L584" s="45"/>
      <c r="M584" s="46"/>
      <c r="N584" s="46"/>
      <c r="O584" s="46"/>
      <c r="P584" s="46"/>
      <c r="Q584" s="46"/>
      <c r="R584" s="46"/>
      <c r="S584" s="46"/>
      <c r="T584" s="46"/>
      <c r="U584" s="46"/>
      <c r="V584" s="46"/>
      <c r="W584" s="46"/>
      <c r="X584" s="46"/>
      <c r="AH584" s="27"/>
      <c r="AQ584" s="29"/>
    </row>
    <row r="585" spans="1:43" ht="19.5" customHeight="1">
      <c r="A585" s="4"/>
      <c r="B585" s="4"/>
      <c r="C585" s="4"/>
      <c r="D585" s="100" t="s">
        <v>997</v>
      </c>
      <c r="E585" s="4"/>
      <c r="F585" s="4"/>
      <c r="G585" s="4"/>
      <c r="H585" s="4"/>
      <c r="I585" s="4"/>
      <c r="J585" s="4"/>
      <c r="K585" s="4"/>
      <c r="L585" s="4"/>
      <c r="M585" s="4"/>
      <c r="AH585" s="27"/>
      <c r="AQ585" s="29"/>
    </row>
    <row r="586" spans="1:12" ht="19.5" customHeight="1">
      <c r="A586" s="4"/>
      <c r="B586" s="4"/>
      <c r="C586" s="4"/>
      <c r="D586" s="4"/>
      <c r="E586" s="4" t="s">
        <v>481</v>
      </c>
      <c r="F586" s="4"/>
      <c r="G586" s="4"/>
      <c r="H586" s="30" t="s">
        <v>482</v>
      </c>
      <c r="I586" s="4"/>
      <c r="J586" s="4"/>
      <c r="K586" s="4"/>
      <c r="L586" s="4"/>
    </row>
    <row r="587" spans="1:19" ht="19.5" customHeight="1">
      <c r="A587" s="4"/>
      <c r="B587" s="4"/>
      <c r="C587" s="4"/>
      <c r="D587" s="4"/>
      <c r="E587" s="4"/>
      <c r="F587" s="4"/>
      <c r="G587" s="4"/>
      <c r="H587" s="4" t="s">
        <v>483</v>
      </c>
      <c r="I587" s="42">
        <f>AH589</f>
        <v>0.05</v>
      </c>
      <c r="J587" s="42"/>
      <c r="K587" s="27" t="s">
        <v>484</v>
      </c>
      <c r="L587" s="237">
        <f>P467</f>
        <v>1262.5452183210605</v>
      </c>
      <c r="M587" s="237"/>
      <c r="N587" s="237"/>
      <c r="O587" s="27" t="s">
        <v>483</v>
      </c>
      <c r="P587" s="237">
        <f>I587*L587</f>
        <v>63.127260916053025</v>
      </c>
      <c r="Q587" s="237"/>
      <c r="R587" s="237"/>
      <c r="S587" s="29" t="s">
        <v>485</v>
      </c>
    </row>
    <row r="588" spans="1:43" ht="19.5" customHeight="1">
      <c r="A588" s="4"/>
      <c r="B588" s="4"/>
      <c r="C588" s="4"/>
      <c r="D588" s="4"/>
      <c r="F588" s="4" t="s">
        <v>929</v>
      </c>
      <c r="H588" s="4"/>
      <c r="I588" s="4"/>
      <c r="J588" s="4" t="s">
        <v>486</v>
      </c>
      <c r="K588" s="4"/>
      <c r="L588" s="4"/>
      <c r="M588" s="4" t="s">
        <v>998</v>
      </c>
      <c r="AQ588" s="29"/>
    </row>
    <row r="589" spans="1:43" ht="19.5" customHeight="1">
      <c r="A589" s="4"/>
      <c r="B589" s="4"/>
      <c r="C589" s="4"/>
      <c r="D589" s="4"/>
      <c r="E589" s="4"/>
      <c r="F589" s="4"/>
      <c r="H589" s="4"/>
      <c r="I589" s="4"/>
      <c r="J589" s="4" t="s">
        <v>487</v>
      </c>
      <c r="K589" s="4"/>
      <c r="L589" s="4"/>
      <c r="M589" s="4" t="s">
        <v>999</v>
      </c>
      <c r="AF589" s="27" t="s">
        <v>488</v>
      </c>
      <c r="AH589" s="327">
        <v>0.05</v>
      </c>
      <c r="AI589" s="337"/>
      <c r="AJ589" s="29" t="s">
        <v>489</v>
      </c>
      <c r="AQ589" s="29"/>
    </row>
    <row r="590" spans="1:43" ht="19.5" customHeight="1">
      <c r="A590" s="4"/>
      <c r="B590" s="4"/>
      <c r="C590" s="4"/>
      <c r="D590" s="4"/>
      <c r="E590" s="4"/>
      <c r="F590" s="4"/>
      <c r="H590" s="4"/>
      <c r="I590" s="4"/>
      <c r="J590" s="4" t="s">
        <v>149</v>
      </c>
      <c r="K590" s="4"/>
      <c r="L590" s="4"/>
      <c r="M590" s="4" t="s">
        <v>1216</v>
      </c>
      <c r="AH590" s="27"/>
      <c r="AQ590" s="29"/>
    </row>
    <row r="591" spans="1:43" ht="19.5" customHeight="1">
      <c r="A591" s="4"/>
      <c r="B591" s="4"/>
      <c r="C591" s="4"/>
      <c r="D591" s="4"/>
      <c r="E591" s="4"/>
      <c r="F591" s="4"/>
      <c r="G591" s="4"/>
      <c r="H591" s="4"/>
      <c r="I591" s="4"/>
      <c r="J591" s="4"/>
      <c r="K591" s="4"/>
      <c r="L591" s="4"/>
      <c r="M591" s="4"/>
      <c r="AH591" s="27"/>
      <c r="AQ591" s="29"/>
    </row>
    <row r="592" spans="1:12" ht="19.5" customHeight="1">
      <c r="A592" s="4" t="s">
        <v>380</v>
      </c>
      <c r="B592" s="4"/>
      <c r="C592" s="4"/>
      <c r="D592" s="4"/>
      <c r="E592" s="4" t="s">
        <v>996</v>
      </c>
      <c r="F592" s="4"/>
      <c r="G592" s="4"/>
      <c r="H592" s="4"/>
      <c r="I592" s="4"/>
      <c r="J592" s="4"/>
      <c r="K592" s="4"/>
      <c r="L592" s="4"/>
    </row>
    <row r="593" spans="1:23" ht="19.5" customHeight="1">
      <c r="A593" s="4"/>
      <c r="B593" s="4"/>
      <c r="C593" s="4"/>
      <c r="D593" s="4"/>
      <c r="E593" s="183" t="s">
        <v>1021</v>
      </c>
      <c r="F593" s="183"/>
      <c r="G593" s="183"/>
      <c r="H593" s="183"/>
      <c r="I593" s="183"/>
      <c r="J593" s="183"/>
      <c r="K593" s="183"/>
      <c r="L593" s="204" t="s">
        <v>376</v>
      </c>
      <c r="M593" s="204"/>
      <c r="N593" s="204"/>
      <c r="O593" s="204"/>
      <c r="P593" s="204" t="s">
        <v>377</v>
      </c>
      <c r="Q593" s="204"/>
      <c r="R593" s="204"/>
      <c r="S593" s="204"/>
      <c r="T593" s="204" t="s">
        <v>378</v>
      </c>
      <c r="U593" s="204"/>
      <c r="V593" s="204"/>
      <c r="W593" s="204"/>
    </row>
    <row r="594" spans="1:46" ht="19.5" customHeight="1">
      <c r="A594" s="4"/>
      <c r="B594" s="4"/>
      <c r="C594" s="4"/>
      <c r="E594" s="183" t="s">
        <v>396</v>
      </c>
      <c r="F594" s="183"/>
      <c r="G594" s="183"/>
      <c r="H594" s="204" t="s">
        <v>325</v>
      </c>
      <c r="I594" s="204"/>
      <c r="J594" s="204"/>
      <c r="K594" s="204"/>
      <c r="L594" s="213">
        <f>L427</f>
        <v>1261.9832055203046</v>
      </c>
      <c r="M594" s="213"/>
      <c r="N594" s="213"/>
      <c r="O594" s="213"/>
      <c r="P594" s="213">
        <f>P427</f>
        <v>1262.5452183210605</v>
      </c>
      <c r="Q594" s="213"/>
      <c r="R594" s="213"/>
      <c r="S594" s="213"/>
      <c r="T594" s="213">
        <f>T427</f>
        <v>1261.9832055203046</v>
      </c>
      <c r="U594" s="213"/>
      <c r="V594" s="213"/>
      <c r="W594" s="213"/>
      <c r="AR594" s="4"/>
      <c r="AS594" s="4"/>
      <c r="AT594" s="4"/>
    </row>
    <row r="595" spans="1:46" ht="19.5" customHeight="1">
      <c r="A595" s="4"/>
      <c r="B595" s="4"/>
      <c r="C595" s="4"/>
      <c r="E595" s="183" t="s">
        <v>490</v>
      </c>
      <c r="F595" s="183"/>
      <c r="G595" s="183"/>
      <c r="H595" s="204"/>
      <c r="I595" s="204"/>
      <c r="J595" s="204"/>
      <c r="K595" s="204"/>
      <c r="L595" s="290">
        <f>AH589</f>
        <v>0.05</v>
      </c>
      <c r="M595" s="290"/>
      <c r="N595" s="290"/>
      <c r="O595" s="290"/>
      <c r="P595" s="290">
        <f>AH589</f>
        <v>0.05</v>
      </c>
      <c r="Q595" s="290"/>
      <c r="R595" s="290"/>
      <c r="S595" s="290"/>
      <c r="T595" s="290">
        <f>AH589</f>
        <v>0.05</v>
      </c>
      <c r="U595" s="290"/>
      <c r="V595" s="290"/>
      <c r="W595" s="290"/>
      <c r="AR595" s="4"/>
      <c r="AS595" s="4"/>
      <c r="AT595" s="4"/>
    </row>
    <row r="596" spans="1:44" ht="19.5" customHeight="1">
      <c r="A596" s="4"/>
      <c r="B596" s="4"/>
      <c r="C596" s="4"/>
      <c r="E596" s="183" t="s">
        <v>491</v>
      </c>
      <c r="F596" s="183"/>
      <c r="G596" s="183"/>
      <c r="H596" s="204" t="s">
        <v>402</v>
      </c>
      <c r="I596" s="204"/>
      <c r="J596" s="204"/>
      <c r="K596" s="204"/>
      <c r="L596" s="190">
        <f>L594*L595</f>
        <v>63.09916027601523</v>
      </c>
      <c r="M596" s="190"/>
      <c r="N596" s="190"/>
      <c r="O596" s="190"/>
      <c r="P596" s="190">
        <f>P594*P595</f>
        <v>63.127260916053025</v>
      </c>
      <c r="Q596" s="190"/>
      <c r="R596" s="190"/>
      <c r="S596" s="190"/>
      <c r="T596" s="190">
        <f>T594*T595</f>
        <v>63.09916027601523</v>
      </c>
      <c r="U596" s="190"/>
      <c r="V596" s="190"/>
      <c r="W596" s="190"/>
      <c r="AR596" s="4"/>
    </row>
    <row r="597" spans="1:12" ht="19.5" customHeight="1">
      <c r="A597" s="4"/>
      <c r="B597" s="4"/>
      <c r="C597" s="4"/>
      <c r="D597" s="4"/>
      <c r="E597" s="4"/>
      <c r="F597" s="4"/>
      <c r="G597" s="4"/>
      <c r="H597" s="4"/>
      <c r="I597" s="4"/>
      <c r="J597" s="4"/>
      <c r="K597" s="4"/>
      <c r="L597" s="4"/>
    </row>
    <row r="598" spans="1:23" ht="19.5" customHeight="1">
      <c r="A598" s="4"/>
      <c r="B598" s="4"/>
      <c r="C598" s="4"/>
      <c r="D598" s="4"/>
      <c r="E598" s="183" t="s">
        <v>917</v>
      </c>
      <c r="F598" s="183"/>
      <c r="G598" s="183"/>
      <c r="H598" s="183"/>
      <c r="I598" s="183"/>
      <c r="J598" s="183"/>
      <c r="K598" s="183"/>
      <c r="L598" s="204" t="s">
        <v>376</v>
      </c>
      <c r="M598" s="204"/>
      <c r="N598" s="204"/>
      <c r="O598" s="204"/>
      <c r="P598" s="204" t="s">
        <v>377</v>
      </c>
      <c r="Q598" s="204"/>
      <c r="R598" s="204"/>
      <c r="S598" s="204"/>
      <c r="T598" s="204" t="s">
        <v>378</v>
      </c>
      <c r="U598" s="204"/>
      <c r="V598" s="204"/>
      <c r="W598" s="204"/>
    </row>
    <row r="599" spans="1:46" ht="19.5" customHeight="1">
      <c r="A599" s="4"/>
      <c r="B599" s="4"/>
      <c r="C599" s="4"/>
      <c r="E599" s="183" t="s">
        <v>396</v>
      </c>
      <c r="F599" s="183"/>
      <c r="G599" s="183"/>
      <c r="H599" s="204" t="s">
        <v>325</v>
      </c>
      <c r="I599" s="204"/>
      <c r="J599" s="204"/>
      <c r="K599" s="204"/>
      <c r="L599" s="213">
        <f>L443</f>
        <v>1261.9832055203046</v>
      </c>
      <c r="M599" s="213"/>
      <c r="N599" s="213"/>
      <c r="O599" s="213"/>
      <c r="P599" s="213">
        <f>P443</f>
        <v>1262.553808662779</v>
      </c>
      <c r="Q599" s="213"/>
      <c r="R599" s="213"/>
      <c r="S599" s="213"/>
      <c r="T599" s="213">
        <f>T443</f>
        <v>1261.9832055203046</v>
      </c>
      <c r="U599" s="213"/>
      <c r="V599" s="213"/>
      <c r="W599" s="213"/>
      <c r="AR599" s="4"/>
      <c r="AS599" s="4"/>
      <c r="AT599" s="4"/>
    </row>
    <row r="600" spans="1:46" ht="19.5" customHeight="1">
      <c r="A600" s="4"/>
      <c r="B600" s="4"/>
      <c r="C600" s="4"/>
      <c r="E600" s="183" t="s">
        <v>490</v>
      </c>
      <c r="F600" s="183"/>
      <c r="G600" s="183"/>
      <c r="H600" s="204"/>
      <c r="I600" s="204"/>
      <c r="J600" s="204"/>
      <c r="K600" s="204"/>
      <c r="L600" s="290">
        <f>AH589</f>
        <v>0.05</v>
      </c>
      <c r="M600" s="290"/>
      <c r="N600" s="290"/>
      <c r="O600" s="290"/>
      <c r="P600" s="290">
        <f>AH589</f>
        <v>0.05</v>
      </c>
      <c r="Q600" s="290"/>
      <c r="R600" s="290"/>
      <c r="S600" s="290"/>
      <c r="T600" s="290">
        <f>AH589</f>
        <v>0.05</v>
      </c>
      <c r="U600" s="290"/>
      <c r="V600" s="290"/>
      <c r="W600" s="290"/>
      <c r="AR600" s="4"/>
      <c r="AS600" s="4"/>
      <c r="AT600" s="4"/>
    </row>
    <row r="601" spans="1:44" ht="19.5" customHeight="1">
      <c r="A601" s="4"/>
      <c r="B601" s="4"/>
      <c r="C601" s="4"/>
      <c r="E601" s="183" t="s">
        <v>491</v>
      </c>
      <c r="F601" s="183"/>
      <c r="G601" s="183"/>
      <c r="H601" s="204" t="s">
        <v>402</v>
      </c>
      <c r="I601" s="204"/>
      <c r="J601" s="204"/>
      <c r="K601" s="204"/>
      <c r="L601" s="190">
        <f>L599*L600</f>
        <v>63.09916027601523</v>
      </c>
      <c r="M601" s="190"/>
      <c r="N601" s="190"/>
      <c r="O601" s="190"/>
      <c r="P601" s="190">
        <f>P599*P600</f>
        <v>63.12769043313895</v>
      </c>
      <c r="Q601" s="190"/>
      <c r="R601" s="190"/>
      <c r="S601" s="190"/>
      <c r="T601" s="190">
        <f>T599*T600</f>
        <v>63.09916027601523</v>
      </c>
      <c r="U601" s="190"/>
      <c r="V601" s="190"/>
      <c r="W601" s="190"/>
      <c r="AR601" s="4"/>
    </row>
    <row r="602" spans="1:12" ht="19.5" customHeight="1">
      <c r="A602" s="4"/>
      <c r="B602" s="4"/>
      <c r="C602" s="4"/>
      <c r="D602" s="4"/>
      <c r="E602" s="4"/>
      <c r="F602" s="4"/>
      <c r="G602" s="4"/>
      <c r="H602" s="4"/>
      <c r="I602" s="4"/>
      <c r="J602" s="4"/>
      <c r="K602" s="4"/>
      <c r="L602" s="4"/>
    </row>
    <row r="603" spans="1:43" ht="19.5" customHeight="1">
      <c r="A603" s="4"/>
      <c r="B603" s="4"/>
      <c r="C603" s="4"/>
      <c r="D603" s="4" t="s">
        <v>1217</v>
      </c>
      <c r="E603" s="4"/>
      <c r="F603" s="4"/>
      <c r="G603" s="4"/>
      <c r="H603" s="4"/>
      <c r="I603" s="4"/>
      <c r="J603" s="4"/>
      <c r="K603" s="4"/>
      <c r="L603" s="4"/>
      <c r="M603" s="4"/>
      <c r="AH603" s="27"/>
      <c r="AQ603" s="29"/>
    </row>
    <row r="604" spans="1:42" ht="19.5" customHeight="1">
      <c r="A604" s="4"/>
      <c r="B604" s="4"/>
      <c r="C604" s="4"/>
      <c r="D604" s="4"/>
      <c r="F604" s="235" t="s">
        <v>492</v>
      </c>
      <c r="G604" s="235"/>
      <c r="H604" s="235"/>
      <c r="I604" s="30" t="s">
        <v>493</v>
      </c>
      <c r="J604" s="4"/>
      <c r="K604" s="4"/>
      <c r="L604" s="4"/>
      <c r="M604" s="4"/>
      <c r="N604" s="4"/>
      <c r="AH604" s="27"/>
      <c r="AI604" s="27"/>
      <c r="AJ604" s="27"/>
      <c r="AK604" s="27"/>
      <c r="AL604" s="27"/>
      <c r="AM604" s="27"/>
      <c r="AN604" s="27"/>
      <c r="AO604" s="27"/>
      <c r="AP604" s="27"/>
    </row>
    <row r="605" spans="1:42" ht="19.5" customHeight="1">
      <c r="A605" s="4"/>
      <c r="B605" s="4"/>
      <c r="C605" s="4"/>
      <c r="D605" s="4"/>
      <c r="F605" s="4"/>
      <c r="G605" s="4"/>
      <c r="H605" s="4"/>
      <c r="I605" s="4" t="s">
        <v>494</v>
      </c>
      <c r="J605" s="237">
        <f>P594</f>
        <v>1262.5452183210605</v>
      </c>
      <c r="K605" s="237"/>
      <c r="L605" s="237"/>
      <c r="M605" s="4" t="s">
        <v>495</v>
      </c>
      <c r="N605" s="237">
        <f>Q534</f>
        <v>160.8366862338311</v>
      </c>
      <c r="O605" s="237"/>
      <c r="P605" s="237"/>
      <c r="Q605" s="27" t="s">
        <v>495</v>
      </c>
      <c r="R605" s="237">
        <f>P596</f>
        <v>63.127260916053025</v>
      </c>
      <c r="S605" s="237"/>
      <c r="T605" s="237"/>
      <c r="AH605" s="27"/>
      <c r="AI605" s="27"/>
      <c r="AJ605" s="27"/>
      <c r="AK605" s="27"/>
      <c r="AL605" s="27"/>
      <c r="AM605" s="27"/>
      <c r="AN605" s="27"/>
      <c r="AO605" s="27"/>
      <c r="AP605" s="27"/>
    </row>
    <row r="606" spans="1:42" ht="19.5" customHeight="1">
      <c r="A606" s="4"/>
      <c r="B606" s="4"/>
      <c r="C606" s="4"/>
      <c r="D606" s="4"/>
      <c r="F606" s="4"/>
      <c r="G606" s="4"/>
      <c r="H606" s="4"/>
      <c r="I606" s="4" t="s">
        <v>494</v>
      </c>
      <c r="J606" s="237">
        <f>J605-N605-R605</f>
        <v>1038.5812711711762</v>
      </c>
      <c r="K606" s="237"/>
      <c r="L606" s="237"/>
      <c r="M606" s="29" t="s">
        <v>496</v>
      </c>
      <c r="N606" s="4"/>
      <c r="P606" s="27" t="str">
        <f>IF(J606&lt;=U606,"＜","＞")</f>
        <v>＜</v>
      </c>
      <c r="R606" s="235" t="s">
        <v>497</v>
      </c>
      <c r="S606" s="235"/>
      <c r="T606" s="235"/>
      <c r="U606" s="325">
        <v>1098.8</v>
      </c>
      <c r="V606" s="325"/>
      <c r="W606" s="325"/>
      <c r="X606" s="29" t="s">
        <v>496</v>
      </c>
      <c r="AB606" s="27" t="str">
        <f>IF(J606&lt;=U606,"O.K","N.G")</f>
        <v>O.K</v>
      </c>
      <c r="AH606" s="27"/>
      <c r="AI606" s="27"/>
      <c r="AJ606" s="27"/>
      <c r="AK606" s="27"/>
      <c r="AL606" s="27"/>
      <c r="AM606" s="27"/>
      <c r="AN606" s="27"/>
      <c r="AO606" s="27"/>
      <c r="AP606" s="27"/>
    </row>
    <row r="607" spans="1:43" ht="19.5" customHeight="1">
      <c r="A607" s="4"/>
      <c r="B607" s="4"/>
      <c r="C607" s="4"/>
      <c r="D607" s="4"/>
      <c r="E607" s="4"/>
      <c r="F607" s="4"/>
      <c r="G607" s="4"/>
      <c r="H607" s="4"/>
      <c r="I607" s="4"/>
      <c r="J607" s="4"/>
      <c r="K607" s="4"/>
      <c r="L607" s="4"/>
      <c r="M607" s="4"/>
      <c r="AH607" s="27"/>
      <c r="AQ607" s="29"/>
    </row>
    <row r="608" spans="1:43" ht="19.5" customHeight="1">
      <c r="A608" s="4"/>
      <c r="B608" s="4"/>
      <c r="C608" s="4"/>
      <c r="D608" s="4"/>
      <c r="E608" s="4" t="s">
        <v>1218</v>
      </c>
      <c r="F608" s="4"/>
      <c r="G608" s="4"/>
      <c r="H608" s="4"/>
      <c r="I608" s="4" t="s">
        <v>498</v>
      </c>
      <c r="J608" s="4" t="s">
        <v>494</v>
      </c>
      <c r="K608" s="4" t="s">
        <v>499</v>
      </c>
      <c r="L608" s="4"/>
      <c r="M608" s="4"/>
      <c r="AH608" s="27"/>
      <c r="AQ608" s="29"/>
    </row>
    <row r="609" spans="1:43" ht="19.5" customHeight="1">
      <c r="A609" s="4"/>
      <c r="B609" s="4"/>
      <c r="C609" s="4"/>
      <c r="D609" s="4"/>
      <c r="E609" s="4"/>
      <c r="F609" s="4"/>
      <c r="G609" s="4"/>
      <c r="H609" s="4"/>
      <c r="I609" s="4"/>
      <c r="J609" s="4" t="s">
        <v>494</v>
      </c>
      <c r="K609" s="237">
        <f>J606</f>
        <v>1038.5812711711762</v>
      </c>
      <c r="L609" s="237"/>
      <c r="M609" s="237"/>
      <c r="N609" s="39" t="s">
        <v>500</v>
      </c>
      <c r="O609" s="237">
        <f>L594</f>
        <v>1261.9832055203046</v>
      </c>
      <c r="P609" s="237"/>
      <c r="Q609" s="237"/>
      <c r="R609" s="27" t="s">
        <v>494</v>
      </c>
      <c r="S609" s="243">
        <f>K609/O609</f>
        <v>0.8229755092049567</v>
      </c>
      <c r="T609" s="243"/>
      <c r="U609" s="243"/>
      <c r="AH609" s="27"/>
      <c r="AQ609" s="29"/>
    </row>
    <row r="610" spans="1:43" ht="19.5" customHeight="1">
      <c r="A610" s="4" t="s">
        <v>274</v>
      </c>
      <c r="B610" s="4"/>
      <c r="C610" s="4"/>
      <c r="D610" s="4"/>
      <c r="E610" s="4" t="s">
        <v>1219</v>
      </c>
      <c r="F610" s="4"/>
      <c r="G610" s="4"/>
      <c r="H610" s="4"/>
      <c r="I610" s="4"/>
      <c r="J610" s="4"/>
      <c r="K610" s="4"/>
      <c r="L610" s="4"/>
      <c r="M610" s="4"/>
      <c r="AH610" s="27"/>
      <c r="AQ610" s="29"/>
    </row>
    <row r="611" spans="1:23" ht="19.5" customHeight="1">
      <c r="A611" s="4"/>
      <c r="B611" s="4"/>
      <c r="C611" s="4"/>
      <c r="D611" s="4"/>
      <c r="E611" s="183" t="s">
        <v>1021</v>
      </c>
      <c r="F611" s="183"/>
      <c r="G611" s="183"/>
      <c r="H611" s="183"/>
      <c r="I611" s="183"/>
      <c r="J611" s="183"/>
      <c r="K611" s="183"/>
      <c r="L611" s="204" t="s">
        <v>501</v>
      </c>
      <c r="M611" s="204"/>
      <c r="N611" s="204"/>
      <c r="O611" s="204"/>
      <c r="P611" s="204" t="s">
        <v>502</v>
      </c>
      <c r="Q611" s="204"/>
      <c r="R611" s="204"/>
      <c r="S611" s="204"/>
      <c r="T611" s="204" t="s">
        <v>503</v>
      </c>
      <c r="U611" s="204"/>
      <c r="V611" s="204"/>
      <c r="W611" s="204"/>
    </row>
    <row r="612" spans="1:46" ht="19.5" customHeight="1">
      <c r="A612" s="4"/>
      <c r="B612" s="4"/>
      <c r="C612" s="4"/>
      <c r="E612" s="183" t="s">
        <v>504</v>
      </c>
      <c r="F612" s="183"/>
      <c r="G612" s="183"/>
      <c r="H612" s="204" t="s">
        <v>505</v>
      </c>
      <c r="I612" s="204"/>
      <c r="J612" s="204"/>
      <c r="K612" s="204"/>
      <c r="L612" s="213">
        <f>L594</f>
        <v>1261.9832055203046</v>
      </c>
      <c r="M612" s="213"/>
      <c r="N612" s="213"/>
      <c r="O612" s="213"/>
      <c r="P612" s="213">
        <f>P594</f>
        <v>1262.5452183210605</v>
      </c>
      <c r="Q612" s="213"/>
      <c r="R612" s="213"/>
      <c r="S612" s="213"/>
      <c r="T612" s="213">
        <f>T594</f>
        <v>1261.9832055203046</v>
      </c>
      <c r="U612" s="213"/>
      <c r="V612" s="213"/>
      <c r="W612" s="213"/>
      <c r="AR612" s="4"/>
      <c r="AS612" s="4"/>
      <c r="AT612" s="4"/>
    </row>
    <row r="613" spans="1:46" ht="19.5" customHeight="1">
      <c r="A613" s="4"/>
      <c r="B613" s="4"/>
      <c r="C613" s="4"/>
      <c r="E613" s="183" t="s">
        <v>506</v>
      </c>
      <c r="F613" s="183"/>
      <c r="G613" s="183"/>
      <c r="H613" s="204" t="s">
        <v>505</v>
      </c>
      <c r="I613" s="204"/>
      <c r="J613" s="204"/>
      <c r="K613" s="204"/>
      <c r="L613" s="190">
        <f>M534</f>
        <v>161.51224887757076</v>
      </c>
      <c r="M613" s="190"/>
      <c r="N613" s="190"/>
      <c r="O613" s="190"/>
      <c r="P613" s="190">
        <f>Q534</f>
        <v>160.8366862338311</v>
      </c>
      <c r="Q613" s="190"/>
      <c r="R613" s="190"/>
      <c r="S613" s="190"/>
      <c r="T613" s="190">
        <f>U534</f>
        <v>161.51224887757076</v>
      </c>
      <c r="U613" s="190"/>
      <c r="V613" s="190"/>
      <c r="W613" s="190"/>
      <c r="AR613" s="4"/>
      <c r="AS613" s="4"/>
      <c r="AT613" s="4"/>
    </row>
    <row r="614" spans="1:46" ht="19.5" customHeight="1">
      <c r="A614" s="4"/>
      <c r="B614" s="4"/>
      <c r="C614" s="4"/>
      <c r="E614" s="183" t="s">
        <v>507</v>
      </c>
      <c r="F614" s="183"/>
      <c r="G614" s="183"/>
      <c r="H614" s="204" t="s">
        <v>505</v>
      </c>
      <c r="I614" s="204"/>
      <c r="J614" s="204"/>
      <c r="K614" s="204"/>
      <c r="L614" s="190">
        <f>L596</f>
        <v>63.09916027601523</v>
      </c>
      <c r="M614" s="190"/>
      <c r="N614" s="190"/>
      <c r="O614" s="190"/>
      <c r="P614" s="190">
        <f>P596</f>
        <v>63.127260916053025</v>
      </c>
      <c r="Q614" s="190"/>
      <c r="R614" s="190"/>
      <c r="S614" s="190"/>
      <c r="T614" s="190">
        <f>T596</f>
        <v>63.09916027601523</v>
      </c>
      <c r="U614" s="190"/>
      <c r="V614" s="190"/>
      <c r="W614" s="190"/>
      <c r="AR614" s="4"/>
      <c r="AS614" s="4"/>
      <c r="AT614" s="4"/>
    </row>
    <row r="615" spans="1:46" ht="19.5" customHeight="1">
      <c r="A615" s="4"/>
      <c r="B615" s="4"/>
      <c r="C615" s="4"/>
      <c r="E615" s="183" t="s">
        <v>492</v>
      </c>
      <c r="F615" s="183"/>
      <c r="G615" s="183"/>
      <c r="H615" s="204" t="s">
        <v>505</v>
      </c>
      <c r="I615" s="204"/>
      <c r="J615" s="204"/>
      <c r="K615" s="204"/>
      <c r="L615" s="190">
        <f>L612-L613-L614</f>
        <v>1037.3717963667186</v>
      </c>
      <c r="M615" s="190"/>
      <c r="N615" s="190"/>
      <c r="O615" s="190"/>
      <c r="P615" s="190">
        <f>P612-P613-P614</f>
        <v>1038.5812711711762</v>
      </c>
      <c r="Q615" s="190"/>
      <c r="R615" s="190"/>
      <c r="S615" s="190"/>
      <c r="T615" s="190">
        <f>T612-T613-T614</f>
        <v>1037.3717963667186</v>
      </c>
      <c r="U615" s="190"/>
      <c r="V615" s="190"/>
      <c r="W615" s="190"/>
      <c r="AR615" s="4"/>
      <c r="AS615" s="4"/>
      <c r="AT615" s="4"/>
    </row>
    <row r="616" spans="1:44" ht="19.5" customHeight="1">
      <c r="A616" s="4"/>
      <c r="B616" s="4"/>
      <c r="C616" s="4"/>
      <c r="E616" s="183" t="s">
        <v>498</v>
      </c>
      <c r="F616" s="183"/>
      <c r="G616" s="183"/>
      <c r="H616" s="204"/>
      <c r="I616" s="204"/>
      <c r="J616" s="204"/>
      <c r="K616" s="204"/>
      <c r="L616" s="254">
        <f>L615/L612</f>
        <v>0.8220171170495247</v>
      </c>
      <c r="M616" s="254"/>
      <c r="N616" s="254"/>
      <c r="O616" s="254"/>
      <c r="P616" s="254">
        <f>P615/P612</f>
        <v>0.8226091676560205</v>
      </c>
      <c r="Q616" s="254"/>
      <c r="R616" s="254"/>
      <c r="S616" s="254"/>
      <c r="T616" s="254">
        <f>T615/T612</f>
        <v>0.8220171170495247</v>
      </c>
      <c r="U616" s="254"/>
      <c r="V616" s="254"/>
      <c r="W616" s="254"/>
      <c r="AR616" s="4"/>
    </row>
    <row r="617" spans="1:43" ht="19.5" customHeight="1">
      <c r="A617" s="4"/>
      <c r="B617" s="4"/>
      <c r="C617" s="4"/>
      <c r="D617" s="4"/>
      <c r="E617" s="4"/>
      <c r="F617" s="4"/>
      <c r="G617" s="4"/>
      <c r="H617" s="4"/>
      <c r="I617" s="4"/>
      <c r="J617" s="4"/>
      <c r="K617" s="4"/>
      <c r="L617" s="4"/>
      <c r="M617" s="4"/>
      <c r="AH617" s="27"/>
      <c r="AQ617" s="29"/>
    </row>
    <row r="618" spans="1:23" ht="19.5" customHeight="1">
      <c r="A618" s="4"/>
      <c r="B618" s="4"/>
      <c r="C618" s="4"/>
      <c r="D618" s="4"/>
      <c r="E618" s="183" t="s">
        <v>917</v>
      </c>
      <c r="F618" s="183"/>
      <c r="G618" s="183"/>
      <c r="H618" s="183"/>
      <c r="I618" s="183"/>
      <c r="J618" s="183"/>
      <c r="K618" s="183"/>
      <c r="L618" s="204" t="s">
        <v>501</v>
      </c>
      <c r="M618" s="204"/>
      <c r="N618" s="204"/>
      <c r="O618" s="204"/>
      <c r="P618" s="204" t="s">
        <v>502</v>
      </c>
      <c r="Q618" s="204"/>
      <c r="R618" s="204"/>
      <c r="S618" s="204"/>
      <c r="T618" s="204" t="s">
        <v>503</v>
      </c>
      <c r="U618" s="204"/>
      <c r="V618" s="204"/>
      <c r="W618" s="204"/>
    </row>
    <row r="619" spans="1:46" ht="19.5" customHeight="1">
      <c r="A619" s="4"/>
      <c r="B619" s="4"/>
      <c r="C619" s="4"/>
      <c r="E619" s="183" t="s">
        <v>504</v>
      </c>
      <c r="F619" s="183"/>
      <c r="G619" s="183"/>
      <c r="H619" s="204" t="s">
        <v>505</v>
      </c>
      <c r="I619" s="204"/>
      <c r="J619" s="204"/>
      <c r="K619" s="204"/>
      <c r="L619" s="213">
        <f>L599</f>
        <v>1261.9832055203046</v>
      </c>
      <c r="M619" s="213"/>
      <c r="N619" s="213"/>
      <c r="O619" s="213"/>
      <c r="P619" s="213">
        <f>P599</f>
        <v>1262.553808662779</v>
      </c>
      <c r="Q619" s="213"/>
      <c r="R619" s="213"/>
      <c r="S619" s="213"/>
      <c r="T619" s="213">
        <f>T599</f>
        <v>1261.9832055203046</v>
      </c>
      <c r="U619" s="213"/>
      <c r="V619" s="213"/>
      <c r="W619" s="213"/>
      <c r="AR619" s="4"/>
      <c r="AS619" s="4"/>
      <c r="AT619" s="4"/>
    </row>
    <row r="620" spans="1:46" ht="19.5" customHeight="1">
      <c r="A620" s="4"/>
      <c r="B620" s="4"/>
      <c r="C620" s="4"/>
      <c r="E620" s="183" t="s">
        <v>506</v>
      </c>
      <c r="F620" s="183"/>
      <c r="G620" s="183"/>
      <c r="H620" s="204" t="s">
        <v>505</v>
      </c>
      <c r="I620" s="204"/>
      <c r="J620" s="204"/>
      <c r="K620" s="204"/>
      <c r="L620" s="190">
        <f>M544</f>
        <v>161.51224887757076</v>
      </c>
      <c r="M620" s="190"/>
      <c r="N620" s="190"/>
      <c r="O620" s="190"/>
      <c r="P620" s="190">
        <f>Q544</f>
        <v>160.45890195266534</v>
      </c>
      <c r="Q620" s="190"/>
      <c r="R620" s="190"/>
      <c r="S620" s="190"/>
      <c r="T620" s="190">
        <f>U544</f>
        <v>161.51224887757076</v>
      </c>
      <c r="U620" s="190"/>
      <c r="V620" s="190"/>
      <c r="W620" s="190"/>
      <c r="AR620" s="4"/>
      <c r="AS620" s="4"/>
      <c r="AT620" s="4"/>
    </row>
    <row r="621" spans="1:46" ht="19.5" customHeight="1">
      <c r="A621" s="4"/>
      <c r="B621" s="4"/>
      <c r="C621" s="4"/>
      <c r="E621" s="183" t="s">
        <v>507</v>
      </c>
      <c r="F621" s="183"/>
      <c r="G621" s="183"/>
      <c r="H621" s="204" t="s">
        <v>505</v>
      </c>
      <c r="I621" s="204"/>
      <c r="J621" s="204"/>
      <c r="K621" s="204"/>
      <c r="L621" s="190">
        <f>L601</f>
        <v>63.09916027601523</v>
      </c>
      <c r="M621" s="190"/>
      <c r="N621" s="190"/>
      <c r="O621" s="190"/>
      <c r="P621" s="190">
        <f>P601</f>
        <v>63.12769043313895</v>
      </c>
      <c r="Q621" s="190"/>
      <c r="R621" s="190"/>
      <c r="S621" s="190"/>
      <c r="T621" s="190">
        <f>T601</f>
        <v>63.09916027601523</v>
      </c>
      <c r="U621" s="190"/>
      <c r="V621" s="190"/>
      <c r="W621" s="190"/>
      <c r="AR621" s="4"/>
      <c r="AS621" s="4"/>
      <c r="AT621" s="4"/>
    </row>
    <row r="622" spans="1:46" ht="19.5" customHeight="1">
      <c r="A622" s="4"/>
      <c r="B622" s="4"/>
      <c r="C622" s="4"/>
      <c r="E622" s="183" t="s">
        <v>492</v>
      </c>
      <c r="F622" s="183"/>
      <c r="G622" s="183"/>
      <c r="H622" s="204" t="s">
        <v>505</v>
      </c>
      <c r="I622" s="204"/>
      <c r="J622" s="204"/>
      <c r="K622" s="204"/>
      <c r="L622" s="190">
        <f>L619-L620-L621</f>
        <v>1037.3717963667186</v>
      </c>
      <c r="M622" s="190"/>
      <c r="N622" s="190"/>
      <c r="O622" s="190"/>
      <c r="P622" s="190">
        <f>P619-P620-P621</f>
        <v>1038.9672162769746</v>
      </c>
      <c r="Q622" s="190"/>
      <c r="R622" s="190"/>
      <c r="S622" s="190"/>
      <c r="T622" s="190">
        <f>T619-T620-T621</f>
        <v>1037.3717963667186</v>
      </c>
      <c r="U622" s="190"/>
      <c r="V622" s="190"/>
      <c r="W622" s="190"/>
      <c r="AR622" s="4"/>
      <c r="AS622" s="4"/>
      <c r="AT622" s="4"/>
    </row>
    <row r="623" spans="1:44" ht="19.5" customHeight="1">
      <c r="A623" s="4"/>
      <c r="B623" s="4"/>
      <c r="C623" s="4"/>
      <c r="E623" s="183" t="s">
        <v>498</v>
      </c>
      <c r="F623" s="183"/>
      <c r="G623" s="183"/>
      <c r="H623" s="204"/>
      <c r="I623" s="204"/>
      <c r="J623" s="204"/>
      <c r="K623" s="204"/>
      <c r="L623" s="254">
        <f>L622/L619</f>
        <v>0.8220171170495247</v>
      </c>
      <c r="M623" s="254"/>
      <c r="N623" s="254"/>
      <c r="O623" s="254"/>
      <c r="P623" s="254">
        <f>P622/P619</f>
        <v>0.8229092567368563</v>
      </c>
      <c r="Q623" s="254"/>
      <c r="R623" s="254"/>
      <c r="S623" s="254"/>
      <c r="T623" s="254">
        <f>T622/T619</f>
        <v>0.8220171170495247</v>
      </c>
      <c r="U623" s="254"/>
      <c r="V623" s="254"/>
      <c r="W623" s="254"/>
      <c r="AR623" s="4"/>
    </row>
    <row r="624" spans="1:44" ht="19.5" customHeight="1">
      <c r="A624" s="4"/>
      <c r="B624" s="4"/>
      <c r="C624" s="4"/>
      <c r="E624" s="49"/>
      <c r="F624" s="49"/>
      <c r="G624" s="49"/>
      <c r="H624" s="45"/>
      <c r="I624" s="45"/>
      <c r="J624" s="45"/>
      <c r="K624" s="45"/>
      <c r="L624" s="77"/>
      <c r="M624" s="77"/>
      <c r="N624" s="77"/>
      <c r="O624" s="77"/>
      <c r="P624" s="77"/>
      <c r="Q624" s="77"/>
      <c r="R624" s="77"/>
      <c r="S624" s="77"/>
      <c r="T624" s="77"/>
      <c r="U624" s="77"/>
      <c r="V624" s="77"/>
      <c r="W624" s="77"/>
      <c r="AR624" s="4"/>
    </row>
    <row r="625" spans="1:43" ht="19.5" customHeight="1">
      <c r="A625" s="4"/>
      <c r="B625" s="4"/>
      <c r="C625" s="4"/>
      <c r="D625" s="4" t="s">
        <v>1220</v>
      </c>
      <c r="E625" s="4"/>
      <c r="F625" s="4"/>
      <c r="G625" s="4"/>
      <c r="H625" s="4"/>
      <c r="I625" s="4"/>
      <c r="J625" s="4"/>
      <c r="K625" s="4"/>
      <c r="L625" s="4"/>
      <c r="M625" s="4"/>
      <c r="AH625" s="27"/>
      <c r="AQ625" s="29"/>
    </row>
    <row r="626" spans="1:43" ht="19.5" customHeight="1">
      <c r="A626" s="4"/>
      <c r="B626" s="4"/>
      <c r="C626" s="4"/>
      <c r="D626" s="4"/>
      <c r="E626" s="4"/>
      <c r="F626" s="4"/>
      <c r="G626" s="4" t="s">
        <v>508</v>
      </c>
      <c r="H626" s="4"/>
      <c r="I626" s="4"/>
      <c r="J626" s="4"/>
      <c r="K626" s="4"/>
      <c r="L626" s="4"/>
      <c r="M626" s="4"/>
      <c r="AH626" s="27"/>
      <c r="AQ626" s="29"/>
    </row>
    <row r="627" spans="1:42" ht="19.5" customHeight="1">
      <c r="A627" s="4"/>
      <c r="B627" s="4"/>
      <c r="C627" s="4"/>
      <c r="D627" s="4"/>
      <c r="E627" s="4" t="s">
        <v>1008</v>
      </c>
      <c r="F627" s="4"/>
      <c r="G627" s="4"/>
      <c r="H627" s="4"/>
      <c r="J627" s="4" t="s">
        <v>509</v>
      </c>
      <c r="K627" s="4"/>
      <c r="L627" s="4"/>
      <c r="M627" s="243">
        <f>S609</f>
        <v>0.8229755092049567</v>
      </c>
      <c r="N627" s="243"/>
      <c r="O627" s="243"/>
      <c r="P627" s="27" t="s">
        <v>510</v>
      </c>
      <c r="Q627" s="237">
        <f>H448</f>
        <v>-9.367400038327888</v>
      </c>
      <c r="R627" s="237"/>
      <c r="S627" s="237"/>
      <c r="T627" s="27" t="s">
        <v>494</v>
      </c>
      <c r="U627" s="237">
        <f>M627*Q627</f>
        <v>-7.709140816469424</v>
      </c>
      <c r="V627" s="237"/>
      <c r="W627" s="237"/>
      <c r="X627" s="29" t="s">
        <v>496</v>
      </c>
      <c r="AG627" s="29"/>
      <c r="AP627" s="27"/>
    </row>
    <row r="628" spans="1:42" ht="19.5" customHeight="1">
      <c r="A628" s="4"/>
      <c r="B628" s="4"/>
      <c r="C628" s="4"/>
      <c r="D628" s="4"/>
      <c r="E628" s="4" t="s">
        <v>1010</v>
      </c>
      <c r="F628" s="4"/>
      <c r="G628" s="4"/>
      <c r="H628" s="4"/>
      <c r="J628" s="4" t="s">
        <v>511</v>
      </c>
      <c r="K628" s="4"/>
      <c r="L628" s="4"/>
      <c r="M628" s="243">
        <f>M627</f>
        <v>0.8229755092049567</v>
      </c>
      <c r="N628" s="243"/>
      <c r="O628" s="243"/>
      <c r="P628" s="27" t="s">
        <v>510</v>
      </c>
      <c r="Q628" s="237">
        <f>H451</f>
        <v>-7.266300964310418</v>
      </c>
      <c r="R628" s="237"/>
      <c r="S628" s="237"/>
      <c r="T628" s="27" t="s">
        <v>494</v>
      </c>
      <c r="U628" s="237">
        <f>M628*Q628</f>
        <v>-5.979987736139834</v>
      </c>
      <c r="V628" s="237"/>
      <c r="W628" s="237"/>
      <c r="X628" s="29" t="s">
        <v>496</v>
      </c>
      <c r="AG628" s="29"/>
      <c r="AP628" s="27"/>
    </row>
    <row r="629" spans="1:42" ht="19.5" customHeight="1">
      <c r="A629" s="4"/>
      <c r="B629" s="4"/>
      <c r="C629" s="4"/>
      <c r="D629" s="4"/>
      <c r="E629" s="4" t="s">
        <v>1023</v>
      </c>
      <c r="F629" s="4"/>
      <c r="G629" s="4"/>
      <c r="H629" s="4"/>
      <c r="J629" s="4" t="s">
        <v>512</v>
      </c>
      <c r="K629" s="4"/>
      <c r="L629" s="4"/>
      <c r="M629" s="243">
        <f>M628</f>
        <v>0.8229755092049567</v>
      </c>
      <c r="N629" s="243"/>
      <c r="O629" s="243"/>
      <c r="P629" s="27" t="s">
        <v>510</v>
      </c>
      <c r="Q629" s="237">
        <f>H454</f>
        <v>-8.361084166035312</v>
      </c>
      <c r="R629" s="237"/>
      <c r="S629" s="237"/>
      <c r="T629" s="27" t="s">
        <v>494</v>
      </c>
      <c r="U629" s="237">
        <f>M629*Q629</f>
        <v>-6.880967499048411</v>
      </c>
      <c r="V629" s="237"/>
      <c r="W629" s="237"/>
      <c r="X629" s="29" t="s">
        <v>496</v>
      </c>
      <c r="AG629" s="29"/>
      <c r="AP629" s="27"/>
    </row>
    <row r="630" spans="1:43" ht="19.5" customHeight="1">
      <c r="A630" s="4"/>
      <c r="B630" s="4"/>
      <c r="C630" s="4"/>
      <c r="D630" s="4"/>
      <c r="E630" s="4" t="s">
        <v>1221</v>
      </c>
      <c r="F630" s="4"/>
      <c r="G630" s="4"/>
      <c r="H630" s="4"/>
      <c r="I630" s="4"/>
      <c r="J630" s="4"/>
      <c r="K630" s="4"/>
      <c r="L630" s="4"/>
      <c r="M630" s="4"/>
      <c r="AH630" s="27"/>
      <c r="AQ630" s="29"/>
    </row>
    <row r="631" spans="1:42" ht="19.5" customHeight="1">
      <c r="A631" s="4"/>
      <c r="B631" s="4"/>
      <c r="C631" s="4"/>
      <c r="D631" s="4"/>
      <c r="E631" s="183" t="s">
        <v>1021</v>
      </c>
      <c r="F631" s="183"/>
      <c r="G631" s="183"/>
      <c r="H631" s="183"/>
      <c r="I631" s="183"/>
      <c r="J631" s="183"/>
      <c r="K631" s="183"/>
      <c r="L631" s="204" t="s">
        <v>501</v>
      </c>
      <c r="M631" s="204"/>
      <c r="N631" s="204"/>
      <c r="O631" s="204"/>
      <c r="P631" s="204" t="s">
        <v>502</v>
      </c>
      <c r="Q631" s="204"/>
      <c r="R631" s="204"/>
      <c r="S631" s="204"/>
      <c r="T631" s="204" t="s">
        <v>503</v>
      </c>
      <c r="U631" s="204"/>
      <c r="V631" s="204"/>
      <c r="W631" s="204"/>
      <c r="AG631" s="29"/>
      <c r="AP631" s="27"/>
    </row>
    <row r="632" spans="1:42" ht="19.5" customHeight="1">
      <c r="A632" s="4"/>
      <c r="B632" s="4"/>
      <c r="C632" s="4"/>
      <c r="D632" s="4"/>
      <c r="E632" s="183" t="s">
        <v>513</v>
      </c>
      <c r="F632" s="183"/>
      <c r="G632" s="183"/>
      <c r="H632" s="204" t="s">
        <v>505</v>
      </c>
      <c r="I632" s="204"/>
      <c r="J632" s="204"/>
      <c r="K632" s="204"/>
      <c r="L632" s="190">
        <f>L475</f>
        <v>-7.26306642340303</v>
      </c>
      <c r="M632" s="190"/>
      <c r="N632" s="190"/>
      <c r="O632" s="190"/>
      <c r="P632" s="190">
        <f>P475</f>
        <v>-9.367400038327888</v>
      </c>
      <c r="Q632" s="190"/>
      <c r="R632" s="190"/>
      <c r="S632" s="190"/>
      <c r="T632" s="190">
        <f>T475</f>
        <v>-7.26306642340303</v>
      </c>
      <c r="U632" s="190"/>
      <c r="V632" s="190"/>
      <c r="W632" s="190"/>
      <c r="AG632" s="29"/>
      <c r="AP632" s="27"/>
    </row>
    <row r="633" spans="1:42" ht="19.5" customHeight="1">
      <c r="A633" s="4"/>
      <c r="B633" s="4"/>
      <c r="C633" s="4"/>
      <c r="D633" s="4"/>
      <c r="E633" s="183" t="s">
        <v>514</v>
      </c>
      <c r="F633" s="183"/>
      <c r="G633" s="183"/>
      <c r="H633" s="204" t="s">
        <v>505</v>
      </c>
      <c r="I633" s="204"/>
      <c r="J633" s="204"/>
      <c r="K633" s="204"/>
      <c r="L633" s="190">
        <f>L476</f>
        <v>-9.363230208483424</v>
      </c>
      <c r="M633" s="190"/>
      <c r="N633" s="190"/>
      <c r="O633" s="190"/>
      <c r="P633" s="190">
        <f>P476</f>
        <v>-7.266300964310418</v>
      </c>
      <c r="Q633" s="190"/>
      <c r="R633" s="190"/>
      <c r="S633" s="190"/>
      <c r="T633" s="190">
        <f>T476</f>
        <v>-9.363230208483424</v>
      </c>
      <c r="U633" s="190"/>
      <c r="V633" s="190"/>
      <c r="W633" s="190"/>
      <c r="AG633" s="29"/>
      <c r="AP633" s="27"/>
    </row>
    <row r="634" spans="1:42" ht="19.5" customHeight="1">
      <c r="A634" s="4"/>
      <c r="B634" s="4"/>
      <c r="C634" s="4"/>
      <c r="D634" s="4"/>
      <c r="E634" s="183" t="s">
        <v>515</v>
      </c>
      <c r="F634" s="183"/>
      <c r="G634" s="183"/>
      <c r="H634" s="204" t="s">
        <v>505</v>
      </c>
      <c r="I634" s="204"/>
      <c r="J634" s="204"/>
      <c r="K634" s="204"/>
      <c r="L634" s="190">
        <f>L477</f>
        <v>-8.357362290365971</v>
      </c>
      <c r="M634" s="190"/>
      <c r="N634" s="190"/>
      <c r="O634" s="190"/>
      <c r="P634" s="190">
        <f>P477</f>
        <v>-8.361084166035312</v>
      </c>
      <c r="Q634" s="190"/>
      <c r="R634" s="190"/>
      <c r="S634" s="190"/>
      <c r="T634" s="190">
        <f>T477</f>
        <v>-8.357362290365971</v>
      </c>
      <c r="U634" s="190"/>
      <c r="V634" s="190"/>
      <c r="W634" s="190"/>
      <c r="AG634" s="29"/>
      <c r="AP634" s="27"/>
    </row>
    <row r="635" spans="1:42" ht="19.5" customHeight="1">
      <c r="A635" s="4"/>
      <c r="B635" s="4"/>
      <c r="C635" s="4"/>
      <c r="D635" s="4"/>
      <c r="E635" s="183" t="s">
        <v>498</v>
      </c>
      <c r="F635" s="183"/>
      <c r="G635" s="183"/>
      <c r="H635" s="204"/>
      <c r="I635" s="204"/>
      <c r="J635" s="204"/>
      <c r="K635" s="204"/>
      <c r="L635" s="254">
        <f>L616</f>
        <v>0.8220171170495247</v>
      </c>
      <c r="M635" s="254"/>
      <c r="N635" s="254"/>
      <c r="O635" s="254"/>
      <c r="P635" s="254">
        <f>P616</f>
        <v>0.8226091676560205</v>
      </c>
      <c r="Q635" s="254"/>
      <c r="R635" s="254"/>
      <c r="S635" s="254"/>
      <c r="T635" s="254">
        <f>T616</f>
        <v>0.8220171170495247</v>
      </c>
      <c r="U635" s="254"/>
      <c r="V635" s="254"/>
      <c r="W635" s="254"/>
      <c r="AG635" s="29"/>
      <c r="AP635" s="27"/>
    </row>
    <row r="636" spans="1:42" ht="19.5" customHeight="1">
      <c r="A636" s="4"/>
      <c r="B636" s="4"/>
      <c r="C636" s="4" t="s">
        <v>274</v>
      </c>
      <c r="D636" s="4"/>
      <c r="E636" s="183" t="s">
        <v>516</v>
      </c>
      <c r="F636" s="183"/>
      <c r="G636" s="183"/>
      <c r="H636" s="204" t="s">
        <v>505</v>
      </c>
      <c r="I636" s="204"/>
      <c r="J636" s="204"/>
      <c r="K636" s="204"/>
      <c r="L636" s="190">
        <f>L632*L635</f>
        <v>-5.970364922304961</v>
      </c>
      <c r="M636" s="190"/>
      <c r="N636" s="190"/>
      <c r="O636" s="190"/>
      <c r="P636" s="190">
        <f>P632*P635</f>
        <v>-7.705709148629879</v>
      </c>
      <c r="Q636" s="190"/>
      <c r="R636" s="190"/>
      <c r="S636" s="190"/>
      <c r="T636" s="190">
        <f>T632*T635</f>
        <v>-5.970364922304961</v>
      </c>
      <c r="U636" s="190"/>
      <c r="V636" s="190"/>
      <c r="W636" s="190"/>
      <c r="AG636" s="29"/>
      <c r="AP636" s="27"/>
    </row>
    <row r="637" spans="1:42" ht="19.5" customHeight="1">
      <c r="A637" s="4"/>
      <c r="B637" s="4"/>
      <c r="C637" s="4"/>
      <c r="D637" s="4"/>
      <c r="E637" s="183" t="s">
        <v>517</v>
      </c>
      <c r="F637" s="183"/>
      <c r="G637" s="183"/>
      <c r="H637" s="204" t="s">
        <v>505</v>
      </c>
      <c r="I637" s="204"/>
      <c r="J637" s="204"/>
      <c r="K637" s="204"/>
      <c r="L637" s="190">
        <f>L633*L$635</f>
        <v>-7.696735502248565</v>
      </c>
      <c r="M637" s="190"/>
      <c r="N637" s="190"/>
      <c r="O637" s="190"/>
      <c r="P637" s="190">
        <f>P633*P$635</f>
        <v>-5.977325788189533</v>
      </c>
      <c r="Q637" s="190"/>
      <c r="R637" s="190"/>
      <c r="S637" s="190"/>
      <c r="T637" s="190">
        <f>T633*T$635</f>
        <v>-7.696735502248565</v>
      </c>
      <c r="U637" s="190"/>
      <c r="V637" s="190"/>
      <c r="W637" s="190"/>
      <c r="AG637" s="29"/>
      <c r="AP637" s="27"/>
    </row>
    <row r="638" spans="1:42" ht="19.5" customHeight="1">
      <c r="A638" s="4"/>
      <c r="B638" s="4"/>
      <c r="C638" s="4"/>
      <c r="D638" s="4"/>
      <c r="E638" s="183" t="s">
        <v>518</v>
      </c>
      <c r="F638" s="183"/>
      <c r="G638" s="183"/>
      <c r="H638" s="204" t="s">
        <v>505</v>
      </c>
      <c r="I638" s="204"/>
      <c r="J638" s="204"/>
      <c r="K638" s="204"/>
      <c r="L638" s="190">
        <f>L634*L$635</f>
        <v>-6.869894856065049</v>
      </c>
      <c r="M638" s="190"/>
      <c r="N638" s="190"/>
      <c r="O638" s="190"/>
      <c r="P638" s="190">
        <f>P634*P$635</f>
        <v>-6.8779044865242405</v>
      </c>
      <c r="Q638" s="190"/>
      <c r="R638" s="190"/>
      <c r="S638" s="190"/>
      <c r="T638" s="190">
        <f>T634*T$635</f>
        <v>-6.869894856065049</v>
      </c>
      <c r="U638" s="190"/>
      <c r="V638" s="190"/>
      <c r="W638" s="190"/>
      <c r="AG638" s="29"/>
      <c r="AP638" s="27"/>
    </row>
    <row r="639" spans="1:12" ht="19.5" customHeight="1">
      <c r="A639" s="4"/>
      <c r="B639" s="4"/>
      <c r="C639" s="4"/>
      <c r="D639" s="4"/>
      <c r="E639" s="4"/>
      <c r="F639" s="4"/>
      <c r="G639" s="4"/>
      <c r="H639" s="4" t="s">
        <v>274</v>
      </c>
      <c r="I639" s="4"/>
      <c r="J639" s="4"/>
      <c r="K639" s="4"/>
      <c r="L639" s="4"/>
    </row>
    <row r="640" spans="1:42" ht="19.5" customHeight="1">
      <c r="A640" s="4"/>
      <c r="B640" s="4"/>
      <c r="C640" s="4"/>
      <c r="D640" s="4"/>
      <c r="E640" s="183" t="s">
        <v>917</v>
      </c>
      <c r="F640" s="183"/>
      <c r="G640" s="183"/>
      <c r="H640" s="183"/>
      <c r="I640" s="183"/>
      <c r="J640" s="183"/>
      <c r="K640" s="183"/>
      <c r="L640" s="204" t="s">
        <v>501</v>
      </c>
      <c r="M640" s="204"/>
      <c r="N640" s="204"/>
      <c r="O640" s="204"/>
      <c r="P640" s="204" t="s">
        <v>502</v>
      </c>
      <c r="Q640" s="204"/>
      <c r="R640" s="204"/>
      <c r="S640" s="204"/>
      <c r="T640" s="204" t="s">
        <v>503</v>
      </c>
      <c r="U640" s="204"/>
      <c r="V640" s="204"/>
      <c r="W640" s="204"/>
      <c r="AG640" s="29"/>
      <c r="AP640" s="27"/>
    </row>
    <row r="641" spans="1:42" ht="19.5" customHeight="1">
      <c r="A641" s="4"/>
      <c r="B641" s="4"/>
      <c r="C641" s="4"/>
      <c r="D641" s="4"/>
      <c r="E641" s="183" t="s">
        <v>513</v>
      </c>
      <c r="F641" s="183"/>
      <c r="G641" s="183"/>
      <c r="H641" s="204" t="s">
        <v>519</v>
      </c>
      <c r="I641" s="204"/>
      <c r="J641" s="204"/>
      <c r="K641" s="204"/>
      <c r="L641" s="190">
        <f>L488</f>
        <v>-7.26306642340303</v>
      </c>
      <c r="M641" s="190"/>
      <c r="N641" s="190"/>
      <c r="O641" s="190"/>
      <c r="P641" s="190">
        <f>P488</f>
        <v>-9.367463773999432</v>
      </c>
      <c r="Q641" s="190"/>
      <c r="R641" s="190"/>
      <c r="S641" s="190"/>
      <c r="T641" s="190">
        <f>T488</f>
        <v>-7.26306642340303</v>
      </c>
      <c r="U641" s="190"/>
      <c r="V641" s="190"/>
      <c r="W641" s="190"/>
      <c r="AG641" s="29"/>
      <c r="AP641" s="27"/>
    </row>
    <row r="642" spans="1:42" ht="19.5" customHeight="1">
      <c r="A642" s="4"/>
      <c r="B642" s="4"/>
      <c r="C642" s="4"/>
      <c r="D642" s="4"/>
      <c r="E642" s="183" t="s">
        <v>514</v>
      </c>
      <c r="F642" s="183"/>
      <c r="G642" s="183"/>
      <c r="H642" s="204" t="s">
        <v>519</v>
      </c>
      <c r="I642" s="204"/>
      <c r="J642" s="204"/>
      <c r="K642" s="204"/>
      <c r="L642" s="190">
        <f>L489</f>
        <v>-9.363230208483424</v>
      </c>
      <c r="M642" s="190"/>
      <c r="N642" s="190"/>
      <c r="O642" s="190"/>
      <c r="P642" s="190">
        <f>P489</f>
        <v>-7.2663504041304</v>
      </c>
      <c r="Q642" s="190"/>
      <c r="R642" s="190"/>
      <c r="S642" s="190"/>
      <c r="T642" s="190">
        <f>T489</f>
        <v>-9.363230208483424</v>
      </c>
      <c r="U642" s="190"/>
      <c r="V642" s="190"/>
      <c r="W642" s="190"/>
      <c r="AG642" s="29"/>
      <c r="AP642" s="27"/>
    </row>
    <row r="643" spans="1:42" ht="19.5" customHeight="1">
      <c r="A643" s="4"/>
      <c r="B643" s="4"/>
      <c r="C643" s="4"/>
      <c r="D643" s="4"/>
      <c r="E643" s="183" t="s">
        <v>515</v>
      </c>
      <c r="F643" s="183"/>
      <c r="G643" s="183"/>
      <c r="H643" s="204" t="s">
        <v>519</v>
      </c>
      <c r="I643" s="204"/>
      <c r="J643" s="204"/>
      <c r="K643" s="204"/>
      <c r="L643" s="190">
        <f>L490</f>
        <v>-8.357362290365971</v>
      </c>
      <c r="M643" s="190"/>
      <c r="N643" s="190"/>
      <c r="O643" s="190"/>
      <c r="P643" s="190">
        <f>P490</f>
        <v>-8.36114105474637</v>
      </c>
      <c r="Q643" s="190"/>
      <c r="R643" s="190"/>
      <c r="S643" s="190"/>
      <c r="T643" s="190">
        <f>T490</f>
        <v>-8.357362290365971</v>
      </c>
      <c r="U643" s="190"/>
      <c r="V643" s="190"/>
      <c r="W643" s="190"/>
      <c r="AG643" s="29"/>
      <c r="AP643" s="27"/>
    </row>
    <row r="644" spans="1:42" ht="19.5" customHeight="1">
      <c r="A644" s="4"/>
      <c r="B644" s="4"/>
      <c r="C644" s="4"/>
      <c r="D644" s="4"/>
      <c r="E644" s="183" t="s">
        <v>498</v>
      </c>
      <c r="F644" s="183"/>
      <c r="G644" s="183"/>
      <c r="H644" s="204"/>
      <c r="I644" s="204"/>
      <c r="J644" s="204"/>
      <c r="K644" s="204"/>
      <c r="L644" s="254">
        <f>L623</f>
        <v>0.8220171170495247</v>
      </c>
      <c r="M644" s="254"/>
      <c r="N644" s="254"/>
      <c r="O644" s="254"/>
      <c r="P644" s="254">
        <f>P623</f>
        <v>0.8229092567368563</v>
      </c>
      <c r="Q644" s="254"/>
      <c r="R644" s="254"/>
      <c r="S644" s="254"/>
      <c r="T644" s="254">
        <f>T623</f>
        <v>0.8220171170495247</v>
      </c>
      <c r="U644" s="254"/>
      <c r="V644" s="254"/>
      <c r="W644" s="254"/>
      <c r="AG644" s="29"/>
      <c r="AP644" s="27"/>
    </row>
    <row r="645" spans="1:42" ht="19.5" customHeight="1">
      <c r="A645" s="4"/>
      <c r="B645" s="4"/>
      <c r="C645" s="4" t="s">
        <v>274</v>
      </c>
      <c r="D645" s="4"/>
      <c r="E645" s="183" t="s">
        <v>516</v>
      </c>
      <c r="F645" s="183"/>
      <c r="G645" s="183"/>
      <c r="H645" s="204" t="s">
        <v>519</v>
      </c>
      <c r="I645" s="204"/>
      <c r="J645" s="204"/>
      <c r="K645" s="204"/>
      <c r="L645" s="205">
        <f>L641*L$644</f>
        <v>-5.970364922304961</v>
      </c>
      <c r="M645" s="206"/>
      <c r="N645" s="206"/>
      <c r="O645" s="207"/>
      <c r="P645" s="205">
        <f>P641*P$644</f>
        <v>-7.7085726517713</v>
      </c>
      <c r="Q645" s="206"/>
      <c r="R645" s="206"/>
      <c r="S645" s="207"/>
      <c r="T645" s="205">
        <f>T641*T$644</f>
        <v>-5.970364922304961</v>
      </c>
      <c r="U645" s="206"/>
      <c r="V645" s="206"/>
      <c r="W645" s="207"/>
      <c r="AG645" s="29"/>
      <c r="AP645" s="27"/>
    </row>
    <row r="646" spans="1:42" ht="19.5" customHeight="1">
      <c r="A646" s="4"/>
      <c r="B646" s="4"/>
      <c r="C646" s="4"/>
      <c r="D646" s="4"/>
      <c r="E646" s="183" t="s">
        <v>517</v>
      </c>
      <c r="F646" s="183"/>
      <c r="G646" s="183"/>
      <c r="H646" s="204" t="s">
        <v>519</v>
      </c>
      <c r="I646" s="204"/>
      <c r="J646" s="204"/>
      <c r="K646" s="204"/>
      <c r="L646" s="205">
        <f>L642*L$644</f>
        <v>-7.696735502248565</v>
      </c>
      <c r="M646" s="206"/>
      <c r="N646" s="206"/>
      <c r="O646" s="207"/>
      <c r="P646" s="205">
        <f>P642*P$644</f>
        <v>-5.979547010252503</v>
      </c>
      <c r="Q646" s="206"/>
      <c r="R646" s="206"/>
      <c r="S646" s="207"/>
      <c r="T646" s="205">
        <f>T642*T$644</f>
        <v>-7.696735502248565</v>
      </c>
      <c r="U646" s="206"/>
      <c r="V646" s="206"/>
      <c r="W646" s="207"/>
      <c r="AG646" s="29"/>
      <c r="AP646" s="27"/>
    </row>
    <row r="647" spans="1:42" ht="19.5" customHeight="1">
      <c r="A647" s="4"/>
      <c r="B647" s="4"/>
      <c r="C647" s="4"/>
      <c r="D647" s="4"/>
      <c r="E647" s="183" t="s">
        <v>518</v>
      </c>
      <c r="F647" s="183"/>
      <c r="G647" s="183"/>
      <c r="H647" s="204" t="s">
        <v>519</v>
      </c>
      <c r="I647" s="204"/>
      <c r="J647" s="204"/>
      <c r="K647" s="204"/>
      <c r="L647" s="205">
        <f>L643*L$644</f>
        <v>-6.869894856065049</v>
      </c>
      <c r="M647" s="206"/>
      <c r="N647" s="206"/>
      <c r="O647" s="207"/>
      <c r="P647" s="205">
        <f>P643*P$644</f>
        <v>-6.88046037083335</v>
      </c>
      <c r="Q647" s="206"/>
      <c r="R647" s="206"/>
      <c r="S647" s="207"/>
      <c r="T647" s="205">
        <f>T643*T$644</f>
        <v>-6.869894856065049</v>
      </c>
      <c r="U647" s="206"/>
      <c r="V647" s="206"/>
      <c r="W647" s="207"/>
      <c r="AG647" s="29"/>
      <c r="AP647" s="27"/>
    </row>
    <row r="648" spans="1:12" ht="19.5" customHeight="1">
      <c r="A648" s="4"/>
      <c r="B648" s="4"/>
      <c r="C648" s="4"/>
      <c r="D648" s="4"/>
      <c r="E648" s="4"/>
      <c r="F648" s="4"/>
      <c r="G648" s="4"/>
      <c r="H648" s="4" t="s">
        <v>274</v>
      </c>
      <c r="I648" s="4"/>
      <c r="J648" s="4"/>
      <c r="K648" s="4"/>
      <c r="L648" s="4"/>
    </row>
    <row r="649" spans="2:12" ht="19.5" customHeight="1">
      <c r="B649" s="4" t="s">
        <v>1222</v>
      </c>
      <c r="C649" s="4"/>
      <c r="D649" s="4"/>
      <c r="E649" s="4"/>
      <c r="F649" s="4"/>
      <c r="G649" s="4"/>
      <c r="H649" s="4"/>
      <c r="I649" s="4"/>
      <c r="J649" s="4"/>
      <c r="K649" s="4"/>
      <c r="L649" s="4"/>
    </row>
    <row r="650" spans="1:12" ht="19.5" customHeight="1">
      <c r="A650" s="4"/>
      <c r="C650" s="4" t="s">
        <v>1223</v>
      </c>
      <c r="D650" s="4"/>
      <c r="E650" s="4"/>
      <c r="F650" s="4"/>
      <c r="G650" s="4"/>
      <c r="H650" s="4"/>
      <c r="I650" s="4"/>
      <c r="J650" s="4"/>
      <c r="K650" s="4"/>
      <c r="L650" s="4"/>
    </row>
    <row r="651" spans="1:12" ht="19.5" customHeight="1">
      <c r="A651" s="4"/>
      <c r="C651" s="4"/>
      <c r="D651" s="4" t="s">
        <v>1224</v>
      </c>
      <c r="E651" s="4"/>
      <c r="F651" s="4"/>
      <c r="G651" s="4"/>
      <c r="H651" s="4"/>
      <c r="I651" s="4"/>
      <c r="J651" s="4"/>
      <c r="K651" s="4"/>
      <c r="L651" s="4"/>
    </row>
    <row r="652" spans="1:42" ht="19.5" customHeight="1">
      <c r="A652" s="4"/>
      <c r="B652" s="4"/>
      <c r="C652" s="4"/>
      <c r="D652" s="204"/>
      <c r="E652" s="204"/>
      <c r="F652" s="204"/>
      <c r="G652" s="204"/>
      <c r="H652" s="204"/>
      <c r="I652" s="183" t="s">
        <v>1225</v>
      </c>
      <c r="J652" s="183"/>
      <c r="K652" s="183"/>
      <c r="L652" s="183"/>
      <c r="M652" s="183"/>
      <c r="N652" s="183"/>
      <c r="O652" s="183"/>
      <c r="P652" s="183"/>
      <c r="Q652" s="183"/>
      <c r="R652" s="183"/>
      <c r="S652" s="183"/>
      <c r="T652" s="183" t="s">
        <v>1226</v>
      </c>
      <c r="U652" s="183"/>
      <c r="V652" s="183"/>
      <c r="W652" s="183"/>
      <c r="X652" s="183"/>
      <c r="Y652" s="183"/>
      <c r="Z652" s="183"/>
      <c r="AA652" s="183"/>
      <c r="AB652" s="183"/>
      <c r="AC652" s="183"/>
      <c r="AD652" s="183"/>
      <c r="AE652" s="183" t="s">
        <v>1227</v>
      </c>
      <c r="AF652" s="183"/>
      <c r="AG652" s="183"/>
      <c r="AH652" s="183"/>
      <c r="AI652" s="183"/>
      <c r="AJ652" s="183"/>
      <c r="AK652" s="183"/>
      <c r="AL652" s="183"/>
      <c r="AM652" s="183"/>
      <c r="AN652" s="183"/>
      <c r="AO652" s="183"/>
      <c r="AP652" s="27"/>
    </row>
    <row r="653" spans="1:42" ht="19.5" customHeight="1">
      <c r="A653" s="4"/>
      <c r="B653" s="4"/>
      <c r="C653" s="4"/>
      <c r="D653" s="183" t="s">
        <v>1228</v>
      </c>
      <c r="E653" s="183"/>
      <c r="F653" s="183"/>
      <c r="G653" s="183"/>
      <c r="H653" s="183"/>
      <c r="I653" s="183" t="s">
        <v>1229</v>
      </c>
      <c r="J653" s="183"/>
      <c r="K653" s="183"/>
      <c r="L653" s="183"/>
      <c r="M653" s="183"/>
      <c r="N653" s="183"/>
      <c r="O653" s="183"/>
      <c r="P653" s="183"/>
      <c r="Q653" s="183"/>
      <c r="R653" s="183"/>
      <c r="S653" s="183"/>
      <c r="T653" s="183" t="s">
        <v>1230</v>
      </c>
      <c r="U653" s="183"/>
      <c r="V653" s="183"/>
      <c r="W653" s="183"/>
      <c r="X653" s="183"/>
      <c r="Y653" s="183"/>
      <c r="Z653" s="183"/>
      <c r="AA653" s="183"/>
      <c r="AB653" s="183"/>
      <c r="AC653" s="183"/>
      <c r="AD653" s="183"/>
      <c r="AE653" s="183" t="s">
        <v>1231</v>
      </c>
      <c r="AF653" s="183"/>
      <c r="AG653" s="183"/>
      <c r="AH653" s="183"/>
      <c r="AI653" s="183"/>
      <c r="AJ653" s="183"/>
      <c r="AK653" s="183"/>
      <c r="AL653" s="183"/>
      <c r="AM653" s="183"/>
      <c r="AN653" s="183"/>
      <c r="AO653" s="183"/>
      <c r="AP653" s="27"/>
    </row>
    <row r="654" spans="1:42" ht="19.5" customHeight="1">
      <c r="A654" s="4"/>
      <c r="D654" s="183"/>
      <c r="E654" s="183"/>
      <c r="F654" s="183"/>
      <c r="G654" s="183"/>
      <c r="H654" s="183"/>
      <c r="I654" s="212" t="s">
        <v>1232</v>
      </c>
      <c r="J654" s="212"/>
      <c r="K654" s="212"/>
      <c r="L654" s="212"/>
      <c r="M654" s="212"/>
      <c r="N654" s="212"/>
      <c r="O654" s="212"/>
      <c r="P654" s="212"/>
      <c r="Q654" s="212"/>
      <c r="R654" s="212"/>
      <c r="S654" s="212"/>
      <c r="T654" s="212" t="s">
        <v>1233</v>
      </c>
      <c r="U654" s="212"/>
      <c r="V654" s="212"/>
      <c r="W654" s="212"/>
      <c r="X654" s="212"/>
      <c r="Y654" s="212"/>
      <c r="Z654" s="212"/>
      <c r="AA654" s="212"/>
      <c r="AB654" s="212"/>
      <c r="AC654" s="212"/>
      <c r="AD654" s="212"/>
      <c r="AE654" s="242" t="s">
        <v>1234</v>
      </c>
      <c r="AF654" s="242"/>
      <c r="AG654" s="242"/>
      <c r="AH654" s="242"/>
      <c r="AI654" s="242"/>
      <c r="AJ654" s="242"/>
      <c r="AK654" s="242"/>
      <c r="AL654" s="242"/>
      <c r="AM654" s="242"/>
      <c r="AN654" s="242"/>
      <c r="AO654" s="242"/>
      <c r="AP654" s="27"/>
    </row>
    <row r="655" spans="1:42" ht="19.5" customHeight="1">
      <c r="A655" s="4"/>
      <c r="D655" s="183"/>
      <c r="E655" s="183"/>
      <c r="F655" s="183"/>
      <c r="G655" s="183"/>
      <c r="H655" s="183"/>
      <c r="I655" s="212"/>
      <c r="J655" s="212"/>
      <c r="K655" s="212"/>
      <c r="L655" s="212"/>
      <c r="M655" s="212"/>
      <c r="N655" s="212"/>
      <c r="O655" s="212"/>
      <c r="P655" s="212"/>
      <c r="Q655" s="212"/>
      <c r="R655" s="212"/>
      <c r="S655" s="212"/>
      <c r="T655" s="212"/>
      <c r="U655" s="212"/>
      <c r="V655" s="212"/>
      <c r="W655" s="212"/>
      <c r="X655" s="212"/>
      <c r="Y655" s="212"/>
      <c r="Z655" s="212"/>
      <c r="AA655" s="212"/>
      <c r="AB655" s="212"/>
      <c r="AC655" s="212"/>
      <c r="AD655" s="212"/>
      <c r="AE655" s="242"/>
      <c r="AF655" s="242"/>
      <c r="AG655" s="242"/>
      <c r="AH655" s="242"/>
      <c r="AI655" s="242"/>
      <c r="AJ655" s="242"/>
      <c r="AK655" s="242"/>
      <c r="AL655" s="242"/>
      <c r="AM655" s="242"/>
      <c r="AN655" s="242"/>
      <c r="AO655" s="242"/>
      <c r="AP655" s="27"/>
    </row>
    <row r="656" spans="1:42" ht="19.5" customHeight="1">
      <c r="A656" s="4"/>
      <c r="D656" s="183"/>
      <c r="E656" s="183"/>
      <c r="F656" s="183"/>
      <c r="G656" s="183"/>
      <c r="H656" s="183"/>
      <c r="I656" s="212"/>
      <c r="J656" s="212"/>
      <c r="K656" s="212"/>
      <c r="L656" s="212"/>
      <c r="M656" s="212"/>
      <c r="N656" s="212"/>
      <c r="O656" s="212"/>
      <c r="P656" s="212"/>
      <c r="Q656" s="212"/>
      <c r="R656" s="212"/>
      <c r="S656" s="212"/>
      <c r="T656" s="212"/>
      <c r="U656" s="212"/>
      <c r="V656" s="212"/>
      <c r="W656" s="212"/>
      <c r="X656" s="212"/>
      <c r="Y656" s="212"/>
      <c r="Z656" s="212"/>
      <c r="AA656" s="212"/>
      <c r="AB656" s="212"/>
      <c r="AC656" s="212"/>
      <c r="AD656" s="212"/>
      <c r="AE656" s="242"/>
      <c r="AF656" s="242"/>
      <c r="AG656" s="242"/>
      <c r="AH656" s="242"/>
      <c r="AI656" s="242"/>
      <c r="AJ656" s="242"/>
      <c r="AK656" s="242"/>
      <c r="AL656" s="242"/>
      <c r="AM656" s="242"/>
      <c r="AN656" s="242"/>
      <c r="AO656" s="242"/>
      <c r="AP656" s="27"/>
    </row>
    <row r="657" spans="1:42" ht="19.5" customHeight="1">
      <c r="A657" s="4"/>
      <c r="D657" s="183" t="s">
        <v>1326</v>
      </c>
      <c r="E657" s="183"/>
      <c r="F657" s="183"/>
      <c r="G657" s="183"/>
      <c r="H657" s="183"/>
      <c r="I657" s="183" t="s">
        <v>520</v>
      </c>
      <c r="J657" s="183"/>
      <c r="K657" s="183"/>
      <c r="L657" s="183"/>
      <c r="M657" s="183"/>
      <c r="N657" s="183"/>
      <c r="O657" s="183"/>
      <c r="P657" s="183"/>
      <c r="Q657" s="183"/>
      <c r="R657" s="183"/>
      <c r="S657" s="183"/>
      <c r="T657" s="183" t="s">
        <v>521</v>
      </c>
      <c r="U657" s="183"/>
      <c r="V657" s="183"/>
      <c r="W657" s="183"/>
      <c r="X657" s="183"/>
      <c r="Y657" s="183"/>
      <c r="Z657" s="183"/>
      <c r="AA657" s="183"/>
      <c r="AB657" s="183"/>
      <c r="AC657" s="183"/>
      <c r="AD657" s="183"/>
      <c r="AE657" s="183" t="s">
        <v>522</v>
      </c>
      <c r="AF657" s="183"/>
      <c r="AG657" s="183"/>
      <c r="AH657" s="183"/>
      <c r="AI657" s="183"/>
      <c r="AJ657" s="183"/>
      <c r="AK657" s="183"/>
      <c r="AL657" s="183"/>
      <c r="AM657" s="183"/>
      <c r="AN657" s="183"/>
      <c r="AO657" s="183"/>
      <c r="AP657" s="27"/>
    </row>
    <row r="658" spans="1:42" ht="19.5" customHeight="1">
      <c r="A658" s="4"/>
      <c r="D658" s="27" t="s">
        <v>929</v>
      </c>
      <c r="E658" s="158"/>
      <c r="I658" s="4"/>
      <c r="J658" s="4"/>
      <c r="K658" s="4"/>
      <c r="O658" s="4"/>
      <c r="P658" s="4"/>
      <c r="Y658" s="4"/>
      <c r="Z658" s="4"/>
      <c r="AF658" s="4"/>
      <c r="AG658" s="4"/>
      <c r="AP658" s="27"/>
    </row>
    <row r="659" spans="1:44" ht="19.5" customHeight="1">
      <c r="A659" s="4"/>
      <c r="B659" s="4"/>
      <c r="C659" s="4"/>
      <c r="D659" s="4" t="s">
        <v>523</v>
      </c>
      <c r="E659" s="4"/>
      <c r="F659" s="4"/>
      <c r="G659" s="4" t="s">
        <v>1327</v>
      </c>
      <c r="H659" s="4"/>
      <c r="I659" s="4"/>
      <c r="J659" s="4"/>
      <c r="K659" s="4"/>
      <c r="Q659" s="27" t="s">
        <v>524</v>
      </c>
      <c r="AG659" s="29"/>
      <c r="AP659" s="27"/>
      <c r="AR659" s="92"/>
    </row>
    <row r="660" spans="1:44" ht="19.5" customHeight="1">
      <c r="A660" s="4"/>
      <c r="B660" s="4"/>
      <c r="C660" s="4"/>
      <c r="D660" s="4"/>
      <c r="E660" s="4"/>
      <c r="F660" s="4"/>
      <c r="G660" s="4"/>
      <c r="H660" s="4" t="s">
        <v>525</v>
      </c>
      <c r="I660" s="4"/>
      <c r="J660" s="4"/>
      <c r="K660" s="30" t="s">
        <v>526</v>
      </c>
      <c r="L660" s="4"/>
      <c r="AR660" s="92"/>
    </row>
    <row r="661" spans="1:30" ht="19.5" customHeight="1">
      <c r="A661" s="4"/>
      <c r="B661" s="4"/>
      <c r="C661" s="4"/>
      <c r="D661" s="4"/>
      <c r="E661" s="4"/>
      <c r="F661" s="4"/>
      <c r="G661" s="4"/>
      <c r="H661" s="4"/>
      <c r="I661" s="4"/>
      <c r="J661" s="4"/>
      <c r="K661" s="4" t="s">
        <v>1354</v>
      </c>
      <c r="L661" s="243">
        <f>AD666</f>
        <v>1.1941729059992372</v>
      </c>
      <c r="M661" s="243"/>
      <c r="N661" s="243"/>
      <c r="O661" s="35" t="s">
        <v>279</v>
      </c>
      <c r="P661" s="243">
        <f>V672</f>
        <v>0.700513953408893</v>
      </c>
      <c r="Q661" s="243"/>
      <c r="R661" s="243"/>
      <c r="S661" s="35" t="s">
        <v>279</v>
      </c>
      <c r="T661" s="243">
        <f>U676</f>
        <v>2.690096319155837</v>
      </c>
      <c r="U661" s="243"/>
      <c r="V661" s="243"/>
      <c r="W661" s="27" t="s">
        <v>1354</v>
      </c>
      <c r="X661" s="237">
        <f>L661*P661*T661</f>
        <v>2.250359141765158</v>
      </c>
      <c r="Y661" s="237"/>
      <c r="Z661" s="237"/>
      <c r="AA661" s="29" t="s">
        <v>281</v>
      </c>
      <c r="AD661" s="27" t="s">
        <v>983</v>
      </c>
    </row>
    <row r="662" spans="1:30" ht="19.5" customHeight="1">
      <c r="A662" s="4"/>
      <c r="B662" s="4"/>
      <c r="C662" s="4"/>
      <c r="D662" s="4"/>
      <c r="E662" s="4"/>
      <c r="F662" s="4"/>
      <c r="G662" s="4"/>
      <c r="H662" s="4"/>
      <c r="I662" s="4"/>
      <c r="J662" s="4"/>
      <c r="K662" s="4" t="s">
        <v>1354</v>
      </c>
      <c r="L662" s="243">
        <f>AD668</f>
        <v>1.1941729059992372</v>
      </c>
      <c r="M662" s="243"/>
      <c r="N662" s="243"/>
      <c r="O662" s="35" t="s">
        <v>279</v>
      </c>
      <c r="P662" s="243">
        <f>V673</f>
        <v>0.700513953408893</v>
      </c>
      <c r="Q662" s="243"/>
      <c r="R662" s="243"/>
      <c r="S662" s="35" t="s">
        <v>279</v>
      </c>
      <c r="T662" s="243">
        <f>U676</f>
        <v>2.690096319155837</v>
      </c>
      <c r="U662" s="243"/>
      <c r="V662" s="243"/>
      <c r="W662" s="27" t="s">
        <v>1354</v>
      </c>
      <c r="X662" s="237">
        <f>L662*P662*T662</f>
        <v>2.250359141765158</v>
      </c>
      <c r="Y662" s="237"/>
      <c r="Z662" s="237"/>
      <c r="AA662" s="29" t="s">
        <v>281</v>
      </c>
      <c r="AD662" s="27" t="s">
        <v>982</v>
      </c>
    </row>
    <row r="663" spans="1:26" ht="19.5" customHeight="1">
      <c r="A663" s="4"/>
      <c r="B663" s="4"/>
      <c r="C663" s="4"/>
      <c r="D663" s="4" t="s">
        <v>50</v>
      </c>
      <c r="E663" s="4"/>
      <c r="F663" s="4"/>
      <c r="G663" s="4" t="s">
        <v>1328</v>
      </c>
      <c r="H663" s="4"/>
      <c r="I663" s="4"/>
      <c r="J663" s="4"/>
      <c r="K663" s="4"/>
      <c r="L663" s="102"/>
      <c r="M663" s="102"/>
      <c r="N663" s="102"/>
      <c r="O663" s="35"/>
      <c r="P663" s="102"/>
      <c r="Q663" s="102"/>
      <c r="R663" s="102"/>
      <c r="S663" s="35"/>
      <c r="T663" s="44"/>
      <c r="U663" s="44"/>
      <c r="V663" s="44"/>
      <c r="X663" s="44"/>
      <c r="Y663" s="44"/>
      <c r="Z663" s="44"/>
    </row>
    <row r="664" spans="1:25" ht="19.5" customHeight="1">
      <c r="A664" s="4"/>
      <c r="B664" s="4"/>
      <c r="C664" s="4"/>
      <c r="D664" s="4"/>
      <c r="E664" s="4"/>
      <c r="F664" s="4"/>
      <c r="G664" s="4"/>
      <c r="H664" s="235" t="s">
        <v>527</v>
      </c>
      <c r="I664" s="235"/>
      <c r="J664" s="4"/>
      <c r="K664" s="235" t="s">
        <v>528</v>
      </c>
      <c r="L664" s="235">
        <v>1</v>
      </c>
      <c r="M664" s="236" t="s">
        <v>529</v>
      </c>
      <c r="N664" s="73"/>
      <c r="O664" s="73"/>
      <c r="P664" s="73"/>
      <c r="Q664" s="73">
        <v>1</v>
      </c>
      <c r="R664" s="73"/>
      <c r="S664" s="73"/>
      <c r="T664" s="73"/>
      <c r="Y664" s="35"/>
    </row>
    <row r="665" spans="1:25" ht="19.5" customHeight="1">
      <c r="A665" s="4"/>
      <c r="B665" s="4"/>
      <c r="C665" s="4"/>
      <c r="D665" s="4"/>
      <c r="E665" s="4"/>
      <c r="F665" s="4"/>
      <c r="G665" s="4"/>
      <c r="H665" s="235"/>
      <c r="I665" s="235"/>
      <c r="J665" s="4"/>
      <c r="K665" s="235"/>
      <c r="L665" s="235"/>
      <c r="M665" s="236"/>
      <c r="N665" s="27" t="s">
        <v>530</v>
      </c>
      <c r="V665" s="35"/>
      <c r="W665" s="35"/>
      <c r="X665" s="35"/>
      <c r="Y665" s="35"/>
    </row>
    <row r="666" spans="1:36" ht="19.5" customHeight="1">
      <c r="A666" s="4"/>
      <c r="B666" s="4"/>
      <c r="C666" s="4"/>
      <c r="D666" s="4"/>
      <c r="E666" s="4"/>
      <c r="F666" s="4"/>
      <c r="G666" s="4"/>
      <c r="H666" s="33"/>
      <c r="I666" s="33"/>
      <c r="J666" s="4"/>
      <c r="K666" s="235" t="s">
        <v>528</v>
      </c>
      <c r="L666" s="235">
        <v>1</v>
      </c>
      <c r="M666" s="236" t="s">
        <v>529</v>
      </c>
      <c r="N666" s="73"/>
      <c r="O666" s="73"/>
      <c r="P666" s="73"/>
      <c r="Q666" s="73"/>
      <c r="R666" s="73"/>
      <c r="S666" s="73"/>
      <c r="T666" s="73"/>
      <c r="U666" s="73">
        <v>1</v>
      </c>
      <c r="V666" s="149"/>
      <c r="W666" s="149"/>
      <c r="X666" s="149"/>
      <c r="Y666" s="149"/>
      <c r="Z666" s="73"/>
      <c r="AA666" s="73"/>
      <c r="AB666" s="73"/>
      <c r="AC666" s="235" t="s">
        <v>528</v>
      </c>
      <c r="AD666" s="243">
        <f>1+1/(0.85+4.5*(U667/Y667))</f>
        <v>1.1941729059992372</v>
      </c>
      <c r="AE666" s="243"/>
      <c r="AF666" s="243"/>
      <c r="AG666" s="236" t="s">
        <v>983</v>
      </c>
      <c r="AH666" s="236"/>
      <c r="AI666" s="236"/>
      <c r="AJ666" s="236"/>
    </row>
    <row r="667" spans="1:36" ht="19.5" customHeight="1">
      <c r="A667" s="4"/>
      <c r="B667" s="4"/>
      <c r="C667" s="4"/>
      <c r="D667" s="4"/>
      <c r="E667" s="4"/>
      <c r="F667" s="4"/>
      <c r="G667" s="4"/>
      <c r="H667" s="33"/>
      <c r="I667" s="33"/>
      <c r="J667" s="4"/>
      <c r="K667" s="235"/>
      <c r="L667" s="235"/>
      <c r="M667" s="236"/>
      <c r="N667" s="236">
        <v>0.85</v>
      </c>
      <c r="O667" s="236"/>
      <c r="P667" s="27" t="s">
        <v>529</v>
      </c>
      <c r="Q667" s="236">
        <v>4.5</v>
      </c>
      <c r="R667" s="236"/>
      <c r="S667" s="35" t="s">
        <v>531</v>
      </c>
      <c r="T667" s="27" t="s">
        <v>532</v>
      </c>
      <c r="U667" s="243">
        <f>S678</f>
        <v>0.38</v>
      </c>
      <c r="V667" s="243"/>
      <c r="W667" s="243"/>
      <c r="X667" s="103" t="s">
        <v>533</v>
      </c>
      <c r="Y667" s="243">
        <f>AH682</f>
        <v>0.39766987766749573</v>
      </c>
      <c r="Z667" s="243"/>
      <c r="AA667" s="243"/>
      <c r="AB667" s="27" t="s">
        <v>534</v>
      </c>
      <c r="AC667" s="235"/>
      <c r="AD667" s="243"/>
      <c r="AE667" s="243"/>
      <c r="AF667" s="243"/>
      <c r="AG667" s="236"/>
      <c r="AH667" s="236"/>
      <c r="AI667" s="236"/>
      <c r="AJ667" s="236"/>
    </row>
    <row r="668" spans="1:36" ht="19.5" customHeight="1">
      <c r="A668" s="4"/>
      <c r="B668" s="4"/>
      <c r="C668" s="4"/>
      <c r="D668" s="4"/>
      <c r="E668" s="4"/>
      <c r="F668" s="4"/>
      <c r="G668" s="4"/>
      <c r="H668" s="33"/>
      <c r="I668" s="33"/>
      <c r="J668" s="4"/>
      <c r="K668" s="235" t="s">
        <v>528</v>
      </c>
      <c r="L668" s="235">
        <v>1</v>
      </c>
      <c r="M668" s="236" t="s">
        <v>529</v>
      </c>
      <c r="N668" s="73"/>
      <c r="O668" s="73"/>
      <c r="P668" s="73"/>
      <c r="Q668" s="73"/>
      <c r="R668" s="73"/>
      <c r="S668" s="73"/>
      <c r="T668" s="73"/>
      <c r="U668" s="73">
        <v>1</v>
      </c>
      <c r="V668" s="149"/>
      <c r="W668" s="149"/>
      <c r="X668" s="149"/>
      <c r="Y668" s="149"/>
      <c r="Z668" s="73"/>
      <c r="AA668" s="73"/>
      <c r="AB668" s="73"/>
      <c r="AC668" s="235" t="s">
        <v>528</v>
      </c>
      <c r="AD668" s="243">
        <f>1+1/(0.85+4.5*(U669/Y669))</f>
        <v>1.1941729059992372</v>
      </c>
      <c r="AE668" s="243"/>
      <c r="AF668" s="243"/>
      <c r="AG668" s="236" t="s">
        <v>982</v>
      </c>
      <c r="AH668" s="236"/>
      <c r="AI668" s="236"/>
      <c r="AJ668" s="236"/>
    </row>
    <row r="669" spans="1:36" ht="19.5" customHeight="1">
      <c r="A669" s="4"/>
      <c r="B669" s="4"/>
      <c r="C669" s="4"/>
      <c r="D669" s="4"/>
      <c r="E669" s="4"/>
      <c r="F669" s="4"/>
      <c r="G669" s="4"/>
      <c r="H669" s="33"/>
      <c r="I669" s="33"/>
      <c r="J669" s="4"/>
      <c r="K669" s="235"/>
      <c r="L669" s="235"/>
      <c r="M669" s="236"/>
      <c r="N669" s="236">
        <v>0.85</v>
      </c>
      <c r="O669" s="236"/>
      <c r="P669" s="27" t="s">
        <v>529</v>
      </c>
      <c r="Q669" s="236">
        <v>4.5</v>
      </c>
      <c r="R669" s="236"/>
      <c r="S669" s="35" t="s">
        <v>531</v>
      </c>
      <c r="T669" s="27" t="s">
        <v>532</v>
      </c>
      <c r="U669" s="243">
        <f>S679</f>
        <v>0.38</v>
      </c>
      <c r="V669" s="243"/>
      <c r="W669" s="243"/>
      <c r="X669" s="103" t="s">
        <v>533</v>
      </c>
      <c r="Y669" s="243">
        <f>AH682</f>
        <v>0.39766987766749573</v>
      </c>
      <c r="Z669" s="243"/>
      <c r="AA669" s="243"/>
      <c r="AB669" s="27" t="s">
        <v>534</v>
      </c>
      <c r="AC669" s="235"/>
      <c r="AD669" s="243"/>
      <c r="AE669" s="243"/>
      <c r="AF669" s="243"/>
      <c r="AG669" s="236"/>
      <c r="AH669" s="236"/>
      <c r="AI669" s="236"/>
      <c r="AJ669" s="236"/>
    </row>
    <row r="670" spans="1:29" ht="19.5" customHeight="1">
      <c r="A670" s="4"/>
      <c r="B670" s="4"/>
      <c r="C670" s="4"/>
      <c r="D670" s="33" t="s">
        <v>535</v>
      </c>
      <c r="E670" s="4"/>
      <c r="F670" s="4"/>
      <c r="G670" s="4" t="s">
        <v>1329</v>
      </c>
      <c r="H670" s="33"/>
      <c r="I670" s="33"/>
      <c r="J670" s="4"/>
      <c r="K670" s="35"/>
      <c r="L670" s="35"/>
      <c r="M670" s="35"/>
      <c r="O670" s="35"/>
      <c r="P670" s="35"/>
      <c r="S670" s="35"/>
      <c r="U670" s="35"/>
      <c r="V670" s="35"/>
      <c r="Z670" s="44"/>
      <c r="AA670" s="44"/>
      <c r="AB670" s="44"/>
      <c r="AC670" s="151"/>
    </row>
    <row r="671" spans="1:18" ht="19.5" customHeight="1">
      <c r="A671" s="4"/>
      <c r="B671" s="4"/>
      <c r="C671" s="4"/>
      <c r="D671" s="4"/>
      <c r="E671" s="4"/>
      <c r="F671" s="4"/>
      <c r="G671" s="4"/>
      <c r="H671" s="235" t="s">
        <v>536</v>
      </c>
      <c r="I671" s="235"/>
      <c r="J671" s="159" t="s">
        <v>537</v>
      </c>
      <c r="K671" s="33"/>
      <c r="L671" s="35"/>
      <c r="P671" s="151" t="s">
        <v>538</v>
      </c>
      <c r="Q671" s="151"/>
      <c r="R671" s="151"/>
    </row>
    <row r="672" spans="1:26" ht="19.5" customHeight="1">
      <c r="A672" s="4"/>
      <c r="B672" s="4"/>
      <c r="C672" s="4"/>
      <c r="D672" s="4"/>
      <c r="E672" s="4"/>
      <c r="F672" s="4"/>
      <c r="G672" s="4"/>
      <c r="H672" s="33"/>
      <c r="I672" s="33"/>
      <c r="J672" s="100" t="s">
        <v>1350</v>
      </c>
      <c r="K672" s="236">
        <v>0.55</v>
      </c>
      <c r="L672" s="236"/>
      <c r="M672" s="236"/>
      <c r="N672" s="39" t="s">
        <v>212</v>
      </c>
      <c r="O672" s="27" t="s">
        <v>1358</v>
      </c>
      <c r="P672" s="243">
        <f>S678</f>
        <v>0.38</v>
      </c>
      <c r="Q672" s="243"/>
      <c r="R672" s="243"/>
      <c r="S672" s="27" t="s">
        <v>539</v>
      </c>
      <c r="U672" s="27" t="s">
        <v>1350</v>
      </c>
      <c r="V672" s="243">
        <f>K672/P672^(1/4)</f>
        <v>0.700513953408893</v>
      </c>
      <c r="W672" s="243"/>
      <c r="X672" s="243"/>
      <c r="Y672" s="35"/>
      <c r="Z672" s="27" t="s">
        <v>983</v>
      </c>
    </row>
    <row r="673" spans="1:26" ht="19.5" customHeight="1">
      <c r="A673" s="4"/>
      <c r="B673" s="4"/>
      <c r="C673" s="4"/>
      <c r="D673" s="4"/>
      <c r="E673" s="4"/>
      <c r="F673" s="4"/>
      <c r="G673" s="4"/>
      <c r="H673" s="33"/>
      <c r="I673" s="33"/>
      <c r="J673" s="100" t="s">
        <v>1350</v>
      </c>
      <c r="K673" s="236">
        <v>0.55</v>
      </c>
      <c r="L673" s="236"/>
      <c r="M673" s="236"/>
      <c r="N673" s="39" t="s">
        <v>212</v>
      </c>
      <c r="O673" s="27" t="s">
        <v>1358</v>
      </c>
      <c r="P673" s="243">
        <f>S679</f>
        <v>0.38</v>
      </c>
      <c r="Q673" s="243"/>
      <c r="R673" s="243"/>
      <c r="S673" s="27" t="s">
        <v>539</v>
      </c>
      <c r="U673" s="27" t="s">
        <v>1350</v>
      </c>
      <c r="V673" s="243">
        <f>K673/P673^(1/4)</f>
        <v>0.700513953408893</v>
      </c>
      <c r="W673" s="243"/>
      <c r="X673" s="243"/>
      <c r="Y673" s="35"/>
      <c r="Z673" s="27" t="s">
        <v>982</v>
      </c>
    </row>
    <row r="674" spans="1:38" ht="19.5" customHeight="1">
      <c r="A674" s="4"/>
      <c r="B674" s="4"/>
      <c r="C674" s="4"/>
      <c r="D674" s="4" t="s">
        <v>49</v>
      </c>
      <c r="E674" s="4"/>
      <c r="F674" s="4"/>
      <c r="G674" s="4" t="s">
        <v>1330</v>
      </c>
      <c r="H674" s="33"/>
      <c r="I674" s="33"/>
      <c r="J674" s="4"/>
      <c r="L674" s="33"/>
      <c r="M674" s="35"/>
      <c r="O674" s="44"/>
      <c r="P674" s="44"/>
      <c r="Q674" s="27" t="s">
        <v>540</v>
      </c>
      <c r="R674" s="35"/>
      <c r="S674" s="44"/>
      <c r="T674" s="44"/>
      <c r="U674" s="44"/>
      <c r="V674" s="27" t="s">
        <v>541</v>
      </c>
      <c r="Y674" s="39"/>
      <c r="AA674" s="99"/>
      <c r="AB674" s="99"/>
      <c r="AC674" s="85"/>
      <c r="AH674" s="102"/>
      <c r="AI674" s="102"/>
      <c r="AJ674" s="102"/>
      <c r="AL674" s="27"/>
    </row>
    <row r="675" spans="1:38" ht="19.5" customHeight="1">
      <c r="A675" s="4"/>
      <c r="B675" s="4"/>
      <c r="C675" s="4"/>
      <c r="D675" s="4"/>
      <c r="E675" s="4"/>
      <c r="F675" s="4"/>
      <c r="G675" s="4"/>
      <c r="H675" s="4" t="s">
        <v>49</v>
      </c>
      <c r="I675" s="33"/>
      <c r="J675" s="30" t="s">
        <v>542</v>
      </c>
      <c r="L675" s="33"/>
      <c r="M675" s="35"/>
      <c r="O675" s="44"/>
      <c r="R675" s="35"/>
      <c r="S675" s="44"/>
      <c r="T675" s="44"/>
      <c r="U675" s="44"/>
      <c r="V675" s="85"/>
      <c r="Y675" s="39"/>
      <c r="AA675" s="99"/>
      <c r="AB675" s="99"/>
      <c r="AC675" s="85"/>
      <c r="AH675" s="102"/>
      <c r="AI675" s="102"/>
      <c r="AJ675" s="102"/>
      <c r="AL675" s="27"/>
    </row>
    <row r="676" spans="1:38" ht="19.5" customHeight="1">
      <c r="A676" s="4"/>
      <c r="B676" s="4"/>
      <c r="C676" s="4"/>
      <c r="D676" s="4"/>
      <c r="E676" s="4"/>
      <c r="F676" s="4"/>
      <c r="G676" s="4"/>
      <c r="H676" s="33"/>
      <c r="I676" s="33"/>
      <c r="J676" s="4" t="s">
        <v>290</v>
      </c>
      <c r="K676" s="236">
        <v>0.23</v>
      </c>
      <c r="L676" s="236"/>
      <c r="M676" s="236"/>
      <c r="N676" s="35" t="s">
        <v>349</v>
      </c>
      <c r="O676" s="27" t="s">
        <v>1357</v>
      </c>
      <c r="P676" s="241">
        <f>T677</f>
        <v>40</v>
      </c>
      <c r="Q676" s="241"/>
      <c r="R676" s="27" t="s">
        <v>543</v>
      </c>
      <c r="T676" s="44" t="s">
        <v>290</v>
      </c>
      <c r="U676" s="250">
        <f>K676*P676^(2/3)</f>
        <v>2.690096319155837</v>
      </c>
      <c r="V676" s="250"/>
      <c r="W676" s="250"/>
      <c r="X676" s="29" t="s">
        <v>1121</v>
      </c>
      <c r="AB676" s="99"/>
      <c r="AC676" s="85"/>
      <c r="AH676" s="102"/>
      <c r="AI676" s="102"/>
      <c r="AJ676" s="102"/>
      <c r="AL676" s="27"/>
    </row>
    <row r="677" spans="1:34" ht="19.5" customHeight="1">
      <c r="A677" s="4"/>
      <c r="B677" s="4"/>
      <c r="C677" s="4"/>
      <c r="D677" s="4" t="s">
        <v>544</v>
      </c>
      <c r="E677" s="4"/>
      <c r="G677" s="4" t="s">
        <v>1331</v>
      </c>
      <c r="H677" s="4"/>
      <c r="I677" s="4"/>
      <c r="J677" s="4"/>
      <c r="K677" s="4"/>
      <c r="L677" s="4"/>
      <c r="R677" s="27" t="s">
        <v>545</v>
      </c>
      <c r="T677" s="374">
        <v>40</v>
      </c>
      <c r="U677" s="374"/>
      <c r="V677" s="29" t="s">
        <v>546</v>
      </c>
      <c r="AH677" s="27"/>
    </row>
    <row r="678" spans="1:34" ht="19.5" customHeight="1">
      <c r="A678" s="4"/>
      <c r="B678" s="4"/>
      <c r="C678" s="4"/>
      <c r="D678" s="27" t="s">
        <v>1325</v>
      </c>
      <c r="G678" s="100" t="s">
        <v>547</v>
      </c>
      <c r="H678" s="33"/>
      <c r="I678" s="35"/>
      <c r="Q678" s="27" t="s">
        <v>545</v>
      </c>
      <c r="S678" s="243">
        <f>AC240/1000</f>
        <v>0.38</v>
      </c>
      <c r="T678" s="243"/>
      <c r="U678" s="243"/>
      <c r="V678" s="27" t="s">
        <v>984</v>
      </c>
      <c r="AB678" s="27" t="s">
        <v>548</v>
      </c>
      <c r="AH678" s="27"/>
    </row>
    <row r="679" spans="1:22" ht="19.5" customHeight="1">
      <c r="A679" s="4"/>
      <c r="B679" s="4"/>
      <c r="C679" s="4"/>
      <c r="G679" s="100"/>
      <c r="H679" s="33"/>
      <c r="I679" s="35"/>
      <c r="Q679" s="27" t="s">
        <v>545</v>
      </c>
      <c r="S679" s="243">
        <f>AC255/1000</f>
        <v>0.38</v>
      </c>
      <c r="T679" s="243"/>
      <c r="U679" s="243"/>
      <c r="V679" s="27" t="s">
        <v>549</v>
      </c>
    </row>
    <row r="680" spans="1:25" ht="19.5" customHeight="1">
      <c r="A680" s="4"/>
      <c r="B680" s="4"/>
      <c r="C680" s="4"/>
      <c r="D680" s="4" t="s">
        <v>550</v>
      </c>
      <c r="E680" s="4"/>
      <c r="G680" s="27" t="s">
        <v>1332</v>
      </c>
      <c r="H680" s="33"/>
      <c r="I680" s="35"/>
      <c r="Q680" s="35"/>
      <c r="R680" s="35"/>
      <c r="V680" s="35"/>
      <c r="W680" s="35"/>
      <c r="X680" s="35"/>
      <c r="Y680" s="35"/>
    </row>
    <row r="681" spans="1:34" ht="19.5" customHeight="1">
      <c r="A681" s="4"/>
      <c r="B681" s="4"/>
      <c r="C681" s="4"/>
      <c r="D681" s="4"/>
      <c r="E681" s="4"/>
      <c r="F681" s="4"/>
      <c r="G681" s="4"/>
      <c r="H681" s="33"/>
      <c r="I681" s="35" t="s">
        <v>551</v>
      </c>
      <c r="K681" s="27" t="s">
        <v>552</v>
      </c>
      <c r="AH681" s="27"/>
    </row>
    <row r="682" spans="1:37" ht="19.5" customHeight="1">
      <c r="A682" s="4"/>
      <c r="B682" s="4"/>
      <c r="C682" s="4"/>
      <c r="D682" s="4"/>
      <c r="E682" s="4"/>
      <c r="F682" s="4"/>
      <c r="G682" s="4"/>
      <c r="H682" s="33"/>
      <c r="I682" s="35"/>
      <c r="J682" s="27" t="s">
        <v>351</v>
      </c>
      <c r="K682" s="237">
        <f>Z686</f>
        <v>92.83177667225557</v>
      </c>
      <c r="L682" s="237"/>
      <c r="M682" s="237"/>
      <c r="N682" s="35" t="s">
        <v>1364</v>
      </c>
      <c r="O682" s="237">
        <f>T683</f>
        <v>3.1</v>
      </c>
      <c r="P682" s="237"/>
      <c r="Q682" s="237"/>
      <c r="R682" s="85" t="s">
        <v>553</v>
      </c>
      <c r="U682" s="85" t="s">
        <v>554</v>
      </c>
      <c r="X682" s="39" t="s">
        <v>382</v>
      </c>
      <c r="Y682" s="27" t="s">
        <v>555</v>
      </c>
      <c r="Z682" s="250">
        <f>U676</f>
        <v>2.690096319155837</v>
      </c>
      <c r="AA682" s="250"/>
      <c r="AB682" s="250"/>
      <c r="AC682" s="85" t="s">
        <v>556</v>
      </c>
      <c r="AG682" s="27" t="s">
        <v>351</v>
      </c>
      <c r="AH682" s="243">
        <f>K682*O682/Z682^2/100</f>
        <v>0.39766987766749573</v>
      </c>
      <c r="AI682" s="243"/>
      <c r="AJ682" s="243"/>
      <c r="AK682" s="29" t="s">
        <v>557</v>
      </c>
    </row>
    <row r="683" spans="4:26" ht="19.5" customHeight="1">
      <c r="D683" s="4" t="s">
        <v>558</v>
      </c>
      <c r="E683" s="4"/>
      <c r="F683" s="4"/>
      <c r="G683" s="4" t="s">
        <v>974</v>
      </c>
      <c r="H683" s="4"/>
      <c r="I683" s="4"/>
      <c r="J683" s="4"/>
      <c r="K683" s="4"/>
      <c r="Q683" s="35"/>
      <c r="R683" s="27" t="s">
        <v>1363</v>
      </c>
      <c r="T683" s="250">
        <f>IF(T677=21,2.35,IF(T677=24,2.5,IF(T677=27,2.65,IF(T677=30,2.8,IF(T677=40,3.1,IF(T677=50,3.3,IF(T677=60,3.5,"ERROR")))))))</f>
        <v>3.1</v>
      </c>
      <c r="U683" s="250"/>
      <c r="V683" s="250"/>
      <c r="W683" s="85" t="s">
        <v>553</v>
      </c>
      <c r="Z683" s="29" t="s">
        <v>559</v>
      </c>
    </row>
    <row r="684" spans="1:14" ht="19.5" customHeight="1">
      <c r="A684" s="4"/>
      <c r="B684" s="4"/>
      <c r="C684" s="4"/>
      <c r="D684" s="4" t="s">
        <v>560</v>
      </c>
      <c r="E684" s="4"/>
      <c r="F684" s="4"/>
      <c r="G684" s="4" t="s">
        <v>1333</v>
      </c>
      <c r="H684" s="33"/>
      <c r="I684" s="33"/>
      <c r="J684" s="4"/>
      <c r="L684" s="33"/>
      <c r="N684" s="151" t="s">
        <v>561</v>
      </c>
    </row>
    <row r="685" spans="1:13" ht="19.5" customHeight="1">
      <c r="A685" s="4"/>
      <c r="B685" s="4"/>
      <c r="C685" s="4"/>
      <c r="D685" s="4"/>
      <c r="E685" s="4"/>
      <c r="F685" s="4"/>
      <c r="G685" s="4"/>
      <c r="H685" s="235" t="s">
        <v>562</v>
      </c>
      <c r="I685" s="235"/>
      <c r="J685" s="30" t="s">
        <v>563</v>
      </c>
      <c r="L685" s="33"/>
      <c r="M685" s="35"/>
    </row>
    <row r="686" spans="1:29" ht="19.5" customHeight="1">
      <c r="A686" s="4"/>
      <c r="B686" s="4"/>
      <c r="C686" s="4"/>
      <c r="D686" s="4"/>
      <c r="E686" s="4"/>
      <c r="F686" s="4"/>
      <c r="G686" s="4"/>
      <c r="H686" s="33"/>
      <c r="I686" s="33"/>
      <c r="J686" s="4" t="s">
        <v>1045</v>
      </c>
      <c r="K686" s="236">
        <v>10</v>
      </c>
      <c r="L686" s="236"/>
      <c r="M686" s="35" t="s">
        <v>1046</v>
      </c>
      <c r="N686" s="27" t="s">
        <v>564</v>
      </c>
      <c r="O686" s="236">
        <f>S687</f>
        <v>20</v>
      </c>
      <c r="P686" s="236"/>
      <c r="Q686" s="27" t="s">
        <v>565</v>
      </c>
      <c r="S686" s="35" t="s">
        <v>1046</v>
      </c>
      <c r="T686" s="27" t="s">
        <v>564</v>
      </c>
      <c r="U686" s="241">
        <f>T677</f>
        <v>40</v>
      </c>
      <c r="V686" s="236"/>
      <c r="W686" s="27" t="s">
        <v>565</v>
      </c>
      <c r="Y686" s="27" t="s">
        <v>1045</v>
      </c>
      <c r="Z686" s="237">
        <f>K686*O686^(1/3)*U686^(1/3)</f>
        <v>92.83177667225557</v>
      </c>
      <c r="AA686" s="237"/>
      <c r="AB686" s="237"/>
      <c r="AC686" s="151" t="s">
        <v>566</v>
      </c>
    </row>
    <row r="687" spans="4:44" ht="19.5" customHeight="1">
      <c r="D687" s="4" t="s">
        <v>567</v>
      </c>
      <c r="E687" s="4"/>
      <c r="F687" s="4"/>
      <c r="G687" s="4" t="s">
        <v>1334</v>
      </c>
      <c r="H687" s="4"/>
      <c r="I687" s="4"/>
      <c r="J687" s="4"/>
      <c r="K687" s="4"/>
      <c r="L687" s="4"/>
      <c r="Q687" s="27" t="s">
        <v>1047</v>
      </c>
      <c r="S687" s="330">
        <v>20</v>
      </c>
      <c r="T687" s="330"/>
      <c r="U687" s="27" t="s">
        <v>1324</v>
      </c>
      <c r="AR687" s="36"/>
    </row>
    <row r="688" spans="1:44" ht="19.5" customHeight="1">
      <c r="A688" s="4"/>
      <c r="B688" s="4"/>
      <c r="C688" s="4"/>
      <c r="D688" s="4"/>
      <c r="E688" s="4"/>
      <c r="F688" s="4"/>
      <c r="G688" s="4"/>
      <c r="H688" s="4"/>
      <c r="I688" s="4"/>
      <c r="J688" s="4"/>
      <c r="K688" s="4"/>
      <c r="L688" s="4"/>
      <c r="AR688" s="36"/>
    </row>
    <row r="689" spans="2:45" ht="12.75" customHeight="1">
      <c r="B689" s="4" t="s">
        <v>568</v>
      </c>
      <c r="C689" s="4" t="s">
        <v>1335</v>
      </c>
      <c r="D689" s="4"/>
      <c r="E689" s="4"/>
      <c r="F689" s="4"/>
      <c r="G689" s="4"/>
      <c r="H689" s="4"/>
      <c r="I689" s="4"/>
      <c r="J689" s="4"/>
      <c r="K689" s="4"/>
      <c r="L689" s="4"/>
      <c r="M689" s="4"/>
      <c r="AH689" s="27"/>
      <c r="AQ689" s="29"/>
      <c r="AS689" s="36"/>
    </row>
    <row r="690" spans="2:43" ht="12.75" customHeight="1">
      <c r="B690" s="4"/>
      <c r="C690" s="4"/>
      <c r="D690" s="4" t="s">
        <v>1336</v>
      </c>
      <c r="E690" s="4"/>
      <c r="F690" s="4"/>
      <c r="G690" s="4"/>
      <c r="H690" s="4"/>
      <c r="I690" s="4"/>
      <c r="J690" s="4"/>
      <c r="K690" s="4"/>
      <c r="L690" s="4"/>
      <c r="M690" s="4"/>
      <c r="AA690" s="29" t="s">
        <v>464</v>
      </c>
      <c r="AH690" s="27"/>
      <c r="AQ690" s="29"/>
    </row>
    <row r="691" spans="2:43" ht="12.75" customHeight="1">
      <c r="B691" s="4"/>
      <c r="C691" s="4"/>
      <c r="D691" s="183" t="s">
        <v>1021</v>
      </c>
      <c r="E691" s="183"/>
      <c r="F691" s="183"/>
      <c r="G691" s="183"/>
      <c r="H691" s="183"/>
      <c r="I691" s="183"/>
      <c r="J691" s="183"/>
      <c r="K691" s="183"/>
      <c r="L691" s="183"/>
      <c r="M691" s="183"/>
      <c r="N691" s="183"/>
      <c r="O691" s="183"/>
      <c r="P691" s="183"/>
      <c r="Q691" s="183"/>
      <c r="R691" s="183"/>
      <c r="S691" s="204" t="s">
        <v>460</v>
      </c>
      <c r="T691" s="204"/>
      <c r="U691" s="204"/>
      <c r="V691" s="204"/>
      <c r="W691" s="204" t="s">
        <v>461</v>
      </c>
      <c r="X691" s="204"/>
      <c r="Y691" s="204"/>
      <c r="Z691" s="204"/>
      <c r="AA691" s="204" t="s">
        <v>462</v>
      </c>
      <c r="AB691" s="204"/>
      <c r="AC691" s="204"/>
      <c r="AD691" s="204"/>
      <c r="AH691" s="27"/>
      <c r="AJ691" s="27"/>
      <c r="AL691" s="58"/>
      <c r="AM691" s="58"/>
      <c r="AQ691" s="29"/>
    </row>
    <row r="692" spans="2:43" ht="12.75" customHeight="1">
      <c r="B692" s="4"/>
      <c r="C692" s="4"/>
      <c r="D692" s="312" t="s">
        <v>1408</v>
      </c>
      <c r="E692" s="313"/>
      <c r="F692" s="270" t="s">
        <v>1337</v>
      </c>
      <c r="G692" s="270"/>
      <c r="H692" s="270"/>
      <c r="I692" s="270"/>
      <c r="J692" s="270"/>
      <c r="K692" s="270"/>
      <c r="L692" s="270"/>
      <c r="M692" s="270"/>
      <c r="N692" s="270"/>
      <c r="O692" s="270"/>
      <c r="P692" s="183" t="s">
        <v>1008</v>
      </c>
      <c r="Q692" s="183"/>
      <c r="R692" s="183"/>
      <c r="S692" s="190">
        <f>T$206*1000/$AH$264</f>
        <v>1.0345013850415512</v>
      </c>
      <c r="T692" s="190"/>
      <c r="U692" s="190"/>
      <c r="V692" s="190"/>
      <c r="W692" s="190">
        <f>X206*1000/$AH$249</f>
        <v>-0.5182271468144044</v>
      </c>
      <c r="X692" s="190"/>
      <c r="Y692" s="190"/>
      <c r="Z692" s="190"/>
      <c r="AA692" s="190">
        <f>AB$206*1000/$AH$264</f>
        <v>1.0345013850415512</v>
      </c>
      <c r="AB692" s="190"/>
      <c r="AC692" s="190"/>
      <c r="AD692" s="190"/>
      <c r="AH692" s="27"/>
      <c r="AJ692" s="27"/>
      <c r="AL692" s="58"/>
      <c r="AM692" s="58"/>
      <c r="AQ692" s="29"/>
    </row>
    <row r="693" spans="2:43" ht="12.75" customHeight="1">
      <c r="B693" s="4"/>
      <c r="C693" s="4"/>
      <c r="D693" s="314"/>
      <c r="E693" s="315"/>
      <c r="F693" s="270"/>
      <c r="G693" s="270"/>
      <c r="H693" s="270"/>
      <c r="I693" s="270"/>
      <c r="J693" s="270"/>
      <c r="K693" s="270"/>
      <c r="L693" s="270"/>
      <c r="M693" s="270"/>
      <c r="N693" s="270"/>
      <c r="O693" s="270"/>
      <c r="P693" s="183" t="s">
        <v>1010</v>
      </c>
      <c r="Q693" s="183"/>
      <c r="R693" s="183"/>
      <c r="S693" s="190">
        <f>T$206*1000/$AH$265</f>
        <v>-1.0345013850415512</v>
      </c>
      <c r="T693" s="190"/>
      <c r="U693" s="190"/>
      <c r="V693" s="190"/>
      <c r="W693" s="190">
        <f>X206*1000/$AH$250</f>
        <v>0.5182271468144044</v>
      </c>
      <c r="X693" s="190"/>
      <c r="Y693" s="190"/>
      <c r="Z693" s="190"/>
      <c r="AA693" s="190">
        <f>AB$206*1000/$AH$265</f>
        <v>-1.0345013850415512</v>
      </c>
      <c r="AB693" s="190"/>
      <c r="AC693" s="190"/>
      <c r="AD693" s="190"/>
      <c r="AH693" s="27"/>
      <c r="AJ693" s="27"/>
      <c r="AL693" s="58"/>
      <c r="AM693" s="58"/>
      <c r="AQ693" s="29"/>
    </row>
    <row r="694" spans="2:43" ht="12.75" customHeight="1">
      <c r="B694" s="4"/>
      <c r="C694" s="4"/>
      <c r="D694" s="314"/>
      <c r="E694" s="315"/>
      <c r="F694" s="270" t="s">
        <v>921</v>
      </c>
      <c r="G694" s="270"/>
      <c r="H694" s="270"/>
      <c r="I694" s="270"/>
      <c r="J694" s="270"/>
      <c r="K694" s="270"/>
      <c r="L694" s="270"/>
      <c r="M694" s="270"/>
      <c r="N694" s="270"/>
      <c r="O694" s="270"/>
      <c r="P694" s="183" t="s">
        <v>1008</v>
      </c>
      <c r="Q694" s="183"/>
      <c r="R694" s="183"/>
      <c r="S694" s="190">
        <f>T$207*1000/$AH$264</f>
        <v>0.14933518005540167</v>
      </c>
      <c r="T694" s="190"/>
      <c r="U694" s="190"/>
      <c r="V694" s="190"/>
      <c r="W694" s="190">
        <f>X207*1000/$AH$249</f>
        <v>-0.10018005540166204</v>
      </c>
      <c r="X694" s="190"/>
      <c r="Y694" s="190"/>
      <c r="Z694" s="190"/>
      <c r="AA694" s="190">
        <f>AB$207*1000/$AH$264</f>
        <v>0.14933518005540167</v>
      </c>
      <c r="AB694" s="190"/>
      <c r="AC694" s="190"/>
      <c r="AD694" s="190"/>
      <c r="AH694" s="27"/>
      <c r="AJ694" s="27"/>
      <c r="AL694" s="58"/>
      <c r="AM694" s="58"/>
      <c r="AQ694" s="29"/>
    </row>
    <row r="695" spans="2:43" ht="12.75" customHeight="1">
      <c r="B695" s="4"/>
      <c r="C695" s="4" t="s">
        <v>274</v>
      </c>
      <c r="D695" s="314"/>
      <c r="E695" s="315"/>
      <c r="F695" s="270"/>
      <c r="G695" s="270"/>
      <c r="H695" s="270"/>
      <c r="I695" s="270"/>
      <c r="J695" s="270"/>
      <c r="K695" s="270"/>
      <c r="L695" s="270"/>
      <c r="M695" s="270"/>
      <c r="N695" s="270"/>
      <c r="O695" s="270"/>
      <c r="P695" s="183" t="s">
        <v>1010</v>
      </c>
      <c r="Q695" s="183"/>
      <c r="R695" s="183"/>
      <c r="S695" s="190">
        <f>T$207*1000/$AH$265</f>
        <v>-0.14933518005540167</v>
      </c>
      <c r="T695" s="190"/>
      <c r="U695" s="190"/>
      <c r="V695" s="190"/>
      <c r="W695" s="190">
        <f>X207*1000/$AH$250</f>
        <v>0.10018005540166204</v>
      </c>
      <c r="X695" s="190"/>
      <c r="Y695" s="190"/>
      <c r="Z695" s="190"/>
      <c r="AA695" s="190">
        <f>AB$207*1000/$AH$265</f>
        <v>-0.14933518005540167</v>
      </c>
      <c r="AB695" s="190"/>
      <c r="AC695" s="190"/>
      <c r="AD695" s="190"/>
      <c r="AH695" s="27"/>
      <c r="AJ695" s="27"/>
      <c r="AL695" s="58"/>
      <c r="AM695" s="58"/>
      <c r="AQ695" s="29"/>
    </row>
    <row r="696" spans="2:43" ht="12.75" customHeight="1">
      <c r="B696" s="4"/>
      <c r="C696" s="4"/>
      <c r="D696" s="314"/>
      <c r="E696" s="315"/>
      <c r="F696" s="270" t="s">
        <v>976</v>
      </c>
      <c r="G696" s="270"/>
      <c r="H696" s="270"/>
      <c r="I696" s="270"/>
      <c r="J696" s="270"/>
      <c r="K696" s="270"/>
      <c r="L696" s="270"/>
      <c r="M696" s="270"/>
      <c r="N696" s="270"/>
      <c r="O696" s="270"/>
      <c r="P696" s="183" t="s">
        <v>1008</v>
      </c>
      <c r="Q696" s="183"/>
      <c r="R696" s="183"/>
      <c r="S696" s="190">
        <f>T$208*1000/$AH$264</f>
        <v>0.5591551246537396</v>
      </c>
      <c r="T696" s="190"/>
      <c r="U696" s="190"/>
      <c r="V696" s="190"/>
      <c r="W696" s="190">
        <f>X208*1000/$AH$249</f>
        <v>0</v>
      </c>
      <c r="X696" s="190"/>
      <c r="Y696" s="190"/>
      <c r="Z696" s="190"/>
      <c r="AA696" s="190">
        <f>AB$208*1000/$AH$264</f>
        <v>0.5591551246537396</v>
      </c>
      <c r="AB696" s="190"/>
      <c r="AC696" s="190"/>
      <c r="AD696" s="190"/>
      <c r="AH696" s="27"/>
      <c r="AJ696" s="27"/>
      <c r="AL696" s="58"/>
      <c r="AM696" s="58"/>
      <c r="AQ696" s="29"/>
    </row>
    <row r="697" spans="2:43" ht="12.75" customHeight="1">
      <c r="B697" s="4"/>
      <c r="C697" s="4"/>
      <c r="D697" s="314"/>
      <c r="E697" s="315"/>
      <c r="F697" s="270"/>
      <c r="G697" s="270"/>
      <c r="H697" s="270"/>
      <c r="I697" s="270"/>
      <c r="J697" s="270"/>
      <c r="K697" s="270"/>
      <c r="L697" s="270"/>
      <c r="M697" s="270"/>
      <c r="N697" s="270"/>
      <c r="O697" s="270"/>
      <c r="P697" s="183" t="s">
        <v>1010</v>
      </c>
      <c r="Q697" s="183"/>
      <c r="R697" s="183"/>
      <c r="S697" s="190">
        <f>T$208*1000/$AH$265</f>
        <v>-0.5591551246537396</v>
      </c>
      <c r="T697" s="190"/>
      <c r="U697" s="190"/>
      <c r="V697" s="190"/>
      <c r="W697" s="190">
        <f>X208*1000/$AH$250</f>
        <v>0</v>
      </c>
      <c r="X697" s="190"/>
      <c r="Y697" s="190"/>
      <c r="Z697" s="190"/>
      <c r="AA697" s="190">
        <f>AB$208*1000/$AH$265</f>
        <v>-0.5591551246537396</v>
      </c>
      <c r="AB697" s="190"/>
      <c r="AC697" s="190"/>
      <c r="AD697" s="190"/>
      <c r="AH697" s="27"/>
      <c r="AJ697" s="27"/>
      <c r="AL697" s="58"/>
      <c r="AM697" s="58"/>
      <c r="AQ697" s="29"/>
    </row>
    <row r="698" spans="2:43" ht="12.75" customHeight="1">
      <c r="B698" s="4"/>
      <c r="C698" s="4"/>
      <c r="D698" s="314"/>
      <c r="E698" s="315"/>
      <c r="F698" s="270" t="s">
        <v>977</v>
      </c>
      <c r="G698" s="270"/>
      <c r="H698" s="270"/>
      <c r="I698" s="270"/>
      <c r="J698" s="270"/>
      <c r="K698" s="270"/>
      <c r="L698" s="270"/>
      <c r="M698" s="270"/>
      <c r="N698" s="270"/>
      <c r="O698" s="270"/>
      <c r="P698" s="183" t="s">
        <v>1008</v>
      </c>
      <c r="Q698" s="183"/>
      <c r="R698" s="183"/>
      <c r="S698" s="190">
        <f>M567</f>
        <v>2.614887783351385</v>
      </c>
      <c r="T698" s="190"/>
      <c r="U698" s="190"/>
      <c r="V698" s="190"/>
      <c r="W698" s="190">
        <f>Q567</f>
        <v>0.3063471065218346</v>
      </c>
      <c r="X698" s="190"/>
      <c r="Y698" s="190"/>
      <c r="Z698" s="190"/>
      <c r="AA698" s="190">
        <f>U567</f>
        <v>2.614887783351385</v>
      </c>
      <c r="AB698" s="190"/>
      <c r="AC698" s="190"/>
      <c r="AD698" s="190"/>
      <c r="AH698" s="27"/>
      <c r="AJ698" s="27"/>
      <c r="AL698" s="58"/>
      <c r="AM698" s="58"/>
      <c r="AQ698" s="29"/>
    </row>
    <row r="699" spans="2:43" ht="12.75" customHeight="1">
      <c r="B699" s="4"/>
      <c r="C699" s="4"/>
      <c r="D699" s="314"/>
      <c r="E699" s="315"/>
      <c r="F699" s="270"/>
      <c r="G699" s="270"/>
      <c r="H699" s="270"/>
      <c r="I699" s="270"/>
      <c r="J699" s="270"/>
      <c r="K699" s="270"/>
      <c r="L699" s="270"/>
      <c r="M699" s="270"/>
      <c r="N699" s="270"/>
      <c r="O699" s="270"/>
      <c r="P699" s="183" t="s">
        <v>1010</v>
      </c>
      <c r="Q699" s="183"/>
      <c r="R699" s="183"/>
      <c r="S699" s="190">
        <f>M568</f>
        <v>0.3076338568648689</v>
      </c>
      <c r="T699" s="190"/>
      <c r="U699" s="190"/>
      <c r="V699" s="190"/>
      <c r="W699" s="190">
        <f>Q568</f>
        <v>2.6039504054355938</v>
      </c>
      <c r="X699" s="190"/>
      <c r="Y699" s="190"/>
      <c r="Z699" s="190"/>
      <c r="AA699" s="190">
        <f>U568</f>
        <v>0.3076338568648689</v>
      </c>
      <c r="AB699" s="190"/>
      <c r="AC699" s="190"/>
      <c r="AD699" s="190"/>
      <c r="AH699" s="27"/>
      <c r="AJ699" s="27"/>
      <c r="AL699" s="58"/>
      <c r="AM699" s="58"/>
      <c r="AQ699" s="29"/>
    </row>
    <row r="700" spans="2:43" ht="12.75" customHeight="1">
      <c r="B700" s="4"/>
      <c r="C700" s="4"/>
      <c r="D700" s="314"/>
      <c r="E700" s="315"/>
      <c r="F700" s="270" t="s">
        <v>969</v>
      </c>
      <c r="G700" s="270"/>
      <c r="H700" s="270"/>
      <c r="I700" s="270"/>
      <c r="J700" s="270"/>
      <c r="K700" s="270"/>
      <c r="L700" s="270"/>
      <c r="M700" s="270"/>
      <c r="N700" s="270"/>
      <c r="O700" s="270"/>
      <c r="P700" s="183" t="s">
        <v>1008</v>
      </c>
      <c r="Q700" s="183"/>
      <c r="R700" s="183"/>
      <c r="S700" s="190">
        <f>T$209*1000/$AH$264</f>
        <v>5.896500664819944</v>
      </c>
      <c r="T700" s="190"/>
      <c r="U700" s="190"/>
      <c r="V700" s="190"/>
      <c r="W700" s="190">
        <f>X$209*1000/$AH$249</f>
        <v>-6.478213296398891</v>
      </c>
      <c r="X700" s="190"/>
      <c r="Y700" s="190"/>
      <c r="Z700" s="190"/>
      <c r="AA700" s="190">
        <f>AB$209*1000/$AH$264</f>
        <v>5.896500664819944</v>
      </c>
      <c r="AB700" s="190"/>
      <c r="AC700" s="190"/>
      <c r="AD700" s="190"/>
      <c r="AH700" s="27"/>
      <c r="AJ700" s="27"/>
      <c r="AL700" s="58"/>
      <c r="AM700" s="58"/>
      <c r="AQ700" s="29"/>
    </row>
    <row r="701" spans="2:45" ht="12.75" customHeight="1">
      <c r="B701" s="4"/>
      <c r="C701" s="4"/>
      <c r="D701" s="314"/>
      <c r="E701" s="315"/>
      <c r="F701" s="270"/>
      <c r="G701" s="270"/>
      <c r="H701" s="270"/>
      <c r="I701" s="270"/>
      <c r="J701" s="270"/>
      <c r="K701" s="270"/>
      <c r="L701" s="270"/>
      <c r="M701" s="270"/>
      <c r="N701" s="270"/>
      <c r="O701" s="270"/>
      <c r="P701" s="183" t="s">
        <v>1010</v>
      </c>
      <c r="Q701" s="183"/>
      <c r="R701" s="183"/>
      <c r="S701" s="190">
        <f>T$209*1000/$AH$265</f>
        <v>-5.896500664819944</v>
      </c>
      <c r="T701" s="190"/>
      <c r="U701" s="190"/>
      <c r="V701" s="190"/>
      <c r="W701" s="190">
        <f>X$209*1000/$AH$250</f>
        <v>6.478213296398891</v>
      </c>
      <c r="X701" s="190"/>
      <c r="Y701" s="190"/>
      <c r="Z701" s="190"/>
      <c r="AA701" s="190">
        <f>AB$209*1000/$AH$265</f>
        <v>-5.896500664819944</v>
      </c>
      <c r="AB701" s="190"/>
      <c r="AC701" s="190"/>
      <c r="AD701" s="190"/>
      <c r="AH701" s="27"/>
      <c r="AJ701" s="27"/>
      <c r="AL701" s="58"/>
      <c r="AM701" s="58"/>
      <c r="AQ701" s="29"/>
      <c r="AS701" s="36"/>
    </row>
    <row r="702" spans="2:43" ht="12.75" customHeight="1">
      <c r="B702" s="4"/>
      <c r="C702" s="4"/>
      <c r="D702" s="314"/>
      <c r="E702" s="315"/>
      <c r="F702" s="270" t="s">
        <v>971</v>
      </c>
      <c r="G702" s="270"/>
      <c r="H702" s="270"/>
      <c r="I702" s="270"/>
      <c r="J702" s="270"/>
      <c r="K702" s="270"/>
      <c r="L702" s="270"/>
      <c r="M702" s="270"/>
      <c r="N702" s="270"/>
      <c r="O702" s="270"/>
      <c r="P702" s="183" t="s">
        <v>1008</v>
      </c>
      <c r="Q702" s="183"/>
      <c r="R702" s="183"/>
      <c r="S702" s="190">
        <f>T$210*1000/$AH$264</f>
        <v>0.13556094182825484</v>
      </c>
      <c r="T702" s="190"/>
      <c r="U702" s="190"/>
      <c r="V702" s="190"/>
      <c r="W702" s="190">
        <f>X210*1000/$AH$249</f>
        <v>0</v>
      </c>
      <c r="X702" s="190"/>
      <c r="Y702" s="190"/>
      <c r="Z702" s="190"/>
      <c r="AA702" s="190">
        <f>AB$210*1000/$AH$264</f>
        <v>0.13556094182825484</v>
      </c>
      <c r="AB702" s="190"/>
      <c r="AC702" s="190"/>
      <c r="AD702" s="190"/>
      <c r="AH702" s="27"/>
      <c r="AJ702" s="27"/>
      <c r="AL702" s="58"/>
      <c r="AM702" s="58"/>
      <c r="AQ702" s="29"/>
    </row>
    <row r="703" spans="2:43" ht="12.75" customHeight="1">
      <c r="B703" s="4"/>
      <c r="C703" s="4"/>
      <c r="D703" s="314"/>
      <c r="E703" s="315"/>
      <c r="F703" s="270"/>
      <c r="G703" s="270"/>
      <c r="H703" s="270"/>
      <c r="I703" s="270"/>
      <c r="J703" s="270"/>
      <c r="K703" s="270"/>
      <c r="L703" s="270"/>
      <c r="M703" s="270"/>
      <c r="N703" s="270"/>
      <c r="O703" s="270"/>
      <c r="P703" s="183" t="s">
        <v>1010</v>
      </c>
      <c r="Q703" s="183"/>
      <c r="R703" s="183"/>
      <c r="S703" s="190">
        <f>T$210*1000/$AH$265</f>
        <v>-0.13556094182825484</v>
      </c>
      <c r="T703" s="190"/>
      <c r="U703" s="190"/>
      <c r="V703" s="190"/>
      <c r="W703" s="190">
        <f>X210*1000/$AH$250</f>
        <v>0</v>
      </c>
      <c r="X703" s="190"/>
      <c r="Y703" s="190"/>
      <c r="Z703" s="190"/>
      <c r="AA703" s="190">
        <f>AB$210*1000/$AH$265</f>
        <v>-0.13556094182825484</v>
      </c>
      <c r="AB703" s="190"/>
      <c r="AC703" s="190"/>
      <c r="AD703" s="190"/>
      <c r="AH703" s="27"/>
      <c r="AJ703" s="27"/>
      <c r="AL703" s="58" t="s">
        <v>323</v>
      </c>
      <c r="AM703" s="58"/>
      <c r="AQ703" s="29"/>
    </row>
    <row r="704" spans="2:43" ht="12.75" customHeight="1">
      <c r="B704" s="4"/>
      <c r="C704" s="4"/>
      <c r="D704" s="314"/>
      <c r="E704" s="315"/>
      <c r="F704" s="270" t="s">
        <v>972</v>
      </c>
      <c r="G704" s="270"/>
      <c r="H704" s="270"/>
      <c r="I704" s="270"/>
      <c r="J704" s="270"/>
      <c r="K704" s="270"/>
      <c r="L704" s="270"/>
      <c r="M704" s="270"/>
      <c r="N704" s="270"/>
      <c r="O704" s="270"/>
      <c r="P704" s="183" t="s">
        <v>1008</v>
      </c>
      <c r="Q704" s="183"/>
      <c r="R704" s="183"/>
      <c r="S704" s="190">
        <f>T$211*1000/$AH$264</f>
        <v>0</v>
      </c>
      <c r="T704" s="190"/>
      <c r="U704" s="190"/>
      <c r="V704" s="190"/>
      <c r="W704" s="190">
        <f>X211*1000/$AH$249</f>
        <v>0</v>
      </c>
      <c r="X704" s="190"/>
      <c r="Y704" s="190"/>
      <c r="Z704" s="190"/>
      <c r="AA704" s="190">
        <f>AB$211*1000/$AH$264</f>
        <v>0</v>
      </c>
      <c r="AB704" s="190"/>
      <c r="AC704" s="190"/>
      <c r="AD704" s="190"/>
      <c r="AH704" s="27"/>
      <c r="AJ704" s="27"/>
      <c r="AL704" s="58"/>
      <c r="AM704" s="58"/>
      <c r="AQ704" s="29"/>
    </row>
    <row r="705" spans="2:43" ht="12.75" customHeight="1">
      <c r="B705" s="4"/>
      <c r="C705" s="4"/>
      <c r="D705" s="314"/>
      <c r="E705" s="315"/>
      <c r="F705" s="270"/>
      <c r="G705" s="270"/>
      <c r="H705" s="270"/>
      <c r="I705" s="270"/>
      <c r="J705" s="270"/>
      <c r="K705" s="270"/>
      <c r="L705" s="270"/>
      <c r="M705" s="270"/>
      <c r="N705" s="270"/>
      <c r="O705" s="270"/>
      <c r="P705" s="183" t="s">
        <v>1010</v>
      </c>
      <c r="Q705" s="183"/>
      <c r="R705" s="183"/>
      <c r="S705" s="190">
        <f>T$211*1000/$AH$265</f>
        <v>0</v>
      </c>
      <c r="T705" s="190"/>
      <c r="U705" s="190"/>
      <c r="V705" s="190"/>
      <c r="W705" s="190">
        <f>X211*1000/$AH$250</f>
        <v>0</v>
      </c>
      <c r="X705" s="190"/>
      <c r="Y705" s="190"/>
      <c r="Z705" s="190"/>
      <c r="AA705" s="190">
        <f>AB$211*1000/$AH$265</f>
        <v>0</v>
      </c>
      <c r="AB705" s="190"/>
      <c r="AC705" s="190"/>
      <c r="AD705" s="190"/>
      <c r="AH705" s="27"/>
      <c r="AJ705" s="27"/>
      <c r="AL705" s="58"/>
      <c r="AM705" s="58"/>
      <c r="AQ705" s="29"/>
    </row>
    <row r="706" spans="2:43" ht="12.75" customHeight="1">
      <c r="B706" s="4"/>
      <c r="C706" s="4"/>
      <c r="D706" s="314"/>
      <c r="E706" s="315"/>
      <c r="F706" s="270" t="s">
        <v>980</v>
      </c>
      <c r="G706" s="270"/>
      <c r="H706" s="270"/>
      <c r="I706" s="270"/>
      <c r="J706" s="270"/>
      <c r="K706" s="270"/>
      <c r="L706" s="270"/>
      <c r="M706" s="270"/>
      <c r="N706" s="270"/>
      <c r="O706" s="270"/>
      <c r="P706" s="183" t="s">
        <v>1008</v>
      </c>
      <c r="Q706" s="183"/>
      <c r="R706" s="183"/>
      <c r="S706" s="190">
        <f>T$212*1000/$AH$264</f>
        <v>0.051868421052631584</v>
      </c>
      <c r="T706" s="190"/>
      <c r="U706" s="190"/>
      <c r="V706" s="190"/>
      <c r="W706" s="190">
        <f>X212*1000/$AH$249</f>
        <v>0</v>
      </c>
      <c r="X706" s="190"/>
      <c r="Y706" s="190"/>
      <c r="Z706" s="190"/>
      <c r="AA706" s="190">
        <f>AB$212*1000/$AH$264</f>
        <v>0.051868421052631584</v>
      </c>
      <c r="AB706" s="190"/>
      <c r="AC706" s="190"/>
      <c r="AD706" s="190"/>
      <c r="AH706" s="27"/>
      <c r="AJ706" s="27"/>
      <c r="AL706" s="58"/>
      <c r="AM706" s="58"/>
      <c r="AQ706" s="29"/>
    </row>
    <row r="707" spans="2:43" ht="12.75" customHeight="1">
      <c r="B707" s="4"/>
      <c r="C707" s="4"/>
      <c r="D707" s="314"/>
      <c r="E707" s="315"/>
      <c r="F707" s="270"/>
      <c r="G707" s="270"/>
      <c r="H707" s="270"/>
      <c r="I707" s="270"/>
      <c r="J707" s="270"/>
      <c r="K707" s="270"/>
      <c r="L707" s="270"/>
      <c r="M707" s="270"/>
      <c r="N707" s="270"/>
      <c r="O707" s="270"/>
      <c r="P707" s="183" t="s">
        <v>1010</v>
      </c>
      <c r="Q707" s="183"/>
      <c r="R707" s="183"/>
      <c r="S707" s="190">
        <f>T$212*1000/$AH$265</f>
        <v>-0.051868421052631584</v>
      </c>
      <c r="T707" s="190"/>
      <c r="U707" s="190"/>
      <c r="V707" s="190"/>
      <c r="W707" s="190">
        <f>X212*1000/$AH$250</f>
        <v>0</v>
      </c>
      <c r="X707" s="190"/>
      <c r="Y707" s="190"/>
      <c r="Z707" s="190"/>
      <c r="AA707" s="190">
        <f>AB$212*1000/$AH$265</f>
        <v>-0.051868421052631584</v>
      </c>
      <c r="AB707" s="190"/>
      <c r="AC707" s="190"/>
      <c r="AD707" s="190"/>
      <c r="AH707" s="27"/>
      <c r="AJ707" s="27"/>
      <c r="AL707" s="58"/>
      <c r="AM707" s="58"/>
      <c r="AQ707" s="29"/>
    </row>
    <row r="708" spans="2:43" ht="12.75" customHeight="1">
      <c r="B708" s="4"/>
      <c r="C708" s="4"/>
      <c r="D708" s="314"/>
      <c r="E708" s="315"/>
      <c r="F708" s="270" t="s">
        <v>1338</v>
      </c>
      <c r="G708" s="270"/>
      <c r="H708" s="270"/>
      <c r="I708" s="270"/>
      <c r="J708" s="270"/>
      <c r="K708" s="270"/>
      <c r="L708" s="270"/>
      <c r="M708" s="270"/>
      <c r="N708" s="270"/>
      <c r="O708" s="270"/>
      <c r="P708" s="183" t="s">
        <v>1008</v>
      </c>
      <c r="Q708" s="183"/>
      <c r="R708" s="183"/>
      <c r="S708" s="190">
        <f>L475</f>
        <v>-7.26306642340303</v>
      </c>
      <c r="T708" s="190"/>
      <c r="U708" s="190"/>
      <c r="V708" s="190"/>
      <c r="W708" s="190">
        <f>P475</f>
        <v>-9.367400038327888</v>
      </c>
      <c r="X708" s="190"/>
      <c r="Y708" s="190"/>
      <c r="Z708" s="190"/>
      <c r="AA708" s="190">
        <f>T475</f>
        <v>-7.26306642340303</v>
      </c>
      <c r="AB708" s="190"/>
      <c r="AC708" s="190"/>
      <c r="AD708" s="190"/>
      <c r="AH708" s="27"/>
      <c r="AJ708" s="27"/>
      <c r="AL708" s="58"/>
      <c r="AM708" s="58"/>
      <c r="AQ708" s="29"/>
    </row>
    <row r="709" spans="2:43" ht="12.75" customHeight="1">
      <c r="B709" s="4"/>
      <c r="C709" s="4"/>
      <c r="D709" s="314"/>
      <c r="E709" s="315"/>
      <c r="F709" s="270"/>
      <c r="G709" s="270"/>
      <c r="H709" s="270"/>
      <c r="I709" s="270"/>
      <c r="J709" s="270"/>
      <c r="K709" s="270"/>
      <c r="L709" s="270"/>
      <c r="M709" s="270"/>
      <c r="N709" s="270"/>
      <c r="O709" s="270"/>
      <c r="P709" s="183" t="s">
        <v>1010</v>
      </c>
      <c r="Q709" s="183"/>
      <c r="R709" s="183"/>
      <c r="S709" s="190">
        <f>L476</f>
        <v>-9.363230208483424</v>
      </c>
      <c r="T709" s="190"/>
      <c r="U709" s="190"/>
      <c r="V709" s="190"/>
      <c r="W709" s="190">
        <f>P476</f>
        <v>-7.266300964310418</v>
      </c>
      <c r="X709" s="190"/>
      <c r="Y709" s="190"/>
      <c r="Z709" s="190"/>
      <c r="AA709" s="190">
        <f>T476</f>
        <v>-9.363230208483424</v>
      </c>
      <c r="AB709" s="190"/>
      <c r="AC709" s="190"/>
      <c r="AD709" s="190"/>
      <c r="AH709" s="27"/>
      <c r="AJ709" s="27"/>
      <c r="AL709" s="58"/>
      <c r="AM709" s="58"/>
      <c r="AQ709" s="29"/>
    </row>
    <row r="710" spans="2:43" ht="12.75" customHeight="1">
      <c r="B710" s="4"/>
      <c r="C710" s="4"/>
      <c r="D710" s="314"/>
      <c r="E710" s="315"/>
      <c r="F710" s="270" t="s">
        <v>1407</v>
      </c>
      <c r="G710" s="270"/>
      <c r="H710" s="270"/>
      <c r="I710" s="270"/>
      <c r="J710" s="270"/>
      <c r="K710" s="270"/>
      <c r="L710" s="270"/>
      <c r="M710" s="270"/>
      <c r="N710" s="270"/>
      <c r="O710" s="270"/>
      <c r="P710" s="183" t="s">
        <v>1008</v>
      </c>
      <c r="Q710" s="183"/>
      <c r="R710" s="183"/>
      <c r="S710" s="190">
        <f>L636</f>
        <v>-5.970364922304961</v>
      </c>
      <c r="T710" s="190"/>
      <c r="U710" s="190"/>
      <c r="V710" s="190"/>
      <c r="W710" s="190">
        <f>P636</f>
        <v>-7.705709148629879</v>
      </c>
      <c r="X710" s="190"/>
      <c r="Y710" s="190"/>
      <c r="Z710" s="190"/>
      <c r="AA710" s="190">
        <f>T636</f>
        <v>-5.970364922304961</v>
      </c>
      <c r="AB710" s="190"/>
      <c r="AC710" s="190"/>
      <c r="AD710" s="190"/>
      <c r="AH710" s="27"/>
      <c r="AJ710" s="27"/>
      <c r="AL710" s="58"/>
      <c r="AM710" s="58"/>
      <c r="AQ710" s="29"/>
    </row>
    <row r="711" spans="2:43" ht="12.75" customHeight="1">
      <c r="B711" s="4" t="s">
        <v>274</v>
      </c>
      <c r="C711" s="4"/>
      <c r="D711" s="316"/>
      <c r="E711" s="317"/>
      <c r="F711" s="270"/>
      <c r="G711" s="270"/>
      <c r="H711" s="270"/>
      <c r="I711" s="270"/>
      <c r="J711" s="270"/>
      <c r="K711" s="270"/>
      <c r="L711" s="270"/>
      <c r="M711" s="270"/>
      <c r="N711" s="270"/>
      <c r="O711" s="270"/>
      <c r="P711" s="183" t="s">
        <v>1010</v>
      </c>
      <c r="Q711" s="183"/>
      <c r="R711" s="183"/>
      <c r="S711" s="190">
        <f>L637</f>
        <v>-7.696735502248565</v>
      </c>
      <c r="T711" s="190"/>
      <c r="U711" s="190"/>
      <c r="V711" s="190"/>
      <c r="W711" s="190">
        <f>P637</f>
        <v>-5.977325788189533</v>
      </c>
      <c r="X711" s="190"/>
      <c r="Y711" s="190"/>
      <c r="Z711" s="190"/>
      <c r="AA711" s="190">
        <f>T637</f>
        <v>-7.696735502248565</v>
      </c>
      <c r="AB711" s="190"/>
      <c r="AC711" s="190"/>
      <c r="AD711" s="190"/>
      <c r="AH711" s="27"/>
      <c r="AJ711" s="27"/>
      <c r="AL711" s="58"/>
      <c r="AM711" s="58"/>
      <c r="AQ711" s="29"/>
    </row>
    <row r="712" spans="2:43" ht="12.75" customHeight="1">
      <c r="B712" s="4"/>
      <c r="C712" s="4"/>
      <c r="D712" s="63"/>
      <c r="E712" s="64"/>
      <c r="F712" s="64"/>
      <c r="G712" s="65"/>
      <c r="H712" s="65"/>
      <c r="I712" s="65"/>
      <c r="J712" s="65"/>
      <c r="K712" s="66"/>
      <c r="L712" s="66"/>
      <c r="M712" s="66"/>
      <c r="N712" s="65"/>
      <c r="O712" s="67"/>
      <c r="P712" s="183" t="s">
        <v>1008</v>
      </c>
      <c r="Q712" s="183"/>
      <c r="R712" s="183"/>
      <c r="S712" s="190">
        <f>S692+S708</f>
        <v>-6.228565038361479</v>
      </c>
      <c r="T712" s="190"/>
      <c r="U712" s="190"/>
      <c r="V712" s="190"/>
      <c r="W712" s="190">
        <f>W692+W708</f>
        <v>-9.885627185142292</v>
      </c>
      <c r="X712" s="190"/>
      <c r="Y712" s="190"/>
      <c r="Z712" s="190"/>
      <c r="AA712" s="190">
        <f>AA692+AA708</f>
        <v>-6.228565038361479</v>
      </c>
      <c r="AB712" s="190"/>
      <c r="AC712" s="190"/>
      <c r="AD712" s="190"/>
      <c r="AH712" s="27"/>
      <c r="AJ712" s="27"/>
      <c r="AL712" s="58"/>
      <c r="AM712" s="58"/>
      <c r="AQ712" s="29"/>
    </row>
    <row r="713" spans="2:43" ht="12.75" customHeight="1">
      <c r="B713" s="4"/>
      <c r="C713" s="4"/>
      <c r="D713" s="271" t="s">
        <v>1409</v>
      </c>
      <c r="E713" s="265"/>
      <c r="F713" s="265"/>
      <c r="G713" s="265"/>
      <c r="H713" s="265"/>
      <c r="I713" s="265"/>
      <c r="J713" s="265"/>
      <c r="K713" s="265"/>
      <c r="L713" s="265"/>
      <c r="M713" s="265"/>
      <c r="N713" s="265"/>
      <c r="O713" s="272"/>
      <c r="P713" s="183" t="s">
        <v>1010</v>
      </c>
      <c r="Q713" s="183"/>
      <c r="R713" s="183"/>
      <c r="S713" s="190">
        <f>S693+S709</f>
        <v>-10.397731593524975</v>
      </c>
      <c r="T713" s="190"/>
      <c r="U713" s="190"/>
      <c r="V713" s="190"/>
      <c r="W713" s="190">
        <f>W693+W709</f>
        <v>-6.748073817496014</v>
      </c>
      <c r="X713" s="190"/>
      <c r="Y713" s="190"/>
      <c r="Z713" s="190"/>
      <c r="AA713" s="190">
        <f>AA693+AA709</f>
        <v>-10.397731593524975</v>
      </c>
      <c r="AB713" s="190"/>
      <c r="AC713" s="190"/>
      <c r="AD713" s="190"/>
      <c r="AH713" s="27"/>
      <c r="AJ713" s="27"/>
      <c r="AL713" s="58"/>
      <c r="AM713" s="58" t="s">
        <v>380</v>
      </c>
      <c r="AQ713" s="29"/>
    </row>
    <row r="714" spans="2:45" ht="12.75" customHeight="1">
      <c r="B714" s="4" t="s">
        <v>380</v>
      </c>
      <c r="C714" s="4"/>
      <c r="D714" s="258" t="s">
        <v>569</v>
      </c>
      <c r="E714" s="259"/>
      <c r="F714" s="259"/>
      <c r="G714" s="259"/>
      <c r="H714" s="259"/>
      <c r="I714" s="259"/>
      <c r="J714" s="259"/>
      <c r="K714" s="259"/>
      <c r="L714" s="259"/>
      <c r="M714" s="259"/>
      <c r="N714" s="259"/>
      <c r="O714" s="260"/>
      <c r="P714" s="183" t="s">
        <v>570</v>
      </c>
      <c r="Q714" s="183"/>
      <c r="R714" s="183"/>
      <c r="S714" s="190">
        <f>IF($T$677=30,15,IF($T$677=40,19,IF($T$677=50,21,IF($T$677=60,23,"ERROR"))))*-1</f>
        <v>-19</v>
      </c>
      <c r="T714" s="190"/>
      <c r="U714" s="190"/>
      <c r="V714" s="190"/>
      <c r="W714" s="190">
        <f>S714</f>
        <v>-19</v>
      </c>
      <c r="X714" s="190"/>
      <c r="Y714" s="190"/>
      <c r="Z714" s="190"/>
      <c r="AA714" s="190">
        <f>S714</f>
        <v>-19</v>
      </c>
      <c r="AB714" s="190"/>
      <c r="AC714" s="190"/>
      <c r="AD714" s="190"/>
      <c r="AH714" s="27"/>
      <c r="AJ714" s="27"/>
      <c r="AL714" s="58"/>
      <c r="AM714" s="58"/>
      <c r="AQ714" s="29"/>
      <c r="AS714" s="36"/>
    </row>
    <row r="715" spans="2:45" ht="12.75" customHeight="1">
      <c r="B715" s="4"/>
      <c r="C715" s="4"/>
      <c r="D715" s="71"/>
      <c r="E715" s="72"/>
      <c r="F715" s="72"/>
      <c r="G715" s="73"/>
      <c r="H715" s="73"/>
      <c r="I715" s="73"/>
      <c r="J715" s="73"/>
      <c r="K715" s="53"/>
      <c r="L715" s="53"/>
      <c r="M715" s="53"/>
      <c r="N715" s="73"/>
      <c r="O715" s="74"/>
      <c r="P715" s="183" t="s">
        <v>571</v>
      </c>
      <c r="Q715" s="183"/>
      <c r="R715" s="183"/>
      <c r="S715" s="190">
        <f>IF($T$677=30,1.2,IF($T$677=40,1.5,IF($T$677=50,1.8,IF($T$677=60,2,"ERROR"))))</f>
        <v>1.5</v>
      </c>
      <c r="T715" s="190"/>
      <c r="U715" s="190"/>
      <c r="V715" s="190"/>
      <c r="W715" s="190">
        <f>S715</f>
        <v>1.5</v>
      </c>
      <c r="X715" s="190"/>
      <c r="Y715" s="190"/>
      <c r="Z715" s="190"/>
      <c r="AA715" s="190">
        <f>S715</f>
        <v>1.5</v>
      </c>
      <c r="AB715" s="190"/>
      <c r="AC715" s="190"/>
      <c r="AD715" s="190"/>
      <c r="AH715" s="27"/>
      <c r="AJ715" s="27"/>
      <c r="AL715" s="58"/>
      <c r="AM715" s="58"/>
      <c r="AQ715" s="29"/>
      <c r="AS715" s="36"/>
    </row>
    <row r="716" spans="2:45" ht="12.75" customHeight="1">
      <c r="B716" s="4"/>
      <c r="C716" s="4" t="s">
        <v>380</v>
      </c>
      <c r="D716" s="63"/>
      <c r="E716" s="64"/>
      <c r="F716" s="64"/>
      <c r="G716" s="65"/>
      <c r="H716" s="65"/>
      <c r="I716" s="65"/>
      <c r="J716" s="65"/>
      <c r="K716" s="66"/>
      <c r="L716" s="66"/>
      <c r="M716" s="66"/>
      <c r="N716" s="65"/>
      <c r="O716" s="67"/>
      <c r="P716" s="183" t="s">
        <v>1008</v>
      </c>
      <c r="Q716" s="183"/>
      <c r="R716" s="183"/>
      <c r="S716" s="190">
        <f>S692+S694+S696+S698+S702+S710</f>
        <v>-1.4769245073746298</v>
      </c>
      <c r="T716" s="190"/>
      <c r="U716" s="190"/>
      <c r="V716" s="190"/>
      <c r="W716" s="190">
        <f>W692+W694+W696+W698+W702+W710</f>
        <v>-8.01776924432411</v>
      </c>
      <c r="X716" s="190"/>
      <c r="Y716" s="190"/>
      <c r="Z716" s="190"/>
      <c r="AA716" s="190">
        <f>AA692+AA694+AA696+AA698+AA702+AA710</f>
        <v>-1.4769245073746298</v>
      </c>
      <c r="AB716" s="190"/>
      <c r="AC716" s="190"/>
      <c r="AD716" s="190"/>
      <c r="AH716" s="27"/>
      <c r="AJ716" s="27"/>
      <c r="AL716" s="58"/>
      <c r="AM716" s="58"/>
      <c r="AQ716" s="29"/>
      <c r="AS716" s="36"/>
    </row>
    <row r="717" spans="2:43" ht="12.75" customHeight="1">
      <c r="B717" s="4"/>
      <c r="C717" s="4"/>
      <c r="D717" s="258" t="s">
        <v>572</v>
      </c>
      <c r="E717" s="259"/>
      <c r="F717" s="259"/>
      <c r="G717" s="259"/>
      <c r="H717" s="259"/>
      <c r="I717" s="259"/>
      <c r="J717" s="259"/>
      <c r="K717" s="259"/>
      <c r="L717" s="259"/>
      <c r="M717" s="259"/>
      <c r="N717" s="259"/>
      <c r="O717" s="260"/>
      <c r="P717" s="183" t="s">
        <v>1010</v>
      </c>
      <c r="Q717" s="183"/>
      <c r="R717" s="183"/>
      <c r="S717" s="190">
        <f>S693+S695+S697+S699+S703+S711</f>
        <v>-9.267654276962643</v>
      </c>
      <c r="T717" s="190"/>
      <c r="U717" s="190"/>
      <c r="V717" s="190"/>
      <c r="W717" s="190">
        <f>W693+W695+W697+W699+W703+W711</f>
        <v>-2.7549681805378725</v>
      </c>
      <c r="X717" s="190"/>
      <c r="Y717" s="190"/>
      <c r="Z717" s="190"/>
      <c r="AA717" s="190">
        <f>AA693+AA695+AA697+AA699+AA703+AA711</f>
        <v>-9.267654276962643</v>
      </c>
      <c r="AB717" s="190"/>
      <c r="AC717" s="190"/>
      <c r="AD717" s="190"/>
      <c r="AH717" s="27"/>
      <c r="AJ717" s="27"/>
      <c r="AL717" s="58"/>
      <c r="AM717" s="58"/>
      <c r="AQ717" s="29"/>
    </row>
    <row r="718" spans="2:43" ht="12.75" customHeight="1">
      <c r="B718" s="4"/>
      <c r="C718" s="4"/>
      <c r="D718" s="258" t="s">
        <v>573</v>
      </c>
      <c r="E718" s="259"/>
      <c r="F718" s="259"/>
      <c r="G718" s="259"/>
      <c r="H718" s="259"/>
      <c r="I718" s="259"/>
      <c r="J718" s="259"/>
      <c r="K718" s="259"/>
      <c r="L718" s="259"/>
      <c r="M718" s="259"/>
      <c r="N718" s="259"/>
      <c r="O718" s="260"/>
      <c r="P718" s="183" t="s">
        <v>570</v>
      </c>
      <c r="Q718" s="183"/>
      <c r="R718" s="183"/>
      <c r="S718" s="190">
        <f>IF($T$677=30,12,IF($T$677=40,15,IF($T$677=50,17,IF($T$677=60,19,"ERROR"))))*-1</f>
        <v>-15</v>
      </c>
      <c r="T718" s="190"/>
      <c r="U718" s="190"/>
      <c r="V718" s="190"/>
      <c r="W718" s="190">
        <f>S718</f>
        <v>-15</v>
      </c>
      <c r="X718" s="190"/>
      <c r="Y718" s="190"/>
      <c r="Z718" s="190"/>
      <c r="AA718" s="190">
        <f>S718</f>
        <v>-15</v>
      </c>
      <c r="AB718" s="190"/>
      <c r="AC718" s="190"/>
      <c r="AD718" s="190"/>
      <c r="AH718" s="27"/>
      <c r="AJ718" s="27"/>
      <c r="AL718" s="58"/>
      <c r="AM718" s="58"/>
      <c r="AQ718" s="29"/>
    </row>
    <row r="719" spans="2:43" ht="12.75" customHeight="1">
      <c r="B719" s="4"/>
      <c r="C719" s="4"/>
      <c r="D719" s="71"/>
      <c r="E719" s="72"/>
      <c r="F719" s="72"/>
      <c r="G719" s="73"/>
      <c r="H719" s="73"/>
      <c r="I719" s="73"/>
      <c r="J719" s="73"/>
      <c r="K719" s="53"/>
      <c r="L719" s="53"/>
      <c r="M719" s="53"/>
      <c r="N719" s="73"/>
      <c r="O719" s="74"/>
      <c r="P719" s="183" t="s">
        <v>571</v>
      </c>
      <c r="Q719" s="183"/>
      <c r="R719" s="183"/>
      <c r="S719" s="190">
        <v>0</v>
      </c>
      <c r="T719" s="190"/>
      <c r="U719" s="190"/>
      <c r="V719" s="190"/>
      <c r="W719" s="190">
        <f>S719</f>
        <v>0</v>
      </c>
      <c r="X719" s="190"/>
      <c r="Y719" s="190"/>
      <c r="Z719" s="190"/>
      <c r="AA719" s="190">
        <f>S719</f>
        <v>0</v>
      </c>
      <c r="AB719" s="190"/>
      <c r="AC719" s="190"/>
      <c r="AD719" s="190"/>
      <c r="AH719" s="27"/>
      <c r="AJ719" s="27"/>
      <c r="AL719" s="58"/>
      <c r="AM719" s="58"/>
      <c r="AQ719" s="29"/>
    </row>
    <row r="720" spans="2:43" ht="12.75" customHeight="1">
      <c r="B720" s="4"/>
      <c r="C720" s="4"/>
      <c r="D720" s="63"/>
      <c r="E720" s="64"/>
      <c r="F720" s="64"/>
      <c r="G720" s="65"/>
      <c r="H720" s="65"/>
      <c r="I720" s="65"/>
      <c r="J720" s="65"/>
      <c r="K720" s="66"/>
      <c r="L720" s="66"/>
      <c r="M720" s="66"/>
      <c r="N720" s="65"/>
      <c r="O720" s="67"/>
      <c r="P720" s="183" t="s">
        <v>1008</v>
      </c>
      <c r="Q720" s="183"/>
      <c r="R720" s="183"/>
      <c r="S720" s="190">
        <f>S692+S694+S696+S698+S700+S702+S710</f>
        <v>4.419576157445313</v>
      </c>
      <c r="T720" s="190"/>
      <c r="U720" s="190"/>
      <c r="V720" s="190"/>
      <c r="W720" s="190">
        <f>W692+W694+W696+W698+W700+W702+W710</f>
        <v>-14.495982540723002</v>
      </c>
      <c r="X720" s="190"/>
      <c r="Y720" s="190"/>
      <c r="Z720" s="190"/>
      <c r="AA720" s="190">
        <f>AA692+AA694+AA696+AA698+AA700+AA702+AA710</f>
        <v>4.419576157445313</v>
      </c>
      <c r="AB720" s="190"/>
      <c r="AC720" s="190"/>
      <c r="AD720" s="190"/>
      <c r="AH720" s="27"/>
      <c r="AJ720" s="27"/>
      <c r="AL720" s="58"/>
      <c r="AM720" s="58"/>
      <c r="AQ720" s="29"/>
    </row>
    <row r="721" spans="2:43" ht="12.75" customHeight="1">
      <c r="B721" s="4"/>
      <c r="C721" s="4"/>
      <c r="D721" s="258" t="s">
        <v>1226</v>
      </c>
      <c r="E721" s="259"/>
      <c r="F721" s="259"/>
      <c r="G721" s="259"/>
      <c r="H721" s="259"/>
      <c r="I721" s="259"/>
      <c r="J721" s="259"/>
      <c r="K721" s="259"/>
      <c r="L721" s="259"/>
      <c r="M721" s="259"/>
      <c r="N721" s="259"/>
      <c r="O721" s="260"/>
      <c r="P721" s="183" t="s">
        <v>1010</v>
      </c>
      <c r="Q721" s="183"/>
      <c r="R721" s="183"/>
      <c r="S721" s="190">
        <f>S697+S699+S701+S703+S709+S715</f>
        <v>-14.146813082920493</v>
      </c>
      <c r="T721" s="190"/>
      <c r="U721" s="190"/>
      <c r="V721" s="190"/>
      <c r="W721" s="190">
        <f>W697+W699+W701+W703+W709+W715</f>
        <v>3.315862737524067</v>
      </c>
      <c r="X721" s="190"/>
      <c r="Y721" s="190"/>
      <c r="Z721" s="190"/>
      <c r="AA721" s="190">
        <f>AA697+AA699+AA701+AA703+AA709+AA715</f>
        <v>-14.146813082920493</v>
      </c>
      <c r="AB721" s="190"/>
      <c r="AC721" s="190"/>
      <c r="AD721" s="190"/>
      <c r="AH721" s="27"/>
      <c r="AJ721" s="27"/>
      <c r="AL721" s="58"/>
      <c r="AM721" s="58"/>
      <c r="AQ721" s="29"/>
    </row>
    <row r="722" spans="2:43" ht="12.75" customHeight="1">
      <c r="B722" s="4"/>
      <c r="C722" s="4"/>
      <c r="D722" s="258" t="s">
        <v>574</v>
      </c>
      <c r="E722" s="259"/>
      <c r="F722" s="259"/>
      <c r="G722" s="259"/>
      <c r="H722" s="259"/>
      <c r="I722" s="259"/>
      <c r="J722" s="259"/>
      <c r="K722" s="259"/>
      <c r="L722" s="259"/>
      <c r="M722" s="259"/>
      <c r="N722" s="259"/>
      <c r="O722" s="260"/>
      <c r="P722" s="183" t="s">
        <v>570</v>
      </c>
      <c r="Q722" s="183"/>
      <c r="R722" s="183"/>
      <c r="S722" s="190">
        <f>IF($T$677=30,12,IF($T$677=40,15,IF($T$677=50,17,IF($T$677=60,19,"ERROR"))))*-1</f>
        <v>-15</v>
      </c>
      <c r="T722" s="190"/>
      <c r="U722" s="190"/>
      <c r="V722" s="190"/>
      <c r="W722" s="190">
        <f>S722</f>
        <v>-15</v>
      </c>
      <c r="X722" s="190"/>
      <c r="Y722" s="190"/>
      <c r="Z722" s="190"/>
      <c r="AA722" s="190">
        <f>S722</f>
        <v>-15</v>
      </c>
      <c r="AB722" s="190"/>
      <c r="AC722" s="190"/>
      <c r="AD722" s="190"/>
      <c r="AH722" s="27"/>
      <c r="AJ722" s="27"/>
      <c r="AL722" s="58"/>
      <c r="AM722" s="58"/>
      <c r="AQ722" s="29"/>
    </row>
    <row r="723" spans="2:43" ht="12.75" customHeight="1">
      <c r="B723" s="4"/>
      <c r="C723" s="4"/>
      <c r="D723" s="75"/>
      <c r="E723" s="72"/>
      <c r="F723" s="72"/>
      <c r="G723" s="73"/>
      <c r="H723" s="73"/>
      <c r="I723" s="73"/>
      <c r="J723" s="73"/>
      <c r="K723" s="53"/>
      <c r="L723" s="53"/>
      <c r="M723" s="53"/>
      <c r="N723" s="73"/>
      <c r="O723" s="74"/>
      <c r="P723" s="183" t="s">
        <v>571</v>
      </c>
      <c r="Q723" s="183"/>
      <c r="R723" s="183"/>
      <c r="S723" s="190">
        <f>$X$662</f>
        <v>2.250359141765158</v>
      </c>
      <c r="T723" s="190"/>
      <c r="U723" s="190"/>
      <c r="V723" s="190"/>
      <c r="W723" s="190">
        <f>$X$661</f>
        <v>2.250359141765158</v>
      </c>
      <c r="X723" s="190"/>
      <c r="Y723" s="190"/>
      <c r="Z723" s="190"/>
      <c r="AA723" s="190">
        <f>S723</f>
        <v>2.250359141765158</v>
      </c>
      <c r="AB723" s="190"/>
      <c r="AC723" s="190"/>
      <c r="AD723" s="190"/>
      <c r="AH723" s="27"/>
      <c r="AJ723" s="27"/>
      <c r="AL723" s="58"/>
      <c r="AM723" s="58"/>
      <c r="AQ723" s="29"/>
    </row>
    <row r="724" spans="2:43" ht="12.75" customHeight="1">
      <c r="B724" s="4"/>
      <c r="C724" s="4"/>
      <c r="D724" s="63"/>
      <c r="E724" s="64"/>
      <c r="F724" s="64"/>
      <c r="G724" s="65"/>
      <c r="H724" s="65"/>
      <c r="I724" s="65"/>
      <c r="J724" s="65"/>
      <c r="K724" s="66"/>
      <c r="L724" s="66"/>
      <c r="M724" s="66"/>
      <c r="N724" s="65"/>
      <c r="O724" s="67"/>
      <c r="P724" s="183" t="s">
        <v>1008</v>
      </c>
      <c r="Q724" s="183"/>
      <c r="R724" s="183"/>
      <c r="S724" s="190">
        <f>S692+S694+S696+S698+S700+S702+1/2*S706+S710</f>
        <v>4.445510367971629</v>
      </c>
      <c r="T724" s="190"/>
      <c r="U724" s="190"/>
      <c r="V724" s="190"/>
      <c r="W724" s="190">
        <f>W692+W694+W696+W698+W700+W702+1/2*W706+W710</f>
        <v>-14.495982540723002</v>
      </c>
      <c r="X724" s="190"/>
      <c r="Y724" s="190"/>
      <c r="Z724" s="190"/>
      <c r="AA724" s="190">
        <f>AA692+AA694+AA696+AA698+AA700+AA702+1/2*AA706+AA710</f>
        <v>4.445510367971629</v>
      </c>
      <c r="AB724" s="190"/>
      <c r="AC724" s="190"/>
      <c r="AD724" s="190"/>
      <c r="AH724" s="27"/>
      <c r="AJ724" s="27"/>
      <c r="AL724" s="58"/>
      <c r="AM724" s="58"/>
      <c r="AQ724" s="29"/>
    </row>
    <row r="725" spans="2:43" ht="12.75" customHeight="1">
      <c r="B725" s="4"/>
      <c r="C725" s="4"/>
      <c r="D725" s="258" t="s">
        <v>1410</v>
      </c>
      <c r="E725" s="259"/>
      <c r="F725" s="259"/>
      <c r="G725" s="259"/>
      <c r="H725" s="259"/>
      <c r="I725" s="259"/>
      <c r="J725" s="259"/>
      <c r="K725" s="259"/>
      <c r="L725" s="259"/>
      <c r="M725" s="259"/>
      <c r="N725" s="259"/>
      <c r="O725" s="260"/>
      <c r="P725" s="183" t="s">
        <v>1010</v>
      </c>
      <c r="Q725" s="183"/>
      <c r="R725" s="183"/>
      <c r="S725" s="190">
        <f>S693+S695+S697+S699+S701+S703+1/2*S707+S711</f>
        <v>-15.190089152308902</v>
      </c>
      <c r="T725" s="190"/>
      <c r="U725" s="190"/>
      <c r="V725" s="190"/>
      <c r="W725" s="190">
        <f>W693+W695+W697+W699+W701+W703+1/2*W707+W711</f>
        <v>3.723245115861018</v>
      </c>
      <c r="X725" s="190"/>
      <c r="Y725" s="190"/>
      <c r="Z725" s="190"/>
      <c r="AA725" s="190">
        <f>AA693+AA695+AA697+AA699+AA701+AA703+1/2*AA707+AA711</f>
        <v>-15.190089152308902</v>
      </c>
      <c r="AB725" s="190"/>
      <c r="AC725" s="190"/>
      <c r="AD725" s="190"/>
      <c r="AH725" s="27"/>
      <c r="AJ725" s="27"/>
      <c r="AL725" s="58"/>
      <c r="AM725" s="58"/>
      <c r="AQ725" s="29"/>
    </row>
    <row r="726" spans="2:43" ht="12.75" customHeight="1">
      <c r="B726" s="4"/>
      <c r="C726" s="4"/>
      <c r="D726" s="258" t="s">
        <v>575</v>
      </c>
      <c r="E726" s="259"/>
      <c r="F726" s="259"/>
      <c r="G726" s="259"/>
      <c r="H726" s="259"/>
      <c r="I726" s="259"/>
      <c r="J726" s="259"/>
      <c r="K726" s="259"/>
      <c r="L726" s="259"/>
      <c r="M726" s="259"/>
      <c r="N726" s="259"/>
      <c r="O726" s="260"/>
      <c r="P726" s="183" t="s">
        <v>576</v>
      </c>
      <c r="Q726" s="183"/>
      <c r="R726" s="183"/>
      <c r="S726" s="190">
        <f>IF($T$677=30,12,IF($T$677=40,15,IF($T$677=50,17,IF($T$677=60,19,"ERROR"))))*-1.25</f>
        <v>-18.75</v>
      </c>
      <c r="T726" s="190"/>
      <c r="U726" s="190"/>
      <c r="V726" s="190"/>
      <c r="W726" s="190">
        <f>S726</f>
        <v>-18.75</v>
      </c>
      <c r="X726" s="190"/>
      <c r="Y726" s="190"/>
      <c r="Z726" s="190"/>
      <c r="AA726" s="190">
        <f>S726</f>
        <v>-18.75</v>
      </c>
      <c r="AB726" s="190"/>
      <c r="AC726" s="190"/>
      <c r="AD726" s="190"/>
      <c r="AH726" s="27"/>
      <c r="AJ726" s="27"/>
      <c r="AL726" s="58"/>
      <c r="AM726" s="58"/>
      <c r="AQ726" s="29"/>
    </row>
    <row r="727" spans="2:43" ht="12.75" customHeight="1">
      <c r="B727" s="4"/>
      <c r="C727" s="4"/>
      <c r="D727" s="71" t="s">
        <v>42</v>
      </c>
      <c r="E727" s="72"/>
      <c r="F727" s="72"/>
      <c r="G727" s="73"/>
      <c r="H727" s="73"/>
      <c r="I727" s="73"/>
      <c r="J727" s="73"/>
      <c r="K727" s="53"/>
      <c r="L727" s="53"/>
      <c r="M727" s="53"/>
      <c r="N727" s="73"/>
      <c r="O727" s="74"/>
      <c r="P727" s="183" t="s">
        <v>577</v>
      </c>
      <c r="Q727" s="183"/>
      <c r="R727" s="183"/>
      <c r="S727" s="190">
        <f>$X$662</f>
        <v>2.250359141765158</v>
      </c>
      <c r="T727" s="190"/>
      <c r="U727" s="190"/>
      <c r="V727" s="190"/>
      <c r="W727" s="190">
        <f>$X$661</f>
        <v>2.250359141765158</v>
      </c>
      <c r="X727" s="190"/>
      <c r="Y727" s="190"/>
      <c r="Z727" s="190"/>
      <c r="AA727" s="190">
        <f>S727</f>
        <v>2.250359141765158</v>
      </c>
      <c r="AB727" s="190"/>
      <c r="AC727" s="190"/>
      <c r="AD727" s="190"/>
      <c r="AH727" s="27"/>
      <c r="AJ727" s="27"/>
      <c r="AL727" s="58"/>
      <c r="AM727" s="58"/>
      <c r="AQ727" s="29"/>
    </row>
    <row r="728" spans="2:43" ht="12.75" customHeight="1">
      <c r="B728" s="4"/>
      <c r="C728" s="4"/>
      <c r="D728" s="63"/>
      <c r="E728" s="64"/>
      <c r="F728" s="64"/>
      <c r="G728" s="65"/>
      <c r="H728" s="65"/>
      <c r="I728" s="65"/>
      <c r="J728" s="65"/>
      <c r="K728" s="66"/>
      <c r="L728" s="66"/>
      <c r="M728" s="66"/>
      <c r="N728" s="65"/>
      <c r="O728" s="67"/>
      <c r="P728" s="183" t="s">
        <v>1008</v>
      </c>
      <c r="Q728" s="183"/>
      <c r="R728" s="183"/>
      <c r="S728" s="190">
        <f>S692+S694+S696+S698+S706+S710</f>
        <v>-1.5606170281502525</v>
      </c>
      <c r="T728" s="190"/>
      <c r="U728" s="190"/>
      <c r="V728" s="190"/>
      <c r="W728" s="190">
        <f>W692+W694+W696+W698+W706+W710</f>
        <v>-8.01776924432411</v>
      </c>
      <c r="X728" s="190"/>
      <c r="Y728" s="190"/>
      <c r="Z728" s="190"/>
      <c r="AA728" s="190">
        <f>AA692+AA694+AA696+AA698+AA706+AA710</f>
        <v>-1.5606170281502525</v>
      </c>
      <c r="AB728" s="190"/>
      <c r="AC728" s="190"/>
      <c r="AD728" s="190"/>
      <c r="AH728" s="27"/>
      <c r="AJ728" s="27"/>
      <c r="AL728" s="58"/>
      <c r="AM728" s="58"/>
      <c r="AQ728" s="29"/>
    </row>
    <row r="729" spans="2:43" ht="12.75" customHeight="1">
      <c r="B729" s="4"/>
      <c r="C729" s="4"/>
      <c r="D729" s="258" t="s">
        <v>1411</v>
      </c>
      <c r="E729" s="259"/>
      <c r="F729" s="259"/>
      <c r="G729" s="259"/>
      <c r="H729" s="259"/>
      <c r="I729" s="259"/>
      <c r="J729" s="259"/>
      <c r="K729" s="259"/>
      <c r="L729" s="259"/>
      <c r="M729" s="259"/>
      <c r="N729" s="259"/>
      <c r="O729" s="260"/>
      <c r="P729" s="183" t="s">
        <v>1010</v>
      </c>
      <c r="Q729" s="183"/>
      <c r="R729" s="183"/>
      <c r="S729" s="190">
        <f>S693+S695+S697+S699+S707+S711</f>
        <v>-9.18396175618702</v>
      </c>
      <c r="T729" s="190"/>
      <c r="U729" s="190"/>
      <c r="V729" s="190"/>
      <c r="W729" s="190">
        <f>W693+W695+W697+W699+W707+W711</f>
        <v>-2.7549681805378725</v>
      </c>
      <c r="X729" s="190"/>
      <c r="Y729" s="190"/>
      <c r="Z729" s="190"/>
      <c r="AA729" s="190">
        <f>AA693+AA695+AA697+AA699+AA707+AA711</f>
        <v>-9.18396175618702</v>
      </c>
      <c r="AB729" s="190"/>
      <c r="AC729" s="190"/>
      <c r="AD729" s="190"/>
      <c r="AH729" s="27"/>
      <c r="AJ729" s="27"/>
      <c r="AL729" s="58"/>
      <c r="AM729" s="58"/>
      <c r="AQ729" s="29"/>
    </row>
    <row r="730" spans="2:43" ht="12.75" customHeight="1">
      <c r="B730" s="4"/>
      <c r="C730" s="4"/>
      <c r="D730" s="258" t="s">
        <v>578</v>
      </c>
      <c r="E730" s="259"/>
      <c r="F730" s="259"/>
      <c r="G730" s="259"/>
      <c r="H730" s="259"/>
      <c r="I730" s="259"/>
      <c r="J730" s="259"/>
      <c r="K730" s="259"/>
      <c r="L730" s="259"/>
      <c r="M730" s="259"/>
      <c r="N730" s="259"/>
      <c r="O730" s="260"/>
      <c r="P730" s="183" t="s">
        <v>576</v>
      </c>
      <c r="Q730" s="183"/>
      <c r="R730" s="183"/>
      <c r="S730" s="190">
        <f>IF($T$677=30,12,IF($T$677=40,15,IF($T$677=50,17,IF($T$677=60,19,"ERROR"))))*-1.25</f>
        <v>-18.75</v>
      </c>
      <c r="T730" s="190"/>
      <c r="U730" s="190"/>
      <c r="V730" s="190"/>
      <c r="W730" s="190">
        <f>S730</f>
        <v>-18.75</v>
      </c>
      <c r="X730" s="190"/>
      <c r="Y730" s="190"/>
      <c r="Z730" s="190"/>
      <c r="AA730" s="190">
        <f>S730</f>
        <v>-18.75</v>
      </c>
      <c r="AB730" s="190"/>
      <c r="AC730" s="190"/>
      <c r="AD730" s="190"/>
      <c r="AH730" s="27"/>
      <c r="AJ730" s="27"/>
      <c r="AL730" s="58"/>
      <c r="AM730" s="58"/>
      <c r="AQ730" s="29"/>
    </row>
    <row r="731" spans="2:43" ht="12.75" customHeight="1">
      <c r="B731" s="4"/>
      <c r="C731" s="4"/>
      <c r="D731" s="71"/>
      <c r="E731" s="72"/>
      <c r="F731" s="72"/>
      <c r="G731" s="73"/>
      <c r="H731" s="73"/>
      <c r="I731" s="73"/>
      <c r="J731" s="73"/>
      <c r="K731" s="53"/>
      <c r="L731" s="53"/>
      <c r="M731" s="53"/>
      <c r="N731" s="73"/>
      <c r="O731" s="74"/>
      <c r="P731" s="183" t="s">
        <v>577</v>
      </c>
      <c r="Q731" s="183"/>
      <c r="R731" s="183"/>
      <c r="S731" s="190">
        <f>$X$662</f>
        <v>2.250359141765158</v>
      </c>
      <c r="T731" s="190"/>
      <c r="U731" s="190"/>
      <c r="V731" s="190"/>
      <c r="W731" s="190">
        <f>$X$661</f>
        <v>2.250359141765158</v>
      </c>
      <c r="X731" s="190"/>
      <c r="Y731" s="190"/>
      <c r="Z731" s="190"/>
      <c r="AA731" s="190">
        <f>S731</f>
        <v>2.250359141765158</v>
      </c>
      <c r="AB731" s="190"/>
      <c r="AC731" s="190"/>
      <c r="AD731" s="190"/>
      <c r="AH731" s="27"/>
      <c r="AJ731" s="27"/>
      <c r="AL731" s="58"/>
      <c r="AM731" s="58"/>
      <c r="AQ731" s="29"/>
    </row>
    <row r="732" spans="2:43" ht="12.75" customHeight="1">
      <c r="B732" s="4"/>
      <c r="C732" s="4"/>
      <c r="D732" s="291" t="s">
        <v>1227</v>
      </c>
      <c r="E732" s="292"/>
      <c r="F732" s="292"/>
      <c r="G732" s="292"/>
      <c r="H732" s="292"/>
      <c r="I732" s="292"/>
      <c r="J732" s="292"/>
      <c r="K732" s="292"/>
      <c r="L732" s="292"/>
      <c r="M732" s="292"/>
      <c r="N732" s="292"/>
      <c r="O732" s="293"/>
      <c r="P732" s="183" t="s">
        <v>1008</v>
      </c>
      <c r="Q732" s="183"/>
      <c r="R732" s="183"/>
      <c r="S732" s="190">
        <f>S692+S694+S696+S698+S700+S704+S710</f>
        <v>4.284015215617059</v>
      </c>
      <c r="T732" s="190"/>
      <c r="U732" s="190"/>
      <c r="V732" s="190"/>
      <c r="W732" s="190">
        <f>W692+W694+W696+W698+W700+W704+W710</f>
        <v>-14.495982540723002</v>
      </c>
      <c r="X732" s="190"/>
      <c r="Y732" s="190"/>
      <c r="Z732" s="190"/>
      <c r="AA732" s="190">
        <f>AA692+AA694+AA696+AA698+AA700+AA704+AA710</f>
        <v>4.284015215617059</v>
      </c>
      <c r="AB732" s="190"/>
      <c r="AC732" s="190"/>
      <c r="AD732" s="190"/>
      <c r="AH732" s="27"/>
      <c r="AJ732" s="27"/>
      <c r="AL732" s="58"/>
      <c r="AM732" s="58"/>
      <c r="AQ732" s="29"/>
    </row>
    <row r="733" spans="2:43" ht="12.75" customHeight="1">
      <c r="B733" s="4"/>
      <c r="C733" s="4"/>
      <c r="D733" s="70" t="s">
        <v>579</v>
      </c>
      <c r="E733" s="68"/>
      <c r="F733" s="76"/>
      <c r="G733" s="68"/>
      <c r="H733" s="68"/>
      <c r="I733" s="68"/>
      <c r="J733" s="68"/>
      <c r="K733" s="62"/>
      <c r="L733" s="62"/>
      <c r="M733" s="62"/>
      <c r="N733" s="68"/>
      <c r="O733" s="69"/>
      <c r="P733" s="183" t="s">
        <v>1010</v>
      </c>
      <c r="Q733" s="183"/>
      <c r="R733" s="183"/>
      <c r="S733" s="190">
        <f>S693+S695+S697+S699+S701+S705+S711</f>
        <v>-15.028593999954332</v>
      </c>
      <c r="T733" s="190"/>
      <c r="U733" s="190"/>
      <c r="V733" s="190"/>
      <c r="W733" s="190">
        <f>W693+W695+W697+W699+W701+W705+W711</f>
        <v>3.723245115861018</v>
      </c>
      <c r="X733" s="190"/>
      <c r="Y733" s="190"/>
      <c r="Z733" s="190"/>
      <c r="AA733" s="190">
        <f>AA693+AA695+AA697+AA699+AA701+AA705+AA711</f>
        <v>-15.028593999954332</v>
      </c>
      <c r="AB733" s="190"/>
      <c r="AC733" s="190"/>
      <c r="AD733" s="190"/>
      <c r="AH733" s="27"/>
      <c r="AJ733" s="27"/>
      <c r="AL733" s="58"/>
      <c r="AM733" s="58"/>
      <c r="AQ733" s="29"/>
    </row>
    <row r="734" spans="2:43" ht="12.75" customHeight="1">
      <c r="B734" s="4"/>
      <c r="C734" s="4"/>
      <c r="D734" s="71"/>
      <c r="E734" s="72"/>
      <c r="F734" s="72"/>
      <c r="G734" s="73"/>
      <c r="H734" s="73"/>
      <c r="I734" s="73"/>
      <c r="J734" s="73"/>
      <c r="K734" s="53"/>
      <c r="L734" s="53"/>
      <c r="M734" s="53"/>
      <c r="N734" s="73"/>
      <c r="O734" s="74"/>
      <c r="P734" s="183" t="s">
        <v>580</v>
      </c>
      <c r="Q734" s="183"/>
      <c r="R734" s="183"/>
      <c r="S734" s="190">
        <f>S722*1.5</f>
        <v>-22.5</v>
      </c>
      <c r="T734" s="190"/>
      <c r="U734" s="190"/>
      <c r="V734" s="190"/>
      <c r="W734" s="190">
        <f>S734</f>
        <v>-22.5</v>
      </c>
      <c r="X734" s="190"/>
      <c r="Y734" s="190"/>
      <c r="Z734" s="190"/>
      <c r="AA734" s="190">
        <f>S734</f>
        <v>-22.5</v>
      </c>
      <c r="AB734" s="190"/>
      <c r="AC734" s="190"/>
      <c r="AD734" s="190"/>
      <c r="AH734" s="27"/>
      <c r="AJ734" s="27"/>
      <c r="AL734" s="58"/>
      <c r="AM734" s="58"/>
      <c r="AQ734" s="29"/>
    </row>
    <row r="735" spans="2:45" ht="12.75" customHeight="1">
      <c r="B735" s="4"/>
      <c r="C735" s="4"/>
      <c r="D735" s="58" t="s">
        <v>1326</v>
      </c>
      <c r="E735" s="58"/>
      <c r="H735" s="58" t="s">
        <v>1412</v>
      </c>
      <c r="I735" s="58"/>
      <c r="J735" s="58"/>
      <c r="K735" s="4"/>
      <c r="L735" s="4"/>
      <c r="M735" s="4"/>
      <c r="N735" s="4"/>
      <c r="O735" s="4"/>
      <c r="Q735" s="261">
        <f>IF($T$677=30,15,IF($T$677=40,19,IF($T$677=50,21,IF($T$677=60,23,"ERROR"))))*-1</f>
        <v>-19</v>
      </c>
      <c r="R735" s="261"/>
      <c r="S735" s="261"/>
      <c r="U735" s="27" t="s">
        <v>581</v>
      </c>
      <c r="W735" s="27" t="s">
        <v>582</v>
      </c>
      <c r="Z735" s="27" t="s">
        <v>581</v>
      </c>
      <c r="AB735" s="261">
        <f>IF($T$677=30,1.2,IF($T$677=40,1.5,IF($T$677=50,1.8,IF($T$677=60,2,"ERROR"))))</f>
        <v>1.5</v>
      </c>
      <c r="AC735" s="261"/>
      <c r="AD735" s="261"/>
      <c r="AE735" s="29" t="s">
        <v>385</v>
      </c>
      <c r="AH735" s="27"/>
      <c r="AI735" s="27"/>
      <c r="AJ735" s="27"/>
      <c r="AQ735" s="29"/>
      <c r="AR735" s="29"/>
      <c r="AS735" s="29"/>
    </row>
    <row r="736" spans="2:45" ht="12.75" customHeight="1">
      <c r="B736" s="4"/>
      <c r="C736" s="4"/>
      <c r="D736" s="4"/>
      <c r="E736" s="4"/>
      <c r="H736" s="4" t="s">
        <v>1001</v>
      </c>
      <c r="I736" s="4"/>
      <c r="J736" s="4"/>
      <c r="K736" s="4"/>
      <c r="L736" s="4"/>
      <c r="M736" s="4"/>
      <c r="N736" s="4"/>
      <c r="O736" s="4"/>
      <c r="Q736" s="261">
        <f>IF($T$677=30,12,IF($T$677=40,15,IF($T$677=50,17,IF($T$677=60,19,"ERROR"))))*-1</f>
        <v>-15</v>
      </c>
      <c r="R736" s="261"/>
      <c r="S736" s="261"/>
      <c r="U736" s="27" t="s">
        <v>583</v>
      </c>
      <c r="W736" s="27" t="s">
        <v>584</v>
      </c>
      <c r="Z736" s="27" t="s">
        <v>583</v>
      </c>
      <c r="AB736" s="261">
        <v>0</v>
      </c>
      <c r="AC736" s="261"/>
      <c r="AD736" s="261"/>
      <c r="AE736" s="29" t="s">
        <v>158</v>
      </c>
      <c r="AH736" s="27"/>
      <c r="AI736" s="27"/>
      <c r="AJ736" s="27"/>
      <c r="AQ736" s="29"/>
      <c r="AR736" s="29"/>
      <c r="AS736" s="29"/>
    </row>
    <row r="737" spans="2:45" ht="12.75" customHeight="1">
      <c r="B737" s="4"/>
      <c r="C737" s="4"/>
      <c r="D737" s="4"/>
      <c r="E737" s="4"/>
      <c r="H737" s="4" t="s">
        <v>1226</v>
      </c>
      <c r="I737" s="4"/>
      <c r="J737" s="4"/>
      <c r="K737" s="4"/>
      <c r="L737" s="4"/>
      <c r="M737" s="4"/>
      <c r="N737" s="4"/>
      <c r="O737" s="4"/>
      <c r="Q737" s="261">
        <f>IF($T$677=30,12,IF($T$677=40,15,IF($T$677=50,17,IF($T$677=60,19,"ERROR"))))*-1</f>
        <v>-15</v>
      </c>
      <c r="R737" s="261"/>
      <c r="S737" s="261"/>
      <c r="U737" s="27" t="s">
        <v>581</v>
      </c>
      <c r="W737" s="27" t="s">
        <v>582</v>
      </c>
      <c r="Z737" s="27" t="s">
        <v>581</v>
      </c>
      <c r="AB737" s="261">
        <f>$X$661</f>
        <v>2.250359141765158</v>
      </c>
      <c r="AC737" s="261"/>
      <c r="AD737" s="261"/>
      <c r="AE737" s="27" t="s">
        <v>555</v>
      </c>
      <c r="AF737" s="261">
        <f>$X$662</f>
        <v>2.250359141765158</v>
      </c>
      <c r="AG737" s="261"/>
      <c r="AH737" s="261"/>
      <c r="AI737" s="27" t="s">
        <v>423</v>
      </c>
      <c r="AJ737" s="29" t="s">
        <v>385</v>
      </c>
      <c r="AQ737" s="29"/>
      <c r="AR737" s="29"/>
      <c r="AS737" s="29"/>
    </row>
    <row r="738" spans="2:45" ht="12.75" customHeight="1">
      <c r="B738" s="4"/>
      <c r="C738" s="4"/>
      <c r="D738" s="4"/>
      <c r="E738" s="4"/>
      <c r="H738" s="4" t="s">
        <v>1413</v>
      </c>
      <c r="I738" s="4"/>
      <c r="J738" s="4"/>
      <c r="K738" s="4"/>
      <c r="L738" s="4"/>
      <c r="M738" s="4"/>
      <c r="N738" s="4"/>
      <c r="O738" s="4"/>
      <c r="Q738" s="261">
        <f>IF($T$677=30,12,IF($T$677=40,15,IF($T$677=50,17,IF($T$677=60,19,"ERROR"))))*-1.25</f>
        <v>-18.75</v>
      </c>
      <c r="R738" s="261"/>
      <c r="S738" s="261"/>
      <c r="U738" s="27" t="s">
        <v>585</v>
      </c>
      <c r="W738" s="27" t="s">
        <v>586</v>
      </c>
      <c r="Z738" s="27" t="s">
        <v>585</v>
      </c>
      <c r="AB738" s="261">
        <f>$X$661</f>
        <v>2.250359141765158</v>
      </c>
      <c r="AC738" s="261"/>
      <c r="AD738" s="261"/>
      <c r="AE738" s="27" t="s">
        <v>1048</v>
      </c>
      <c r="AF738" s="261">
        <f>$X$662</f>
        <v>2.250359141765158</v>
      </c>
      <c r="AG738" s="261"/>
      <c r="AH738" s="261"/>
      <c r="AI738" s="27" t="s">
        <v>587</v>
      </c>
      <c r="AJ738" s="29" t="s">
        <v>588</v>
      </c>
      <c r="AQ738" s="29"/>
      <c r="AR738" s="29"/>
      <c r="AS738" s="29"/>
    </row>
    <row r="739" spans="2:45" ht="12.75" customHeight="1">
      <c r="B739" s="4"/>
      <c r="C739" s="4"/>
      <c r="D739" s="4"/>
      <c r="E739" s="4"/>
      <c r="H739" s="4" t="s">
        <v>0</v>
      </c>
      <c r="I739" s="4"/>
      <c r="J739" s="4"/>
      <c r="K739" s="4"/>
      <c r="L739" s="4"/>
      <c r="M739" s="4"/>
      <c r="N739" s="4"/>
      <c r="O739" s="4"/>
      <c r="Q739" s="261">
        <f>Q737*1.5</f>
        <v>-22.5</v>
      </c>
      <c r="R739" s="261"/>
      <c r="S739" s="261"/>
      <c r="U739" s="27" t="s">
        <v>589</v>
      </c>
      <c r="W739" s="27" t="s">
        <v>590</v>
      </c>
      <c r="Z739" s="27" t="s">
        <v>589</v>
      </c>
      <c r="AB739" s="261">
        <f>$X$661</f>
        <v>2.250359141765158</v>
      </c>
      <c r="AC739" s="261"/>
      <c r="AD739" s="261"/>
      <c r="AE739" s="27" t="s">
        <v>1355</v>
      </c>
      <c r="AF739" s="261">
        <f>$X$662</f>
        <v>2.250359141765158</v>
      </c>
      <c r="AG739" s="261"/>
      <c r="AH739" s="261"/>
      <c r="AI739" s="27" t="s">
        <v>1118</v>
      </c>
      <c r="AJ739" s="29" t="s">
        <v>1116</v>
      </c>
      <c r="AQ739" s="29"/>
      <c r="AR739" s="29"/>
      <c r="AS739" s="29"/>
    </row>
    <row r="740" spans="2:43" ht="12.75" customHeight="1">
      <c r="B740" s="4"/>
      <c r="C740" s="4"/>
      <c r="D740" s="4"/>
      <c r="E740" s="4"/>
      <c r="F740" s="4"/>
      <c r="H740" s="4"/>
      <c r="I740" s="4"/>
      <c r="J740" s="4"/>
      <c r="K740" s="4"/>
      <c r="L740" s="4"/>
      <c r="M740" s="4"/>
      <c r="N740" s="4" t="s">
        <v>1280</v>
      </c>
      <c r="AH740" s="27"/>
      <c r="AQ740" s="29"/>
    </row>
    <row r="741" spans="1:12" ht="19.5" customHeight="1">
      <c r="A741" s="4"/>
      <c r="B741" s="4"/>
      <c r="C741" s="4"/>
      <c r="D741" s="4"/>
      <c r="E741" s="4"/>
      <c r="F741" s="4"/>
      <c r="G741" s="4"/>
      <c r="H741" s="4"/>
      <c r="I741" s="4"/>
      <c r="J741" s="4"/>
      <c r="K741" s="4"/>
      <c r="L741" s="4"/>
    </row>
    <row r="742" spans="2:43" ht="12.75" customHeight="1">
      <c r="B742" s="4"/>
      <c r="C742" s="4"/>
      <c r="D742" s="4" t="s">
        <v>1336</v>
      </c>
      <c r="E742" s="4"/>
      <c r="F742" s="4"/>
      <c r="G742" s="4"/>
      <c r="H742" s="4"/>
      <c r="I742" s="4"/>
      <c r="J742" s="4"/>
      <c r="K742" s="4"/>
      <c r="L742" s="4"/>
      <c r="M742" s="4"/>
      <c r="AH742" s="27"/>
      <c r="AQ742" s="29"/>
    </row>
    <row r="743" spans="2:43" ht="12.75" customHeight="1">
      <c r="B743" s="4"/>
      <c r="C743" s="4"/>
      <c r="D743" s="183" t="s">
        <v>917</v>
      </c>
      <c r="E743" s="183"/>
      <c r="F743" s="183"/>
      <c r="G743" s="183"/>
      <c r="H743" s="183"/>
      <c r="I743" s="183"/>
      <c r="J743" s="183"/>
      <c r="K743" s="183"/>
      <c r="L743" s="183"/>
      <c r="M743" s="183"/>
      <c r="N743" s="183"/>
      <c r="O743" s="183"/>
      <c r="P743" s="183"/>
      <c r="Q743" s="183"/>
      <c r="R743" s="183"/>
      <c r="S743" s="204" t="s">
        <v>460</v>
      </c>
      <c r="T743" s="204"/>
      <c r="U743" s="204"/>
      <c r="V743" s="204"/>
      <c r="W743" s="204" t="s">
        <v>461</v>
      </c>
      <c r="X743" s="204"/>
      <c r="Y743" s="204"/>
      <c r="Z743" s="204"/>
      <c r="AA743" s="204" t="s">
        <v>462</v>
      </c>
      <c r="AB743" s="204"/>
      <c r="AC743" s="204"/>
      <c r="AD743" s="204"/>
      <c r="AH743" s="27"/>
      <c r="AJ743" s="27"/>
      <c r="AL743" s="58"/>
      <c r="AM743" s="58"/>
      <c r="AQ743" s="29"/>
    </row>
    <row r="744" spans="2:43" ht="12.75" customHeight="1">
      <c r="B744" s="4"/>
      <c r="C744" s="4"/>
      <c r="D744" s="273" t="s">
        <v>1408</v>
      </c>
      <c r="E744" s="274"/>
      <c r="F744" s="270" t="s">
        <v>1</v>
      </c>
      <c r="G744" s="270"/>
      <c r="H744" s="270"/>
      <c r="I744" s="270"/>
      <c r="J744" s="270"/>
      <c r="K744" s="270"/>
      <c r="L744" s="270"/>
      <c r="M744" s="270"/>
      <c r="N744" s="270"/>
      <c r="O744" s="270"/>
      <c r="P744" s="183" t="s">
        <v>1008</v>
      </c>
      <c r="Q744" s="183"/>
      <c r="R744" s="183"/>
      <c r="S744" s="190">
        <f>T$221*1000/$AH$264</f>
        <v>1.0345013850415512</v>
      </c>
      <c r="T744" s="190"/>
      <c r="U744" s="190"/>
      <c r="V744" s="190"/>
      <c r="W744" s="190">
        <f>X221*1000/$AH$249</f>
        <v>-0.45760387811634345</v>
      </c>
      <c r="X744" s="190"/>
      <c r="Y744" s="190"/>
      <c r="Z744" s="190"/>
      <c r="AA744" s="190">
        <f>AB$221*1000/$AH$264</f>
        <v>1.0345013850415512</v>
      </c>
      <c r="AB744" s="190"/>
      <c r="AC744" s="190"/>
      <c r="AD744" s="190"/>
      <c r="AH744" s="27"/>
      <c r="AJ744" s="27"/>
      <c r="AL744" s="58"/>
      <c r="AM744" s="58"/>
      <c r="AQ744" s="29"/>
    </row>
    <row r="745" spans="2:43" ht="12.75" customHeight="1">
      <c r="B745" s="4"/>
      <c r="C745" s="4"/>
      <c r="D745" s="274"/>
      <c r="E745" s="274"/>
      <c r="F745" s="270"/>
      <c r="G745" s="270"/>
      <c r="H745" s="270"/>
      <c r="I745" s="270"/>
      <c r="J745" s="270"/>
      <c r="K745" s="270"/>
      <c r="L745" s="270"/>
      <c r="M745" s="270"/>
      <c r="N745" s="270"/>
      <c r="O745" s="270"/>
      <c r="P745" s="183" t="s">
        <v>1010</v>
      </c>
      <c r="Q745" s="183"/>
      <c r="R745" s="183"/>
      <c r="S745" s="190">
        <f>T$221*1000/$AH$265</f>
        <v>-1.0345013850415512</v>
      </c>
      <c r="T745" s="190"/>
      <c r="U745" s="190"/>
      <c r="V745" s="190"/>
      <c r="W745" s="190">
        <f>X221*1000/$AH$250</f>
        <v>0.45760387811634345</v>
      </c>
      <c r="X745" s="190"/>
      <c r="Y745" s="190"/>
      <c r="Z745" s="190"/>
      <c r="AA745" s="190">
        <f>AB$221*1000/$AH$265</f>
        <v>-1.0345013850415512</v>
      </c>
      <c r="AB745" s="190"/>
      <c r="AC745" s="190"/>
      <c r="AD745" s="190"/>
      <c r="AH745" s="27"/>
      <c r="AJ745" s="27"/>
      <c r="AL745" s="58"/>
      <c r="AM745" s="58"/>
      <c r="AQ745" s="29"/>
    </row>
    <row r="746" spans="2:43" ht="12.75" customHeight="1">
      <c r="B746" s="4"/>
      <c r="C746" s="4"/>
      <c r="D746" s="274"/>
      <c r="E746" s="274"/>
      <c r="F746" s="270" t="s">
        <v>921</v>
      </c>
      <c r="G746" s="270"/>
      <c r="H746" s="270"/>
      <c r="I746" s="270"/>
      <c r="J746" s="270"/>
      <c r="K746" s="270"/>
      <c r="L746" s="270"/>
      <c r="M746" s="270"/>
      <c r="N746" s="270"/>
      <c r="O746" s="270"/>
      <c r="P746" s="183" t="s">
        <v>1008</v>
      </c>
      <c r="Q746" s="183"/>
      <c r="R746" s="183"/>
      <c r="S746" s="190">
        <f>T$222*1000/$AH$264</f>
        <v>0.14933518005540167</v>
      </c>
      <c r="T746" s="190"/>
      <c r="U746" s="190"/>
      <c r="V746" s="190"/>
      <c r="W746" s="190">
        <f>X222*1000/$AH$249</f>
        <v>-0.1391551246537396</v>
      </c>
      <c r="X746" s="190"/>
      <c r="Y746" s="190"/>
      <c r="Z746" s="190"/>
      <c r="AA746" s="190">
        <f>AB$222*1000/$AH$264</f>
        <v>0.14933518005540167</v>
      </c>
      <c r="AB746" s="190"/>
      <c r="AC746" s="190"/>
      <c r="AD746" s="190"/>
      <c r="AH746" s="27"/>
      <c r="AJ746" s="27"/>
      <c r="AL746" s="58"/>
      <c r="AM746" s="58"/>
      <c r="AQ746" s="29"/>
    </row>
    <row r="747" spans="2:43" ht="12.75" customHeight="1">
      <c r="B747" s="4"/>
      <c r="C747" s="4" t="s">
        <v>877</v>
      </c>
      <c r="D747" s="274"/>
      <c r="E747" s="274"/>
      <c r="F747" s="270"/>
      <c r="G747" s="270"/>
      <c r="H747" s="270"/>
      <c r="I747" s="270"/>
      <c r="J747" s="270"/>
      <c r="K747" s="270"/>
      <c r="L747" s="270"/>
      <c r="M747" s="270"/>
      <c r="N747" s="270"/>
      <c r="O747" s="270"/>
      <c r="P747" s="183" t="s">
        <v>1010</v>
      </c>
      <c r="Q747" s="183"/>
      <c r="R747" s="183"/>
      <c r="S747" s="190">
        <f>T$222*1000/$AH$265</f>
        <v>-0.14933518005540167</v>
      </c>
      <c r="T747" s="190"/>
      <c r="U747" s="190"/>
      <c r="V747" s="190"/>
      <c r="W747" s="190">
        <f>X222*1000/$AH$250</f>
        <v>0.1391551246537396</v>
      </c>
      <c r="X747" s="190"/>
      <c r="Y747" s="190"/>
      <c r="Z747" s="190"/>
      <c r="AA747" s="190">
        <f>AB$222*1000/$AH$265</f>
        <v>-0.14933518005540167</v>
      </c>
      <c r="AB747" s="190"/>
      <c r="AC747" s="190"/>
      <c r="AD747" s="190"/>
      <c r="AH747" s="27"/>
      <c r="AJ747" s="27"/>
      <c r="AL747" s="58"/>
      <c r="AM747" s="58"/>
      <c r="AQ747" s="29"/>
    </row>
    <row r="748" spans="2:43" ht="12.75" customHeight="1">
      <c r="B748" s="4"/>
      <c r="C748" s="4"/>
      <c r="D748" s="274"/>
      <c r="E748" s="274"/>
      <c r="F748" s="270" t="s">
        <v>2</v>
      </c>
      <c r="G748" s="270"/>
      <c r="H748" s="270"/>
      <c r="I748" s="270"/>
      <c r="J748" s="270"/>
      <c r="K748" s="270"/>
      <c r="L748" s="270"/>
      <c r="M748" s="270"/>
      <c r="N748" s="270"/>
      <c r="O748" s="270"/>
      <c r="P748" s="183" t="s">
        <v>1008</v>
      </c>
      <c r="Q748" s="183"/>
      <c r="R748" s="183"/>
      <c r="S748" s="190">
        <f>T$223*1000/$AH$264</f>
        <v>0.5591551246537396</v>
      </c>
      <c r="T748" s="190"/>
      <c r="U748" s="190"/>
      <c r="V748" s="190"/>
      <c r="W748" s="190">
        <f>X223*1000/$AH$249</f>
        <v>0.5591551246537396</v>
      </c>
      <c r="X748" s="190"/>
      <c r="Y748" s="190"/>
      <c r="Z748" s="190"/>
      <c r="AA748" s="190">
        <f>AB$223*1000/$AH$264</f>
        <v>0.5591551246537396</v>
      </c>
      <c r="AB748" s="190"/>
      <c r="AC748" s="190"/>
      <c r="AD748" s="190"/>
      <c r="AH748" s="27"/>
      <c r="AJ748" s="27"/>
      <c r="AL748" s="58"/>
      <c r="AM748" s="58"/>
      <c r="AQ748" s="29"/>
    </row>
    <row r="749" spans="2:43" ht="12.75" customHeight="1">
      <c r="B749" s="4"/>
      <c r="C749" s="4"/>
      <c r="D749" s="274"/>
      <c r="E749" s="274"/>
      <c r="F749" s="270"/>
      <c r="G749" s="270"/>
      <c r="H749" s="270"/>
      <c r="I749" s="270"/>
      <c r="J749" s="270"/>
      <c r="K749" s="270"/>
      <c r="L749" s="270"/>
      <c r="M749" s="270"/>
      <c r="N749" s="270"/>
      <c r="O749" s="270"/>
      <c r="P749" s="183" t="s">
        <v>1010</v>
      </c>
      <c r="Q749" s="183"/>
      <c r="R749" s="183"/>
      <c r="S749" s="190">
        <f>T$223*1000/$AH$265</f>
        <v>-0.5591551246537396</v>
      </c>
      <c r="T749" s="190"/>
      <c r="U749" s="190"/>
      <c r="V749" s="190"/>
      <c r="W749" s="190">
        <f>X223*1000/$AH$250</f>
        <v>-0.5591551246537396</v>
      </c>
      <c r="X749" s="190"/>
      <c r="Y749" s="190"/>
      <c r="Z749" s="190"/>
      <c r="AA749" s="190">
        <f>AB$223*1000/$AH$265</f>
        <v>-0.5591551246537396</v>
      </c>
      <c r="AB749" s="190"/>
      <c r="AC749" s="190"/>
      <c r="AD749" s="190"/>
      <c r="AH749" s="27"/>
      <c r="AJ749" s="27"/>
      <c r="AL749" s="58"/>
      <c r="AM749" s="58"/>
      <c r="AQ749" s="29"/>
    </row>
    <row r="750" spans="2:43" ht="12.75" customHeight="1">
      <c r="B750" s="4"/>
      <c r="C750" s="4"/>
      <c r="D750" s="274"/>
      <c r="E750" s="274"/>
      <c r="F750" s="270" t="s">
        <v>977</v>
      </c>
      <c r="G750" s="270"/>
      <c r="H750" s="270"/>
      <c r="I750" s="270"/>
      <c r="J750" s="270"/>
      <c r="K750" s="270"/>
      <c r="L750" s="270"/>
      <c r="M750" s="270"/>
      <c r="N750" s="270"/>
      <c r="O750" s="270"/>
      <c r="P750" s="183" t="s">
        <v>1008</v>
      </c>
      <c r="Q750" s="183"/>
      <c r="R750" s="183"/>
      <c r="S750" s="190">
        <f>M567</f>
        <v>2.614887783351385</v>
      </c>
      <c r="T750" s="190"/>
      <c r="U750" s="190"/>
      <c r="V750" s="190"/>
      <c r="W750" s="190">
        <f>Q567</f>
        <v>0.3063471065218346</v>
      </c>
      <c r="X750" s="190"/>
      <c r="Y750" s="190"/>
      <c r="Z750" s="190"/>
      <c r="AA750" s="190">
        <f>U567</f>
        <v>2.614887783351385</v>
      </c>
      <c r="AB750" s="190"/>
      <c r="AC750" s="190"/>
      <c r="AD750" s="190"/>
      <c r="AH750" s="27"/>
      <c r="AJ750" s="27"/>
      <c r="AL750" s="58"/>
      <c r="AM750" s="58"/>
      <c r="AQ750" s="29"/>
    </row>
    <row r="751" spans="2:43" ht="12.75" customHeight="1">
      <c r="B751" s="4"/>
      <c r="C751" s="4"/>
      <c r="D751" s="274"/>
      <c r="E751" s="274"/>
      <c r="F751" s="270"/>
      <c r="G751" s="270"/>
      <c r="H751" s="270"/>
      <c r="I751" s="270"/>
      <c r="J751" s="270"/>
      <c r="K751" s="270"/>
      <c r="L751" s="270"/>
      <c r="M751" s="270"/>
      <c r="N751" s="270"/>
      <c r="O751" s="270"/>
      <c r="P751" s="183" t="s">
        <v>1010</v>
      </c>
      <c r="Q751" s="183"/>
      <c r="R751" s="183"/>
      <c r="S751" s="190">
        <f>M568</f>
        <v>0.3076338568648689</v>
      </c>
      <c r="T751" s="190"/>
      <c r="U751" s="190"/>
      <c r="V751" s="190"/>
      <c r="W751" s="190">
        <f>Q568</f>
        <v>2.6039504054355938</v>
      </c>
      <c r="X751" s="190"/>
      <c r="Y751" s="190"/>
      <c r="Z751" s="190"/>
      <c r="AA751" s="190">
        <f>U568</f>
        <v>0.3076338568648689</v>
      </c>
      <c r="AB751" s="190"/>
      <c r="AC751" s="190"/>
      <c r="AD751" s="190"/>
      <c r="AH751" s="27"/>
      <c r="AJ751" s="27"/>
      <c r="AL751" s="58"/>
      <c r="AM751" s="58"/>
      <c r="AQ751" s="29"/>
    </row>
    <row r="752" spans="2:43" ht="12.75" customHeight="1">
      <c r="B752" s="4"/>
      <c r="C752" s="4"/>
      <c r="D752" s="274"/>
      <c r="E752" s="274"/>
      <c r="F752" s="270" t="s">
        <v>969</v>
      </c>
      <c r="G752" s="270"/>
      <c r="H752" s="270"/>
      <c r="I752" s="270"/>
      <c r="J752" s="270"/>
      <c r="K752" s="270"/>
      <c r="L752" s="270"/>
      <c r="M752" s="270"/>
      <c r="N752" s="270"/>
      <c r="O752" s="270"/>
      <c r="P752" s="183" t="s">
        <v>1008</v>
      </c>
      <c r="Q752" s="183"/>
      <c r="R752" s="183"/>
      <c r="S752" s="190">
        <f>T$224*1000/$AH$264</f>
        <v>5.896500664819944</v>
      </c>
      <c r="T752" s="190"/>
      <c r="U752" s="190"/>
      <c r="V752" s="190"/>
      <c r="W752" s="190">
        <f>X$224*1000/$AH$249</f>
        <v>-6.478213296398891</v>
      </c>
      <c r="X752" s="190"/>
      <c r="Y752" s="190"/>
      <c r="Z752" s="190"/>
      <c r="AA752" s="190">
        <f>AB$224*1000/$AH$264</f>
        <v>5.896500664819944</v>
      </c>
      <c r="AB752" s="190"/>
      <c r="AC752" s="190"/>
      <c r="AD752" s="190"/>
      <c r="AH752" s="27"/>
      <c r="AJ752" s="27"/>
      <c r="AL752" s="58"/>
      <c r="AM752" s="58"/>
      <c r="AQ752" s="29"/>
    </row>
    <row r="753" spans="2:43" ht="12.75" customHeight="1">
      <c r="B753" s="4"/>
      <c r="C753" s="4"/>
      <c r="D753" s="274"/>
      <c r="E753" s="274"/>
      <c r="F753" s="270"/>
      <c r="G753" s="270"/>
      <c r="H753" s="270"/>
      <c r="I753" s="270"/>
      <c r="J753" s="270"/>
      <c r="K753" s="270"/>
      <c r="L753" s="270"/>
      <c r="M753" s="270"/>
      <c r="N753" s="270"/>
      <c r="O753" s="270"/>
      <c r="P753" s="183" t="s">
        <v>1010</v>
      </c>
      <c r="Q753" s="183"/>
      <c r="R753" s="183"/>
      <c r="S753" s="190">
        <f>T$224*1000/$AH$265</f>
        <v>-5.896500664819944</v>
      </c>
      <c r="T753" s="190"/>
      <c r="U753" s="190"/>
      <c r="V753" s="190"/>
      <c r="W753" s="190">
        <f>X$224*1000/$AH$250</f>
        <v>6.478213296398891</v>
      </c>
      <c r="X753" s="190"/>
      <c r="Y753" s="190"/>
      <c r="Z753" s="190"/>
      <c r="AA753" s="190">
        <f>AB$224*1000/$AH$265</f>
        <v>-5.896500664819944</v>
      </c>
      <c r="AB753" s="190"/>
      <c r="AC753" s="190"/>
      <c r="AD753" s="190"/>
      <c r="AH753" s="27"/>
      <c r="AJ753" s="27"/>
      <c r="AL753" s="58"/>
      <c r="AM753" s="58"/>
      <c r="AQ753" s="29"/>
    </row>
    <row r="754" spans="2:43" ht="12.75" customHeight="1">
      <c r="B754" s="4"/>
      <c r="C754" s="4"/>
      <c r="D754" s="274"/>
      <c r="E754" s="274"/>
      <c r="F754" s="270" t="s">
        <v>971</v>
      </c>
      <c r="G754" s="270"/>
      <c r="H754" s="270"/>
      <c r="I754" s="270"/>
      <c r="J754" s="270"/>
      <c r="K754" s="270"/>
      <c r="L754" s="270"/>
      <c r="M754" s="270"/>
      <c r="N754" s="270"/>
      <c r="O754" s="270"/>
      <c r="P754" s="183" t="s">
        <v>1008</v>
      </c>
      <c r="Q754" s="183"/>
      <c r="R754" s="183"/>
      <c r="S754" s="190">
        <f>T$225*1000/$AH$264</f>
        <v>0.13556094182825484</v>
      </c>
      <c r="T754" s="190"/>
      <c r="U754" s="190"/>
      <c r="V754" s="190"/>
      <c r="W754" s="190">
        <f>X225*1000/$AH$249</f>
        <v>0</v>
      </c>
      <c r="X754" s="190"/>
      <c r="Y754" s="190"/>
      <c r="Z754" s="190"/>
      <c r="AA754" s="190">
        <f>AB$225*1000/$AH$264</f>
        <v>0.13556094182825484</v>
      </c>
      <c r="AB754" s="190"/>
      <c r="AC754" s="190"/>
      <c r="AD754" s="190"/>
      <c r="AH754" s="27"/>
      <c r="AJ754" s="27"/>
      <c r="AL754" s="58"/>
      <c r="AM754" s="58"/>
      <c r="AQ754" s="29"/>
    </row>
    <row r="755" spans="2:43" ht="12.75" customHeight="1">
      <c r="B755" s="4"/>
      <c r="C755" s="4"/>
      <c r="D755" s="274"/>
      <c r="E755" s="274"/>
      <c r="F755" s="270"/>
      <c r="G755" s="270"/>
      <c r="H755" s="270"/>
      <c r="I755" s="270"/>
      <c r="J755" s="270"/>
      <c r="K755" s="270"/>
      <c r="L755" s="270"/>
      <c r="M755" s="270"/>
      <c r="N755" s="270"/>
      <c r="O755" s="270"/>
      <c r="P755" s="183" t="s">
        <v>1010</v>
      </c>
      <c r="Q755" s="183"/>
      <c r="R755" s="183"/>
      <c r="S755" s="190">
        <f>T$225*1000/$AH$265</f>
        <v>-0.13556094182825484</v>
      </c>
      <c r="T755" s="190"/>
      <c r="U755" s="190"/>
      <c r="V755" s="190"/>
      <c r="W755" s="190">
        <f>X225*1000/$AH$250</f>
        <v>0</v>
      </c>
      <c r="X755" s="190"/>
      <c r="Y755" s="190"/>
      <c r="Z755" s="190"/>
      <c r="AA755" s="190">
        <f>AB$225*1000/$AH$265</f>
        <v>-0.13556094182825484</v>
      </c>
      <c r="AB755" s="190"/>
      <c r="AC755" s="190"/>
      <c r="AD755" s="190"/>
      <c r="AH755" s="27"/>
      <c r="AJ755" s="27"/>
      <c r="AL755" s="58" t="s">
        <v>591</v>
      </c>
      <c r="AM755" s="58"/>
      <c r="AQ755" s="29"/>
    </row>
    <row r="756" spans="2:43" ht="12.75" customHeight="1">
      <c r="B756" s="4"/>
      <c r="C756" s="4"/>
      <c r="D756" s="274"/>
      <c r="E756" s="274"/>
      <c r="F756" s="270" t="s">
        <v>972</v>
      </c>
      <c r="G756" s="270"/>
      <c r="H756" s="270"/>
      <c r="I756" s="270"/>
      <c r="J756" s="270"/>
      <c r="K756" s="270"/>
      <c r="L756" s="270"/>
      <c r="M756" s="270"/>
      <c r="N756" s="270"/>
      <c r="O756" s="270"/>
      <c r="P756" s="183" t="s">
        <v>1008</v>
      </c>
      <c r="Q756" s="183"/>
      <c r="R756" s="183"/>
      <c r="S756" s="190">
        <f>T$226*1000/$AH$264</f>
        <v>0</v>
      </c>
      <c r="T756" s="190"/>
      <c r="U756" s="190"/>
      <c r="V756" s="190"/>
      <c r="W756" s="190">
        <f>X226*1000/$AH$249</f>
        <v>0</v>
      </c>
      <c r="X756" s="190"/>
      <c r="Y756" s="190"/>
      <c r="Z756" s="190"/>
      <c r="AA756" s="190">
        <f>AB$226*1000/$AH$264</f>
        <v>0</v>
      </c>
      <c r="AB756" s="190"/>
      <c r="AC756" s="190"/>
      <c r="AD756" s="190"/>
      <c r="AH756" s="27"/>
      <c r="AJ756" s="27"/>
      <c r="AL756" s="58"/>
      <c r="AM756" s="58"/>
      <c r="AQ756" s="29"/>
    </row>
    <row r="757" spans="2:43" ht="12.75" customHeight="1">
      <c r="B757" s="4"/>
      <c r="C757" s="4"/>
      <c r="D757" s="274"/>
      <c r="E757" s="274"/>
      <c r="F757" s="270"/>
      <c r="G757" s="270"/>
      <c r="H757" s="270"/>
      <c r="I757" s="270"/>
      <c r="J757" s="270"/>
      <c r="K757" s="270"/>
      <c r="L757" s="270"/>
      <c r="M757" s="270"/>
      <c r="N757" s="270"/>
      <c r="O757" s="270"/>
      <c r="P757" s="183" t="s">
        <v>1010</v>
      </c>
      <c r="Q757" s="183"/>
      <c r="R757" s="183"/>
      <c r="S757" s="190">
        <f>T$226*1000/$AH$265</f>
        <v>0</v>
      </c>
      <c r="T757" s="190"/>
      <c r="U757" s="190"/>
      <c r="V757" s="190"/>
      <c r="W757" s="190">
        <f>X226*1000/$AH$250</f>
        <v>0</v>
      </c>
      <c r="X757" s="190"/>
      <c r="Y757" s="190"/>
      <c r="Z757" s="190"/>
      <c r="AA757" s="190">
        <f>AB$226*1000/$AH$265</f>
        <v>0</v>
      </c>
      <c r="AB757" s="190"/>
      <c r="AC757" s="190"/>
      <c r="AD757" s="190"/>
      <c r="AH757" s="27"/>
      <c r="AJ757" s="27"/>
      <c r="AL757" s="58"/>
      <c r="AM757" s="58"/>
      <c r="AQ757" s="29"/>
    </row>
    <row r="758" spans="2:43" ht="12.75" customHeight="1">
      <c r="B758" s="4"/>
      <c r="C758" s="4"/>
      <c r="D758" s="274"/>
      <c r="E758" s="274"/>
      <c r="F758" s="270" t="s">
        <v>980</v>
      </c>
      <c r="G758" s="270"/>
      <c r="H758" s="270"/>
      <c r="I758" s="270"/>
      <c r="J758" s="270"/>
      <c r="K758" s="270"/>
      <c r="L758" s="270"/>
      <c r="M758" s="270"/>
      <c r="N758" s="270"/>
      <c r="O758" s="270"/>
      <c r="P758" s="183" t="s">
        <v>1008</v>
      </c>
      <c r="Q758" s="183"/>
      <c r="R758" s="183"/>
      <c r="S758" s="190">
        <f>T$227*1000/$AH$264</f>
        <v>0.051868421052631584</v>
      </c>
      <c r="T758" s="190"/>
      <c r="U758" s="190"/>
      <c r="V758" s="190"/>
      <c r="W758" s="190">
        <f>X227*1000/$AH$249</f>
        <v>0</v>
      </c>
      <c r="X758" s="190"/>
      <c r="Y758" s="190"/>
      <c r="Z758" s="190"/>
      <c r="AA758" s="190">
        <f>AB$227*1000/$AH$264</f>
        <v>0.051868421052631584</v>
      </c>
      <c r="AB758" s="190"/>
      <c r="AC758" s="190"/>
      <c r="AD758" s="190"/>
      <c r="AH758" s="27"/>
      <c r="AJ758" s="27"/>
      <c r="AL758" s="58"/>
      <c r="AM758" s="58"/>
      <c r="AQ758" s="29"/>
    </row>
    <row r="759" spans="2:43" ht="12.75" customHeight="1">
      <c r="B759" s="4"/>
      <c r="C759" s="4"/>
      <c r="D759" s="274"/>
      <c r="E759" s="274"/>
      <c r="F759" s="270"/>
      <c r="G759" s="270"/>
      <c r="H759" s="270"/>
      <c r="I759" s="270"/>
      <c r="J759" s="270"/>
      <c r="K759" s="270"/>
      <c r="L759" s="270"/>
      <c r="M759" s="270"/>
      <c r="N759" s="270"/>
      <c r="O759" s="270"/>
      <c r="P759" s="183" t="s">
        <v>1010</v>
      </c>
      <c r="Q759" s="183"/>
      <c r="R759" s="183"/>
      <c r="S759" s="190">
        <f>T$227*1000/$AH$265</f>
        <v>-0.051868421052631584</v>
      </c>
      <c r="T759" s="190"/>
      <c r="U759" s="190"/>
      <c r="V759" s="190"/>
      <c r="W759" s="190">
        <f>X227*1000/$AH$250</f>
        <v>0</v>
      </c>
      <c r="X759" s="190"/>
      <c r="Y759" s="190"/>
      <c r="Z759" s="190"/>
      <c r="AA759" s="190">
        <f>AB$227*1000/$AH$265</f>
        <v>-0.051868421052631584</v>
      </c>
      <c r="AB759" s="190"/>
      <c r="AC759" s="190"/>
      <c r="AD759" s="190"/>
      <c r="AH759" s="27"/>
      <c r="AJ759" s="27"/>
      <c r="AL759" s="58"/>
      <c r="AM759" s="58"/>
      <c r="AQ759" s="29"/>
    </row>
    <row r="760" spans="2:43" ht="12.75" customHeight="1">
      <c r="B760" s="4"/>
      <c r="C760" s="4"/>
      <c r="D760" s="274"/>
      <c r="E760" s="274"/>
      <c r="F760" s="270" t="s">
        <v>1338</v>
      </c>
      <c r="G760" s="270"/>
      <c r="H760" s="270"/>
      <c r="I760" s="270"/>
      <c r="J760" s="270"/>
      <c r="K760" s="270"/>
      <c r="L760" s="270"/>
      <c r="M760" s="270"/>
      <c r="N760" s="270"/>
      <c r="O760" s="270"/>
      <c r="P760" s="183" t="s">
        <v>1008</v>
      </c>
      <c r="Q760" s="183"/>
      <c r="R760" s="183"/>
      <c r="S760" s="190">
        <f>L488</f>
        <v>-7.26306642340303</v>
      </c>
      <c r="T760" s="190"/>
      <c r="U760" s="190"/>
      <c r="V760" s="190"/>
      <c r="W760" s="190">
        <f>P488</f>
        <v>-9.367463773999432</v>
      </c>
      <c r="X760" s="190"/>
      <c r="Y760" s="190"/>
      <c r="Z760" s="190"/>
      <c r="AA760" s="190">
        <f>T488</f>
        <v>-7.26306642340303</v>
      </c>
      <c r="AB760" s="190"/>
      <c r="AC760" s="190"/>
      <c r="AD760" s="190"/>
      <c r="AH760" s="27"/>
      <c r="AJ760" s="27"/>
      <c r="AL760" s="58"/>
      <c r="AM760" s="58"/>
      <c r="AQ760" s="29"/>
    </row>
    <row r="761" spans="2:43" ht="12.75" customHeight="1">
      <c r="B761" s="4"/>
      <c r="C761" s="4"/>
      <c r="D761" s="274"/>
      <c r="E761" s="274"/>
      <c r="F761" s="270"/>
      <c r="G761" s="270"/>
      <c r="H761" s="270"/>
      <c r="I761" s="270"/>
      <c r="J761" s="270"/>
      <c r="K761" s="270"/>
      <c r="L761" s="270"/>
      <c r="M761" s="270"/>
      <c r="N761" s="270"/>
      <c r="O761" s="270"/>
      <c r="P761" s="183" t="s">
        <v>1010</v>
      </c>
      <c r="Q761" s="183"/>
      <c r="R761" s="183"/>
      <c r="S761" s="190">
        <f>L489</f>
        <v>-9.363230208483424</v>
      </c>
      <c r="T761" s="190"/>
      <c r="U761" s="190"/>
      <c r="V761" s="190"/>
      <c r="W761" s="190">
        <f>P489</f>
        <v>-7.2663504041304</v>
      </c>
      <c r="X761" s="190"/>
      <c r="Y761" s="190"/>
      <c r="Z761" s="190"/>
      <c r="AA761" s="190">
        <f>T489</f>
        <v>-9.363230208483424</v>
      </c>
      <c r="AB761" s="190"/>
      <c r="AC761" s="190"/>
      <c r="AD761" s="190"/>
      <c r="AH761" s="27"/>
      <c r="AJ761" s="27"/>
      <c r="AL761" s="58"/>
      <c r="AM761" s="58"/>
      <c r="AQ761" s="29"/>
    </row>
    <row r="762" spans="2:43" ht="12.75" customHeight="1">
      <c r="B762" s="4"/>
      <c r="C762" s="4"/>
      <c r="D762" s="274"/>
      <c r="E762" s="274"/>
      <c r="F762" s="270" t="s">
        <v>1407</v>
      </c>
      <c r="G762" s="270"/>
      <c r="H762" s="270"/>
      <c r="I762" s="270"/>
      <c r="J762" s="270"/>
      <c r="K762" s="270"/>
      <c r="L762" s="270"/>
      <c r="M762" s="270"/>
      <c r="N762" s="270"/>
      <c r="O762" s="270"/>
      <c r="P762" s="183" t="s">
        <v>1008</v>
      </c>
      <c r="Q762" s="183"/>
      <c r="R762" s="183"/>
      <c r="S762" s="190">
        <f>L645</f>
        <v>-5.970364922304961</v>
      </c>
      <c r="T762" s="190"/>
      <c r="U762" s="190"/>
      <c r="V762" s="190"/>
      <c r="W762" s="190">
        <f>P645</f>
        <v>-7.7085726517713</v>
      </c>
      <c r="X762" s="190"/>
      <c r="Y762" s="190"/>
      <c r="Z762" s="190"/>
      <c r="AA762" s="190">
        <f>T645</f>
        <v>-5.970364922304961</v>
      </c>
      <c r="AB762" s="190"/>
      <c r="AC762" s="190"/>
      <c r="AD762" s="190"/>
      <c r="AH762" s="27"/>
      <c r="AJ762" s="27"/>
      <c r="AL762" s="58"/>
      <c r="AM762" s="58"/>
      <c r="AQ762" s="29"/>
    </row>
    <row r="763" spans="2:43" ht="12.75" customHeight="1">
      <c r="B763" s="4" t="s">
        <v>274</v>
      </c>
      <c r="C763" s="4"/>
      <c r="D763" s="274"/>
      <c r="E763" s="274"/>
      <c r="F763" s="270"/>
      <c r="G763" s="270"/>
      <c r="H763" s="270"/>
      <c r="I763" s="270"/>
      <c r="J763" s="270"/>
      <c r="K763" s="270"/>
      <c r="L763" s="270"/>
      <c r="M763" s="270"/>
      <c r="N763" s="270"/>
      <c r="O763" s="270"/>
      <c r="P763" s="183" t="s">
        <v>1010</v>
      </c>
      <c r="Q763" s="183"/>
      <c r="R763" s="183"/>
      <c r="S763" s="190">
        <f>L646</f>
        <v>-7.696735502248565</v>
      </c>
      <c r="T763" s="190"/>
      <c r="U763" s="190"/>
      <c r="V763" s="190"/>
      <c r="W763" s="190">
        <f>P646</f>
        <v>-5.979547010252503</v>
      </c>
      <c r="X763" s="190"/>
      <c r="Y763" s="190"/>
      <c r="Z763" s="190"/>
      <c r="AA763" s="190">
        <f>T646</f>
        <v>-7.696735502248565</v>
      </c>
      <c r="AB763" s="190"/>
      <c r="AC763" s="190"/>
      <c r="AD763" s="190"/>
      <c r="AH763" s="27"/>
      <c r="AJ763" s="27"/>
      <c r="AL763" s="58"/>
      <c r="AM763" s="58"/>
      <c r="AQ763" s="29"/>
    </row>
    <row r="764" spans="2:43" ht="12.75" customHeight="1">
      <c r="B764" s="4"/>
      <c r="C764" s="4"/>
      <c r="D764" s="63"/>
      <c r="E764" s="64"/>
      <c r="F764" s="64"/>
      <c r="G764" s="65"/>
      <c r="H764" s="65"/>
      <c r="I764" s="65"/>
      <c r="J764" s="65"/>
      <c r="K764" s="66"/>
      <c r="L764" s="66"/>
      <c r="M764" s="66"/>
      <c r="N764" s="65"/>
      <c r="O764" s="67"/>
      <c r="P764" s="183" t="s">
        <v>1008</v>
      </c>
      <c r="Q764" s="183"/>
      <c r="R764" s="183"/>
      <c r="S764" s="190">
        <f>S744+S760</f>
        <v>-6.228565038361479</v>
      </c>
      <c r="T764" s="190"/>
      <c r="U764" s="190"/>
      <c r="V764" s="190"/>
      <c r="W764" s="190">
        <f>W744+W760</f>
        <v>-9.825067652115775</v>
      </c>
      <c r="X764" s="190"/>
      <c r="Y764" s="190"/>
      <c r="Z764" s="190"/>
      <c r="AA764" s="190">
        <f>AA744+AA760</f>
        <v>-6.228565038361479</v>
      </c>
      <c r="AB764" s="190"/>
      <c r="AC764" s="190"/>
      <c r="AD764" s="190"/>
      <c r="AH764" s="27"/>
      <c r="AJ764" s="27"/>
      <c r="AL764" s="58"/>
      <c r="AM764" s="58"/>
      <c r="AQ764" s="29"/>
    </row>
    <row r="765" spans="2:43" ht="12.75" customHeight="1">
      <c r="B765" s="4"/>
      <c r="C765" s="4"/>
      <c r="D765" s="271" t="s">
        <v>1409</v>
      </c>
      <c r="E765" s="265"/>
      <c r="F765" s="265"/>
      <c r="G765" s="265"/>
      <c r="H765" s="265"/>
      <c r="I765" s="265"/>
      <c r="J765" s="265"/>
      <c r="K765" s="265"/>
      <c r="L765" s="265"/>
      <c r="M765" s="265"/>
      <c r="N765" s="265"/>
      <c r="O765" s="272"/>
      <c r="P765" s="183" t="s">
        <v>1010</v>
      </c>
      <c r="Q765" s="183"/>
      <c r="R765" s="183"/>
      <c r="S765" s="190">
        <f>S745+S761</f>
        <v>-10.397731593524975</v>
      </c>
      <c r="T765" s="190"/>
      <c r="U765" s="190"/>
      <c r="V765" s="190"/>
      <c r="W765" s="190">
        <f>W745+W761</f>
        <v>-6.8087465260140565</v>
      </c>
      <c r="X765" s="190"/>
      <c r="Y765" s="190"/>
      <c r="Z765" s="190"/>
      <c r="AA765" s="190">
        <f>AA745+AA761</f>
        <v>-10.397731593524975</v>
      </c>
      <c r="AB765" s="190"/>
      <c r="AC765" s="190"/>
      <c r="AD765" s="190"/>
      <c r="AH765" s="27"/>
      <c r="AJ765" s="27"/>
      <c r="AL765" s="58"/>
      <c r="AM765" s="58" t="s">
        <v>380</v>
      </c>
      <c r="AQ765" s="29"/>
    </row>
    <row r="766" spans="2:43" ht="12.75" customHeight="1">
      <c r="B766" s="4" t="s">
        <v>380</v>
      </c>
      <c r="C766" s="4"/>
      <c r="D766" s="258" t="s">
        <v>569</v>
      </c>
      <c r="E766" s="259"/>
      <c r="F766" s="259"/>
      <c r="G766" s="259"/>
      <c r="H766" s="259"/>
      <c r="I766" s="259"/>
      <c r="J766" s="259"/>
      <c r="K766" s="259"/>
      <c r="L766" s="259"/>
      <c r="M766" s="259"/>
      <c r="N766" s="259"/>
      <c r="O766" s="260"/>
      <c r="P766" s="183" t="s">
        <v>570</v>
      </c>
      <c r="Q766" s="183"/>
      <c r="R766" s="183"/>
      <c r="S766" s="190">
        <f>IF($T$677=30,15,IF($T$677=40,19,IF($T$677=50,21,IF($T$677=60,23,"ERROR"))))*-1</f>
        <v>-19</v>
      </c>
      <c r="T766" s="190"/>
      <c r="U766" s="190"/>
      <c r="V766" s="190"/>
      <c r="W766" s="190">
        <f>S766</f>
        <v>-19</v>
      </c>
      <c r="X766" s="190"/>
      <c r="Y766" s="190"/>
      <c r="Z766" s="190"/>
      <c r="AA766" s="190">
        <f>S766</f>
        <v>-19</v>
      </c>
      <c r="AB766" s="190"/>
      <c r="AC766" s="190"/>
      <c r="AD766" s="190"/>
      <c r="AH766" s="27"/>
      <c r="AJ766" s="27"/>
      <c r="AL766" s="58"/>
      <c r="AM766" s="58"/>
      <c r="AQ766" s="29"/>
    </row>
    <row r="767" spans="2:43" ht="12.75" customHeight="1">
      <c r="B767" s="4"/>
      <c r="C767" s="4"/>
      <c r="D767" s="71"/>
      <c r="E767" s="72"/>
      <c r="F767" s="72"/>
      <c r="G767" s="73"/>
      <c r="H767" s="73"/>
      <c r="I767" s="73"/>
      <c r="J767" s="73"/>
      <c r="K767" s="53"/>
      <c r="L767" s="53"/>
      <c r="M767" s="53"/>
      <c r="N767" s="73"/>
      <c r="O767" s="74"/>
      <c r="P767" s="183" t="s">
        <v>571</v>
      </c>
      <c r="Q767" s="183"/>
      <c r="R767" s="183"/>
      <c r="S767" s="190">
        <f>IF($T$677=30,1.2,IF($T$677=40,1.5,IF($T$677=50,1.8,IF($T$677=60,2,"ERROR"))))</f>
        <v>1.5</v>
      </c>
      <c r="T767" s="190"/>
      <c r="U767" s="190"/>
      <c r="V767" s="190"/>
      <c r="W767" s="190">
        <f>S767</f>
        <v>1.5</v>
      </c>
      <c r="X767" s="190"/>
      <c r="Y767" s="190"/>
      <c r="Z767" s="190"/>
      <c r="AA767" s="190">
        <f>S767</f>
        <v>1.5</v>
      </c>
      <c r="AB767" s="190"/>
      <c r="AC767" s="190"/>
      <c r="AD767" s="190"/>
      <c r="AH767" s="27"/>
      <c r="AJ767" s="27"/>
      <c r="AL767" s="58"/>
      <c r="AM767" s="58"/>
      <c r="AQ767" s="29"/>
    </row>
    <row r="768" spans="2:43" ht="12.75" customHeight="1">
      <c r="B768" s="4"/>
      <c r="C768" s="4" t="s">
        <v>380</v>
      </c>
      <c r="D768" s="63"/>
      <c r="E768" s="64"/>
      <c r="F768" s="64"/>
      <c r="G768" s="65"/>
      <c r="H768" s="65"/>
      <c r="I768" s="65"/>
      <c r="J768" s="65"/>
      <c r="K768" s="66"/>
      <c r="L768" s="66"/>
      <c r="M768" s="66"/>
      <c r="N768" s="65"/>
      <c r="O768" s="67"/>
      <c r="P768" s="183" t="s">
        <v>1008</v>
      </c>
      <c r="Q768" s="183"/>
      <c r="R768" s="183"/>
      <c r="S768" s="190">
        <f>S744+S746+S748+S750+S754+S762</f>
        <v>-1.4769245073746298</v>
      </c>
      <c r="T768" s="190"/>
      <c r="U768" s="190"/>
      <c r="V768" s="190"/>
      <c r="W768" s="190">
        <f>W744+W746+W748+W750+W754+W762</f>
        <v>-7.4398294233658095</v>
      </c>
      <c r="X768" s="190"/>
      <c r="Y768" s="190"/>
      <c r="Z768" s="190"/>
      <c r="AA768" s="190">
        <f>AA744+AA746+AA748+AA750+AA754+AA762</f>
        <v>-1.4769245073746298</v>
      </c>
      <c r="AB768" s="190"/>
      <c r="AC768" s="190"/>
      <c r="AD768" s="190"/>
      <c r="AH768" s="27"/>
      <c r="AJ768" s="27"/>
      <c r="AL768" s="58"/>
      <c r="AM768" s="58"/>
      <c r="AQ768" s="29"/>
    </row>
    <row r="769" spans="2:43" ht="12.75" customHeight="1">
      <c r="B769" s="4"/>
      <c r="C769" s="4"/>
      <c r="D769" s="258" t="s">
        <v>572</v>
      </c>
      <c r="E769" s="259"/>
      <c r="F769" s="259"/>
      <c r="G769" s="259"/>
      <c r="H769" s="259"/>
      <c r="I769" s="259"/>
      <c r="J769" s="259"/>
      <c r="K769" s="259"/>
      <c r="L769" s="259"/>
      <c r="M769" s="259"/>
      <c r="N769" s="259"/>
      <c r="O769" s="260"/>
      <c r="P769" s="183" t="s">
        <v>1010</v>
      </c>
      <c r="Q769" s="183"/>
      <c r="R769" s="183"/>
      <c r="S769" s="190">
        <f>S745+S747+S749+S751+S755+S763</f>
        <v>-9.267654276962643</v>
      </c>
      <c r="T769" s="190"/>
      <c r="U769" s="190"/>
      <c r="V769" s="190"/>
      <c r="W769" s="190">
        <f>W745+W747+W749+W751+W755+W763</f>
        <v>-3.337992726700566</v>
      </c>
      <c r="X769" s="190"/>
      <c r="Y769" s="190"/>
      <c r="Z769" s="190"/>
      <c r="AA769" s="190">
        <f>AA745+AA747+AA749+AA751+AA755+AA763</f>
        <v>-9.267654276962643</v>
      </c>
      <c r="AB769" s="190"/>
      <c r="AC769" s="190"/>
      <c r="AD769" s="190"/>
      <c r="AH769" s="27"/>
      <c r="AJ769" s="27"/>
      <c r="AL769" s="58"/>
      <c r="AM769" s="58"/>
      <c r="AQ769" s="29"/>
    </row>
    <row r="770" spans="2:43" ht="12.75" customHeight="1">
      <c r="B770" s="4"/>
      <c r="C770" s="4"/>
      <c r="D770" s="258" t="s">
        <v>573</v>
      </c>
      <c r="E770" s="259"/>
      <c r="F770" s="259"/>
      <c r="G770" s="259"/>
      <c r="H770" s="259"/>
      <c r="I770" s="259"/>
      <c r="J770" s="259"/>
      <c r="K770" s="259"/>
      <c r="L770" s="259"/>
      <c r="M770" s="259"/>
      <c r="N770" s="259"/>
      <c r="O770" s="260"/>
      <c r="P770" s="183" t="s">
        <v>570</v>
      </c>
      <c r="Q770" s="183"/>
      <c r="R770" s="183"/>
      <c r="S770" s="190">
        <f>IF($T$677=30,12,IF($T$677=40,15,IF($T$677=50,17,IF($T$677=60,19,"ERROR"))))*-1</f>
        <v>-15</v>
      </c>
      <c r="T770" s="190"/>
      <c r="U770" s="190"/>
      <c r="V770" s="190"/>
      <c r="W770" s="190">
        <f>S770</f>
        <v>-15</v>
      </c>
      <c r="X770" s="190"/>
      <c r="Y770" s="190"/>
      <c r="Z770" s="190"/>
      <c r="AA770" s="190">
        <f>S770</f>
        <v>-15</v>
      </c>
      <c r="AB770" s="190"/>
      <c r="AC770" s="190"/>
      <c r="AD770" s="190"/>
      <c r="AH770" s="27"/>
      <c r="AJ770" s="27"/>
      <c r="AL770" s="58"/>
      <c r="AM770" s="58"/>
      <c r="AQ770" s="29"/>
    </row>
    <row r="771" spans="2:45" ht="12.75" customHeight="1">
      <c r="B771" s="4"/>
      <c r="C771" s="4"/>
      <c r="D771" s="71"/>
      <c r="E771" s="72"/>
      <c r="F771" s="72"/>
      <c r="G771" s="73"/>
      <c r="H771" s="73"/>
      <c r="I771" s="73"/>
      <c r="J771" s="73"/>
      <c r="K771" s="53"/>
      <c r="L771" s="53"/>
      <c r="M771" s="53"/>
      <c r="N771" s="73"/>
      <c r="O771" s="74"/>
      <c r="P771" s="183" t="s">
        <v>571</v>
      </c>
      <c r="Q771" s="183"/>
      <c r="R771" s="183"/>
      <c r="S771" s="190">
        <f>$X$662</f>
        <v>2.250359141765158</v>
      </c>
      <c r="T771" s="190"/>
      <c r="U771" s="190"/>
      <c r="V771" s="190"/>
      <c r="W771" s="190">
        <f>$X$661</f>
        <v>2.250359141765158</v>
      </c>
      <c r="X771" s="190"/>
      <c r="Y771" s="190"/>
      <c r="Z771" s="190"/>
      <c r="AA771" s="190">
        <f>S771</f>
        <v>2.250359141765158</v>
      </c>
      <c r="AB771" s="190"/>
      <c r="AC771" s="190"/>
      <c r="AD771" s="190"/>
      <c r="AH771" s="27"/>
      <c r="AJ771" s="27"/>
      <c r="AL771" s="58"/>
      <c r="AM771" s="58"/>
      <c r="AQ771" s="29"/>
      <c r="AS771" s="36"/>
    </row>
    <row r="772" spans="2:43" ht="12.75" customHeight="1">
      <c r="B772" s="4"/>
      <c r="C772" s="4"/>
      <c r="D772" s="63"/>
      <c r="E772" s="64"/>
      <c r="F772" s="64"/>
      <c r="G772" s="65"/>
      <c r="H772" s="65"/>
      <c r="I772" s="65"/>
      <c r="J772" s="65"/>
      <c r="K772" s="66"/>
      <c r="L772" s="66"/>
      <c r="M772" s="66"/>
      <c r="N772" s="65"/>
      <c r="O772" s="67"/>
      <c r="P772" s="183" t="s">
        <v>1008</v>
      </c>
      <c r="Q772" s="183"/>
      <c r="R772" s="183"/>
      <c r="S772" s="190">
        <f>S744+S746+S748+S750+S752+S754+S762</f>
        <v>4.419576157445313</v>
      </c>
      <c r="T772" s="190"/>
      <c r="U772" s="190"/>
      <c r="V772" s="190"/>
      <c r="W772" s="190">
        <f>W744+W746+W748+W750+W752+W754+W762</f>
        <v>-13.918042719764701</v>
      </c>
      <c r="X772" s="190"/>
      <c r="Y772" s="190"/>
      <c r="Z772" s="190"/>
      <c r="AA772" s="190">
        <f>AA744+AA746+AA748+AA750+AA752+AA754+AA762</f>
        <v>4.419576157445313</v>
      </c>
      <c r="AB772" s="190"/>
      <c r="AC772" s="190"/>
      <c r="AD772" s="190"/>
      <c r="AH772" s="27"/>
      <c r="AJ772" s="27"/>
      <c r="AL772" s="58"/>
      <c r="AM772" s="58"/>
      <c r="AQ772" s="29"/>
    </row>
    <row r="773" spans="2:43" ht="12.75" customHeight="1">
      <c r="B773" s="4"/>
      <c r="C773" s="4"/>
      <c r="D773" s="258" t="s">
        <v>1226</v>
      </c>
      <c r="E773" s="259"/>
      <c r="F773" s="259"/>
      <c r="G773" s="259"/>
      <c r="H773" s="259"/>
      <c r="I773" s="259"/>
      <c r="J773" s="259"/>
      <c r="K773" s="259"/>
      <c r="L773" s="259"/>
      <c r="M773" s="259"/>
      <c r="N773" s="259"/>
      <c r="O773" s="260"/>
      <c r="P773" s="183" t="s">
        <v>1010</v>
      </c>
      <c r="Q773" s="183"/>
      <c r="R773" s="183"/>
      <c r="S773" s="190">
        <f>S745+S747+S749+S751+S753+S755+S763</f>
        <v>-15.164154941782586</v>
      </c>
      <c r="T773" s="190"/>
      <c r="U773" s="190"/>
      <c r="V773" s="190"/>
      <c r="W773" s="190">
        <f>W745+W747+W749+W751+W753+W755+W763</f>
        <v>3.140220569698325</v>
      </c>
      <c r="X773" s="190"/>
      <c r="Y773" s="190"/>
      <c r="Z773" s="190"/>
      <c r="AA773" s="190">
        <f>AA745+AA747+AA749+AA751+AA753+AA755+AA763</f>
        <v>-15.164154941782586</v>
      </c>
      <c r="AB773" s="190"/>
      <c r="AC773" s="190"/>
      <c r="AD773" s="190"/>
      <c r="AH773" s="27"/>
      <c r="AJ773" s="27"/>
      <c r="AL773" s="58"/>
      <c r="AM773" s="58"/>
      <c r="AQ773" s="29"/>
    </row>
    <row r="774" spans="2:43" ht="12.75" customHeight="1">
      <c r="B774" s="4"/>
      <c r="C774" s="4"/>
      <c r="D774" s="258" t="s">
        <v>574</v>
      </c>
      <c r="E774" s="259"/>
      <c r="F774" s="259"/>
      <c r="G774" s="259"/>
      <c r="H774" s="259"/>
      <c r="I774" s="259"/>
      <c r="J774" s="259"/>
      <c r="K774" s="259"/>
      <c r="L774" s="259"/>
      <c r="M774" s="259"/>
      <c r="N774" s="259"/>
      <c r="O774" s="260"/>
      <c r="P774" s="183" t="s">
        <v>570</v>
      </c>
      <c r="Q774" s="183"/>
      <c r="R774" s="183"/>
      <c r="S774" s="190">
        <f>IF($T$677=30,12,IF($T$677=40,15,IF($T$677=50,17,IF($T$677=60,19,"ERROR"))))*-1</f>
        <v>-15</v>
      </c>
      <c r="T774" s="190"/>
      <c r="U774" s="190"/>
      <c r="V774" s="190"/>
      <c r="W774" s="190">
        <f>S774</f>
        <v>-15</v>
      </c>
      <c r="X774" s="190"/>
      <c r="Y774" s="190"/>
      <c r="Z774" s="190"/>
      <c r="AA774" s="190">
        <f>S774</f>
        <v>-15</v>
      </c>
      <c r="AB774" s="190"/>
      <c r="AC774" s="190"/>
      <c r="AD774" s="190"/>
      <c r="AH774" s="27"/>
      <c r="AJ774" s="27"/>
      <c r="AL774" s="58"/>
      <c r="AM774" s="58"/>
      <c r="AQ774" s="29"/>
    </row>
    <row r="775" spans="2:43" ht="12.75" customHeight="1">
      <c r="B775" s="4"/>
      <c r="C775" s="4"/>
      <c r="D775" s="75"/>
      <c r="E775" s="72"/>
      <c r="F775" s="72"/>
      <c r="G775" s="73"/>
      <c r="H775" s="73"/>
      <c r="I775" s="73"/>
      <c r="J775" s="73"/>
      <c r="K775" s="53"/>
      <c r="L775" s="53"/>
      <c r="M775" s="53"/>
      <c r="N775" s="73"/>
      <c r="O775" s="74"/>
      <c r="P775" s="183" t="s">
        <v>571</v>
      </c>
      <c r="Q775" s="183"/>
      <c r="R775" s="183"/>
      <c r="S775" s="190">
        <f>$X$662</f>
        <v>2.250359141765158</v>
      </c>
      <c r="T775" s="190"/>
      <c r="U775" s="190"/>
      <c r="V775" s="190"/>
      <c r="W775" s="190">
        <f>$X$661</f>
        <v>2.250359141765158</v>
      </c>
      <c r="X775" s="190"/>
      <c r="Y775" s="190"/>
      <c r="Z775" s="190"/>
      <c r="AA775" s="190">
        <f>S775</f>
        <v>2.250359141765158</v>
      </c>
      <c r="AB775" s="190"/>
      <c r="AC775" s="190"/>
      <c r="AD775" s="190"/>
      <c r="AH775" s="27"/>
      <c r="AJ775" s="27"/>
      <c r="AL775" s="58"/>
      <c r="AM775" s="58"/>
      <c r="AQ775" s="29"/>
    </row>
    <row r="776" spans="2:43" ht="12.75" customHeight="1">
      <c r="B776" s="4"/>
      <c r="C776" s="4"/>
      <c r="D776" s="63"/>
      <c r="E776" s="64"/>
      <c r="F776" s="64"/>
      <c r="G776" s="65"/>
      <c r="H776" s="65"/>
      <c r="I776" s="65"/>
      <c r="J776" s="65"/>
      <c r="K776" s="66"/>
      <c r="L776" s="66"/>
      <c r="M776" s="66"/>
      <c r="N776" s="65"/>
      <c r="O776" s="67"/>
      <c r="P776" s="183" t="s">
        <v>1008</v>
      </c>
      <c r="Q776" s="183"/>
      <c r="R776" s="183"/>
      <c r="S776" s="190">
        <f>S744+S746+S748+S750+S752+S754+1/2*S758+S762</f>
        <v>4.445510367971629</v>
      </c>
      <c r="T776" s="190"/>
      <c r="U776" s="190"/>
      <c r="V776" s="190"/>
      <c r="W776" s="190">
        <f>W744+W746+W748+W750+W752+W754+1/2*W758+W762</f>
        <v>-13.918042719764701</v>
      </c>
      <c r="X776" s="190"/>
      <c r="Y776" s="190"/>
      <c r="Z776" s="190"/>
      <c r="AA776" s="190">
        <f>AA744+AA746+AA748+AA750+AA752+AA754+1/2*AA758+AA762</f>
        <v>4.445510367971629</v>
      </c>
      <c r="AB776" s="190"/>
      <c r="AC776" s="190"/>
      <c r="AD776" s="190"/>
      <c r="AH776" s="27"/>
      <c r="AJ776" s="27"/>
      <c r="AL776" s="58"/>
      <c r="AM776" s="58"/>
      <c r="AQ776" s="29"/>
    </row>
    <row r="777" spans="2:43" ht="12.75" customHeight="1">
      <c r="B777" s="4"/>
      <c r="C777" s="4"/>
      <c r="D777" s="258" t="s">
        <v>1410</v>
      </c>
      <c r="E777" s="259"/>
      <c r="F777" s="259"/>
      <c r="G777" s="259"/>
      <c r="H777" s="259"/>
      <c r="I777" s="259"/>
      <c r="J777" s="259"/>
      <c r="K777" s="259"/>
      <c r="L777" s="259"/>
      <c r="M777" s="259"/>
      <c r="N777" s="259"/>
      <c r="O777" s="260"/>
      <c r="P777" s="183" t="s">
        <v>1010</v>
      </c>
      <c r="Q777" s="183"/>
      <c r="R777" s="183"/>
      <c r="S777" s="190">
        <f>S745+S747+S749+S751+S753+S755+1/2*S759+S763</f>
        <v>-15.190089152308902</v>
      </c>
      <c r="T777" s="190"/>
      <c r="U777" s="190"/>
      <c r="V777" s="190"/>
      <c r="W777" s="190">
        <f>W745+W747+W749+W751+W753+W755+1/2*W759+W763</f>
        <v>3.140220569698325</v>
      </c>
      <c r="X777" s="190"/>
      <c r="Y777" s="190"/>
      <c r="Z777" s="190"/>
      <c r="AA777" s="190">
        <f>AA745+AA747+AA749+AA751+AA753+AA755+1/2*AA759+AA763</f>
        <v>-15.190089152308902</v>
      </c>
      <c r="AB777" s="190"/>
      <c r="AC777" s="190"/>
      <c r="AD777" s="190"/>
      <c r="AH777" s="27"/>
      <c r="AJ777" s="27"/>
      <c r="AL777" s="58"/>
      <c r="AM777" s="58"/>
      <c r="AQ777" s="29"/>
    </row>
    <row r="778" spans="2:43" ht="12.75" customHeight="1">
      <c r="B778" s="4"/>
      <c r="C778" s="4"/>
      <c r="D778" s="258" t="s">
        <v>575</v>
      </c>
      <c r="E778" s="259"/>
      <c r="F778" s="259"/>
      <c r="G778" s="259"/>
      <c r="H778" s="259"/>
      <c r="I778" s="259"/>
      <c r="J778" s="259"/>
      <c r="K778" s="259"/>
      <c r="L778" s="259"/>
      <c r="M778" s="259"/>
      <c r="N778" s="259"/>
      <c r="O778" s="260"/>
      <c r="P778" s="183" t="s">
        <v>576</v>
      </c>
      <c r="Q778" s="183"/>
      <c r="R778" s="183"/>
      <c r="S778" s="190">
        <f>IF($T$677=30,12,IF($T$677=40,15,IF($T$677=50,17,IF($T$677=60,19,"ERROR"))))*-1.25</f>
        <v>-18.75</v>
      </c>
      <c r="T778" s="190"/>
      <c r="U778" s="190"/>
      <c r="V778" s="190"/>
      <c r="W778" s="190">
        <f>S778</f>
        <v>-18.75</v>
      </c>
      <c r="X778" s="190"/>
      <c r="Y778" s="190"/>
      <c r="Z778" s="190"/>
      <c r="AA778" s="190">
        <f>S778</f>
        <v>-18.75</v>
      </c>
      <c r="AB778" s="190"/>
      <c r="AC778" s="190"/>
      <c r="AD778" s="190"/>
      <c r="AH778" s="27"/>
      <c r="AJ778" s="27"/>
      <c r="AL778" s="58"/>
      <c r="AM778" s="58"/>
      <c r="AQ778" s="29"/>
    </row>
    <row r="779" spans="2:43" ht="12.75" customHeight="1">
      <c r="B779" s="4"/>
      <c r="C779" s="4"/>
      <c r="D779" s="71" t="s">
        <v>42</v>
      </c>
      <c r="E779" s="72"/>
      <c r="F779" s="72"/>
      <c r="G779" s="73"/>
      <c r="H779" s="73"/>
      <c r="I779" s="73"/>
      <c r="J779" s="73"/>
      <c r="K779" s="53"/>
      <c r="L779" s="53"/>
      <c r="M779" s="53"/>
      <c r="N779" s="73"/>
      <c r="O779" s="74"/>
      <c r="P779" s="183" t="s">
        <v>577</v>
      </c>
      <c r="Q779" s="183"/>
      <c r="R779" s="183"/>
      <c r="S779" s="190">
        <f>$X$662</f>
        <v>2.250359141765158</v>
      </c>
      <c r="T779" s="190"/>
      <c r="U779" s="190"/>
      <c r="V779" s="190"/>
      <c r="W779" s="190">
        <f>$X$661</f>
        <v>2.250359141765158</v>
      </c>
      <c r="X779" s="190"/>
      <c r="Y779" s="190"/>
      <c r="Z779" s="190"/>
      <c r="AA779" s="190">
        <f>S779</f>
        <v>2.250359141765158</v>
      </c>
      <c r="AB779" s="190"/>
      <c r="AC779" s="190"/>
      <c r="AD779" s="190"/>
      <c r="AH779" s="27"/>
      <c r="AJ779" s="27"/>
      <c r="AL779" s="58"/>
      <c r="AM779" s="58"/>
      <c r="AQ779" s="29"/>
    </row>
    <row r="780" spans="2:43" ht="12.75" customHeight="1">
      <c r="B780" s="4"/>
      <c r="C780" s="4"/>
      <c r="D780" s="63"/>
      <c r="E780" s="64"/>
      <c r="F780" s="64"/>
      <c r="G780" s="65"/>
      <c r="H780" s="65"/>
      <c r="I780" s="65"/>
      <c r="J780" s="65"/>
      <c r="K780" s="66"/>
      <c r="L780" s="66"/>
      <c r="M780" s="66"/>
      <c r="N780" s="65"/>
      <c r="O780" s="67"/>
      <c r="P780" s="183" t="s">
        <v>1008</v>
      </c>
      <c r="Q780" s="183"/>
      <c r="R780" s="183"/>
      <c r="S780" s="190">
        <f>S744+S746+S748+S750+S758+S762</f>
        <v>-1.5606170281502525</v>
      </c>
      <c r="T780" s="190"/>
      <c r="U780" s="190"/>
      <c r="V780" s="190"/>
      <c r="W780" s="190">
        <f>W744+W746+W748+W750+W758+W762</f>
        <v>-7.4398294233658095</v>
      </c>
      <c r="X780" s="190"/>
      <c r="Y780" s="190"/>
      <c r="Z780" s="190"/>
      <c r="AA780" s="190">
        <f>AA744+AA746+AA748+AA750+AA758+AA762</f>
        <v>-1.5606170281502525</v>
      </c>
      <c r="AB780" s="190"/>
      <c r="AC780" s="190"/>
      <c r="AD780" s="190"/>
      <c r="AH780" s="27"/>
      <c r="AJ780" s="27"/>
      <c r="AL780" s="58"/>
      <c r="AM780" s="58"/>
      <c r="AQ780" s="29"/>
    </row>
    <row r="781" spans="2:43" ht="12.75" customHeight="1">
      <c r="B781" s="4"/>
      <c r="C781" s="4"/>
      <c r="D781" s="258" t="s">
        <v>3</v>
      </c>
      <c r="E781" s="259"/>
      <c r="F781" s="259"/>
      <c r="G781" s="259"/>
      <c r="H781" s="259"/>
      <c r="I781" s="259"/>
      <c r="J781" s="259"/>
      <c r="K781" s="259"/>
      <c r="L781" s="259"/>
      <c r="M781" s="259"/>
      <c r="N781" s="259"/>
      <c r="O781" s="260"/>
      <c r="P781" s="183" t="s">
        <v>1010</v>
      </c>
      <c r="Q781" s="183"/>
      <c r="R781" s="183"/>
      <c r="S781" s="190">
        <f>S745+S747+S749+S751+S759+S763</f>
        <v>-9.18396175618702</v>
      </c>
      <c r="T781" s="190"/>
      <c r="U781" s="190"/>
      <c r="V781" s="190"/>
      <c r="W781" s="190">
        <f>W745+W747+W749+W751+W759+W763</f>
        <v>-3.337992726700566</v>
      </c>
      <c r="X781" s="190"/>
      <c r="Y781" s="190"/>
      <c r="Z781" s="190"/>
      <c r="AA781" s="190">
        <f>AA745+AA747+AA749+AA751+AA759+AA763</f>
        <v>-9.18396175618702</v>
      </c>
      <c r="AB781" s="190"/>
      <c r="AC781" s="190"/>
      <c r="AD781" s="190"/>
      <c r="AH781" s="27"/>
      <c r="AJ781" s="27"/>
      <c r="AL781" s="58"/>
      <c r="AM781" s="58"/>
      <c r="AQ781" s="29"/>
    </row>
    <row r="782" spans="2:43" ht="12.75" customHeight="1">
      <c r="B782" s="4"/>
      <c r="C782" s="4"/>
      <c r="D782" s="258" t="s">
        <v>578</v>
      </c>
      <c r="E782" s="259"/>
      <c r="F782" s="259"/>
      <c r="G782" s="259"/>
      <c r="H782" s="259"/>
      <c r="I782" s="259"/>
      <c r="J782" s="259"/>
      <c r="K782" s="259"/>
      <c r="L782" s="259"/>
      <c r="M782" s="259"/>
      <c r="N782" s="259"/>
      <c r="O782" s="260"/>
      <c r="P782" s="183" t="s">
        <v>576</v>
      </c>
      <c r="Q782" s="183"/>
      <c r="R782" s="183"/>
      <c r="S782" s="190">
        <f>IF($T$677=30,12,IF($T$677=40,15,IF($T$677=50,17,IF($T$677=60,19,"ERROR"))))*-1.25</f>
        <v>-18.75</v>
      </c>
      <c r="T782" s="190"/>
      <c r="U782" s="190"/>
      <c r="V782" s="190"/>
      <c r="W782" s="190">
        <f>S782</f>
        <v>-18.75</v>
      </c>
      <c r="X782" s="190"/>
      <c r="Y782" s="190"/>
      <c r="Z782" s="190"/>
      <c r="AA782" s="190">
        <f>S782</f>
        <v>-18.75</v>
      </c>
      <c r="AB782" s="190"/>
      <c r="AC782" s="190"/>
      <c r="AD782" s="190"/>
      <c r="AH782" s="27"/>
      <c r="AJ782" s="27"/>
      <c r="AL782" s="58"/>
      <c r="AM782" s="58"/>
      <c r="AQ782" s="29"/>
    </row>
    <row r="783" spans="2:43" ht="12.75" customHeight="1">
      <c r="B783" s="4"/>
      <c r="C783" s="4"/>
      <c r="D783" s="71"/>
      <c r="E783" s="72"/>
      <c r="F783" s="72"/>
      <c r="G783" s="73"/>
      <c r="H783" s="73"/>
      <c r="I783" s="73"/>
      <c r="J783" s="73"/>
      <c r="K783" s="53"/>
      <c r="L783" s="53"/>
      <c r="M783" s="53"/>
      <c r="N783" s="73"/>
      <c r="O783" s="74"/>
      <c r="P783" s="183" t="s">
        <v>577</v>
      </c>
      <c r="Q783" s="183"/>
      <c r="R783" s="183"/>
      <c r="S783" s="190">
        <f>$X$662</f>
        <v>2.250359141765158</v>
      </c>
      <c r="T783" s="190"/>
      <c r="U783" s="190"/>
      <c r="V783" s="190"/>
      <c r="W783" s="190">
        <f>$X$661</f>
        <v>2.250359141765158</v>
      </c>
      <c r="X783" s="190"/>
      <c r="Y783" s="190"/>
      <c r="Z783" s="190"/>
      <c r="AA783" s="190">
        <f>S783</f>
        <v>2.250359141765158</v>
      </c>
      <c r="AB783" s="190"/>
      <c r="AC783" s="190"/>
      <c r="AD783" s="190"/>
      <c r="AH783" s="27"/>
      <c r="AJ783" s="27"/>
      <c r="AL783" s="58"/>
      <c r="AM783" s="58"/>
      <c r="AQ783" s="29"/>
    </row>
    <row r="784" spans="2:43" ht="12.75" customHeight="1">
      <c r="B784" s="4"/>
      <c r="C784" s="4"/>
      <c r="D784" s="291" t="s">
        <v>1227</v>
      </c>
      <c r="E784" s="292"/>
      <c r="F784" s="292"/>
      <c r="G784" s="292"/>
      <c r="H784" s="292"/>
      <c r="I784" s="292"/>
      <c r="J784" s="292"/>
      <c r="K784" s="292"/>
      <c r="L784" s="292"/>
      <c r="M784" s="292"/>
      <c r="N784" s="292"/>
      <c r="O784" s="293"/>
      <c r="P784" s="183" t="s">
        <v>1008</v>
      </c>
      <c r="Q784" s="183"/>
      <c r="R784" s="183"/>
      <c r="S784" s="190">
        <f>S744+S746+S748+S750+S752+S756+S762</f>
        <v>4.284015215617059</v>
      </c>
      <c r="T784" s="190"/>
      <c r="U784" s="190"/>
      <c r="V784" s="190"/>
      <c r="W784" s="190">
        <f>W744+W746+W748+W750+W752+W756+W762</f>
        <v>-13.918042719764701</v>
      </c>
      <c r="X784" s="190"/>
      <c r="Y784" s="190"/>
      <c r="Z784" s="190"/>
      <c r="AA784" s="190">
        <f>AA744+AA746+AA748+AA750+AA752+AA756+AA762</f>
        <v>4.284015215617059</v>
      </c>
      <c r="AB784" s="190"/>
      <c r="AC784" s="190"/>
      <c r="AD784" s="190"/>
      <c r="AH784" s="27"/>
      <c r="AJ784" s="27"/>
      <c r="AL784" s="58"/>
      <c r="AM784" s="58"/>
      <c r="AQ784" s="29"/>
    </row>
    <row r="785" spans="2:43" ht="12.75" customHeight="1">
      <c r="B785" s="4"/>
      <c r="C785" s="4"/>
      <c r="D785" s="70" t="s">
        <v>579</v>
      </c>
      <c r="E785" s="68"/>
      <c r="F785" s="76"/>
      <c r="G785" s="68"/>
      <c r="H785" s="68"/>
      <c r="I785" s="68"/>
      <c r="J785" s="68"/>
      <c r="K785" s="62"/>
      <c r="L785" s="62"/>
      <c r="M785" s="62"/>
      <c r="N785" s="68"/>
      <c r="O785" s="69"/>
      <c r="P785" s="183" t="s">
        <v>1010</v>
      </c>
      <c r="Q785" s="183"/>
      <c r="R785" s="183"/>
      <c r="S785" s="190">
        <f>S745+S747+S749+S751+S753+S757+S763</f>
        <v>-15.028593999954332</v>
      </c>
      <c r="T785" s="190"/>
      <c r="U785" s="190"/>
      <c r="V785" s="190"/>
      <c r="W785" s="190">
        <f>W745+W747+W749+W751+W753+W757+W763</f>
        <v>3.140220569698325</v>
      </c>
      <c r="X785" s="190"/>
      <c r="Y785" s="190"/>
      <c r="Z785" s="190"/>
      <c r="AA785" s="190">
        <f>AA745+AA747+AA749+AA751+AA753+AA757+AA763</f>
        <v>-15.028593999954332</v>
      </c>
      <c r="AB785" s="190"/>
      <c r="AC785" s="190"/>
      <c r="AD785" s="190"/>
      <c r="AH785" s="27"/>
      <c r="AJ785" s="27"/>
      <c r="AL785" s="58"/>
      <c r="AM785" s="58"/>
      <c r="AQ785" s="29"/>
    </row>
    <row r="786" spans="2:43" ht="12.75" customHeight="1">
      <c r="B786" s="4"/>
      <c r="C786" s="4"/>
      <c r="D786" s="71"/>
      <c r="E786" s="72"/>
      <c r="F786" s="72"/>
      <c r="G786" s="73"/>
      <c r="H786" s="73"/>
      <c r="I786" s="73"/>
      <c r="J786" s="73"/>
      <c r="K786" s="53"/>
      <c r="L786" s="53"/>
      <c r="M786" s="53"/>
      <c r="N786" s="73"/>
      <c r="O786" s="74"/>
      <c r="P786" s="183" t="s">
        <v>580</v>
      </c>
      <c r="Q786" s="183"/>
      <c r="R786" s="183"/>
      <c r="S786" s="190">
        <f>S774*1.5</f>
        <v>-22.5</v>
      </c>
      <c r="T786" s="190"/>
      <c r="U786" s="190"/>
      <c r="V786" s="190"/>
      <c r="W786" s="190">
        <f>S786</f>
        <v>-22.5</v>
      </c>
      <c r="X786" s="190"/>
      <c r="Y786" s="190"/>
      <c r="Z786" s="190"/>
      <c r="AA786" s="190">
        <f>S786</f>
        <v>-22.5</v>
      </c>
      <c r="AB786" s="190"/>
      <c r="AC786" s="190"/>
      <c r="AD786" s="190"/>
      <c r="AH786" s="27"/>
      <c r="AJ786" s="27"/>
      <c r="AL786" s="58"/>
      <c r="AM786" s="58"/>
      <c r="AQ786" s="29"/>
    </row>
    <row r="787" spans="2:45" ht="12.75" customHeight="1">
      <c r="B787" s="4"/>
      <c r="C787" s="4"/>
      <c r="D787" s="58" t="s">
        <v>1326</v>
      </c>
      <c r="E787" s="58"/>
      <c r="H787" s="58" t="s">
        <v>1412</v>
      </c>
      <c r="I787" s="58"/>
      <c r="J787" s="58"/>
      <c r="K787" s="4"/>
      <c r="L787" s="4"/>
      <c r="M787" s="4"/>
      <c r="N787" s="4"/>
      <c r="O787" s="4"/>
      <c r="Q787" s="261">
        <f>IF($T$677=30,15,IF($T$677=40,19,IF($T$677=50,21,IF($T$677=60,23,"ERROR"))))*-1</f>
        <v>-19</v>
      </c>
      <c r="R787" s="261"/>
      <c r="S787" s="261"/>
      <c r="U787" s="27" t="s">
        <v>581</v>
      </c>
      <c r="W787" s="27" t="s">
        <v>582</v>
      </c>
      <c r="Z787" s="27" t="s">
        <v>581</v>
      </c>
      <c r="AB787" s="261">
        <f>IF($T$677=30,1.2,IF($T$677=40,1.5,IF($T$677=50,1.8,IF($T$677=60,2,"ERROR"))))</f>
        <v>1.5</v>
      </c>
      <c r="AC787" s="261"/>
      <c r="AD787" s="261"/>
      <c r="AE787" s="29" t="s">
        <v>385</v>
      </c>
      <c r="AH787" s="27"/>
      <c r="AI787" s="27"/>
      <c r="AJ787" s="27"/>
      <c r="AQ787" s="29"/>
      <c r="AR787" s="29"/>
      <c r="AS787" s="29"/>
    </row>
    <row r="788" spans="2:45" ht="12.75" customHeight="1">
      <c r="B788" s="4"/>
      <c r="C788" s="4"/>
      <c r="D788" s="4"/>
      <c r="E788" s="4"/>
      <c r="H788" s="4" t="s">
        <v>572</v>
      </c>
      <c r="I788" s="4"/>
      <c r="J788" s="4"/>
      <c r="K788" s="4"/>
      <c r="L788" s="4"/>
      <c r="M788" s="4"/>
      <c r="N788" s="4"/>
      <c r="O788" s="4"/>
      <c r="Q788" s="261">
        <f>IF($T$677=30,12,IF($T$677=40,15,IF($T$677=50,17,IF($T$677=60,19,"ERROR"))))*-1</f>
        <v>-15</v>
      </c>
      <c r="R788" s="261"/>
      <c r="S788" s="261"/>
      <c r="U788" s="27" t="s">
        <v>581</v>
      </c>
      <c r="W788" s="27" t="s">
        <v>582</v>
      </c>
      <c r="Z788" s="27" t="s">
        <v>581</v>
      </c>
      <c r="AB788" s="261">
        <f>$X$661</f>
        <v>2.250359141765158</v>
      </c>
      <c r="AC788" s="261"/>
      <c r="AD788" s="261"/>
      <c r="AE788" s="27" t="s">
        <v>555</v>
      </c>
      <c r="AF788" s="261">
        <f>$X$662</f>
        <v>2.250359141765158</v>
      </c>
      <c r="AG788" s="261"/>
      <c r="AH788" s="261"/>
      <c r="AI788" s="27" t="s">
        <v>423</v>
      </c>
      <c r="AJ788" s="29" t="s">
        <v>385</v>
      </c>
      <c r="AQ788" s="29"/>
      <c r="AR788" s="29"/>
      <c r="AS788" s="29"/>
    </row>
    <row r="789" spans="2:45" ht="12.75" customHeight="1">
      <c r="B789" s="4"/>
      <c r="C789" s="4"/>
      <c r="D789" s="4"/>
      <c r="E789" s="4"/>
      <c r="H789" s="4" t="s">
        <v>1226</v>
      </c>
      <c r="I789" s="4"/>
      <c r="J789" s="4"/>
      <c r="K789" s="4"/>
      <c r="L789" s="4"/>
      <c r="M789" s="4"/>
      <c r="N789" s="4"/>
      <c r="O789" s="4"/>
      <c r="Q789" s="261">
        <f>IF($T$677=30,12,IF($T$677=40,15,IF($T$677=50,17,IF($T$677=60,19,"ERROR"))))*-1</f>
        <v>-15</v>
      </c>
      <c r="R789" s="261"/>
      <c r="S789" s="261"/>
      <c r="U789" s="27" t="s">
        <v>581</v>
      </c>
      <c r="W789" s="27" t="s">
        <v>582</v>
      </c>
      <c r="Z789" s="27" t="s">
        <v>581</v>
      </c>
      <c r="AB789" s="261">
        <f>$X$661</f>
        <v>2.250359141765158</v>
      </c>
      <c r="AC789" s="261"/>
      <c r="AD789" s="261"/>
      <c r="AE789" s="27" t="s">
        <v>555</v>
      </c>
      <c r="AF789" s="261">
        <f>$X$662</f>
        <v>2.250359141765158</v>
      </c>
      <c r="AG789" s="261"/>
      <c r="AH789" s="261"/>
      <c r="AI789" s="27" t="s">
        <v>423</v>
      </c>
      <c r="AJ789" s="29" t="s">
        <v>385</v>
      </c>
      <c r="AQ789" s="29"/>
      <c r="AR789" s="29"/>
      <c r="AS789" s="29"/>
    </row>
    <row r="790" spans="2:45" ht="12.75" customHeight="1">
      <c r="B790" s="4"/>
      <c r="C790" s="4"/>
      <c r="D790" s="4"/>
      <c r="E790" s="4"/>
      <c r="H790" s="4" t="s">
        <v>4</v>
      </c>
      <c r="I790" s="4"/>
      <c r="J790" s="4"/>
      <c r="K790" s="4"/>
      <c r="L790" s="4"/>
      <c r="M790" s="4"/>
      <c r="N790" s="4"/>
      <c r="O790" s="4"/>
      <c r="Q790" s="261">
        <f>IF($T$677=30,12,IF($T$677=40,15,IF($T$677=50,17,IF($T$677=60,19,"ERROR"))))*-1.25</f>
        <v>-18.75</v>
      </c>
      <c r="R790" s="261"/>
      <c r="S790" s="261"/>
      <c r="U790" s="27" t="s">
        <v>585</v>
      </c>
      <c r="W790" s="27" t="s">
        <v>586</v>
      </c>
      <c r="Z790" s="27" t="s">
        <v>585</v>
      </c>
      <c r="AB790" s="261">
        <f>$X$661</f>
        <v>2.250359141765158</v>
      </c>
      <c r="AC790" s="261"/>
      <c r="AD790" s="261"/>
      <c r="AE790" s="27" t="s">
        <v>1048</v>
      </c>
      <c r="AF790" s="261">
        <f>$X$662</f>
        <v>2.250359141765158</v>
      </c>
      <c r="AG790" s="261"/>
      <c r="AH790" s="261"/>
      <c r="AI790" s="27" t="s">
        <v>587</v>
      </c>
      <c r="AJ790" s="29" t="s">
        <v>588</v>
      </c>
      <c r="AQ790" s="29"/>
      <c r="AR790" s="29"/>
      <c r="AS790" s="29"/>
    </row>
    <row r="791" spans="2:45" ht="12.75" customHeight="1">
      <c r="B791" s="4"/>
      <c r="C791" s="4"/>
      <c r="D791" s="4"/>
      <c r="E791" s="4"/>
      <c r="H791" s="4" t="s">
        <v>0</v>
      </c>
      <c r="I791" s="4"/>
      <c r="J791" s="4"/>
      <c r="K791" s="4"/>
      <c r="L791" s="4"/>
      <c r="M791" s="4"/>
      <c r="N791" s="4"/>
      <c r="O791" s="4"/>
      <c r="Q791" s="261">
        <f>Q789*1.5</f>
        <v>-22.5</v>
      </c>
      <c r="R791" s="261"/>
      <c r="S791" s="261"/>
      <c r="U791" s="27" t="s">
        <v>589</v>
      </c>
      <c r="W791" s="27" t="s">
        <v>590</v>
      </c>
      <c r="Z791" s="27" t="s">
        <v>589</v>
      </c>
      <c r="AB791" s="261">
        <f>$X$661</f>
        <v>2.250359141765158</v>
      </c>
      <c r="AC791" s="261"/>
      <c r="AD791" s="261"/>
      <c r="AE791" s="27" t="s">
        <v>1355</v>
      </c>
      <c r="AF791" s="261">
        <f>$X$662</f>
        <v>2.250359141765158</v>
      </c>
      <c r="AG791" s="261"/>
      <c r="AH791" s="261"/>
      <c r="AI791" s="27" t="s">
        <v>1118</v>
      </c>
      <c r="AJ791" s="29" t="s">
        <v>1116</v>
      </c>
      <c r="AQ791" s="29"/>
      <c r="AR791" s="29"/>
      <c r="AS791" s="29"/>
    </row>
    <row r="792" spans="2:43" ht="12.75" customHeight="1">
      <c r="B792" s="4"/>
      <c r="C792" s="4"/>
      <c r="D792" s="4"/>
      <c r="E792" s="4"/>
      <c r="F792" s="4"/>
      <c r="H792" s="4"/>
      <c r="I792" s="4"/>
      <c r="J792" s="4"/>
      <c r="K792" s="4"/>
      <c r="L792" s="4"/>
      <c r="M792" s="4"/>
      <c r="N792" s="4" t="s">
        <v>1049</v>
      </c>
      <c r="AH792" s="27"/>
      <c r="AQ792" s="29"/>
    </row>
    <row r="793" spans="2:43" ht="12.75" customHeight="1">
      <c r="B793" s="4"/>
      <c r="C793" s="4"/>
      <c r="D793" s="4"/>
      <c r="E793" s="4"/>
      <c r="F793" s="4"/>
      <c r="G793" s="4"/>
      <c r="H793" s="4"/>
      <c r="I793" s="4"/>
      <c r="J793" s="4"/>
      <c r="K793" s="4"/>
      <c r="L793" s="4"/>
      <c r="M793" s="4"/>
      <c r="AH793" s="27"/>
      <c r="AQ793" s="29"/>
    </row>
    <row r="794" spans="1:12" ht="19.5" customHeight="1">
      <c r="A794" s="4"/>
      <c r="B794" s="4"/>
      <c r="C794" s="4"/>
      <c r="D794" s="4"/>
      <c r="E794" s="4"/>
      <c r="F794" s="4"/>
      <c r="G794" s="4"/>
      <c r="H794" s="4"/>
      <c r="I794" s="4"/>
      <c r="J794" s="4"/>
      <c r="K794" s="4"/>
      <c r="L794" s="4"/>
    </row>
    <row r="795" spans="2:45" ht="19.5" customHeight="1">
      <c r="B795" s="4" t="s">
        <v>592</v>
      </c>
      <c r="C795" s="4" t="s">
        <v>5</v>
      </c>
      <c r="D795" s="4"/>
      <c r="E795" s="4"/>
      <c r="F795" s="4"/>
      <c r="G795" s="4"/>
      <c r="H795" s="4"/>
      <c r="I795" s="4"/>
      <c r="J795" s="4"/>
      <c r="K795" s="4"/>
      <c r="L795" s="4"/>
      <c r="M795" s="4"/>
      <c r="AH795" s="27"/>
      <c r="AQ795" s="29"/>
      <c r="AS795" s="36"/>
    </row>
    <row r="796" spans="1:56" ht="19.5" customHeight="1">
      <c r="A796" s="4"/>
      <c r="B796" s="4"/>
      <c r="D796" s="4" t="s">
        <v>6</v>
      </c>
      <c r="E796" s="4"/>
      <c r="F796" s="4"/>
      <c r="G796" s="4"/>
      <c r="H796" s="4"/>
      <c r="I796" s="4"/>
      <c r="J796" s="4"/>
      <c r="K796" s="4"/>
      <c r="L796" s="4"/>
      <c r="AX796" s="29"/>
      <c r="AY796" s="29"/>
      <c r="AZ796" s="29"/>
      <c r="BA796" s="29"/>
      <c r="BB796" s="29"/>
      <c r="BC796" s="29"/>
      <c r="BD796" s="29"/>
    </row>
    <row r="797" spans="1:56" ht="19.5" customHeight="1">
      <c r="A797" s="4"/>
      <c r="B797" s="4"/>
      <c r="C797" s="4"/>
      <c r="E797" s="4" t="s">
        <v>7</v>
      </c>
      <c r="F797" s="4"/>
      <c r="G797" s="4"/>
      <c r="H797" s="4"/>
      <c r="I797" s="4"/>
      <c r="J797" s="4"/>
      <c r="K797" s="4"/>
      <c r="L797" s="4"/>
      <c r="AX797" s="29"/>
      <c r="AY797" s="29"/>
      <c r="AZ797" s="29"/>
      <c r="BA797" s="29"/>
      <c r="BB797" s="29"/>
      <c r="BC797" s="29"/>
      <c r="BD797" s="29"/>
    </row>
    <row r="798" spans="1:56" ht="19.5" customHeight="1">
      <c r="A798" s="4"/>
      <c r="B798" s="4"/>
      <c r="C798" s="4"/>
      <c r="D798" s="4"/>
      <c r="E798" s="4"/>
      <c r="F798" s="4"/>
      <c r="G798" s="4"/>
      <c r="H798" s="4"/>
      <c r="I798" s="4"/>
      <c r="J798" s="4"/>
      <c r="K798" s="4"/>
      <c r="L798" s="4"/>
      <c r="AX798" s="29"/>
      <c r="AY798" s="29"/>
      <c r="AZ798" s="29"/>
      <c r="BA798" s="29"/>
      <c r="BB798" s="29"/>
      <c r="BC798" s="29"/>
      <c r="BD798" s="29"/>
    </row>
    <row r="799" spans="1:12" ht="19.5" customHeight="1">
      <c r="A799" s="4"/>
      <c r="B799" s="4"/>
      <c r="C799" s="4"/>
      <c r="D799" s="4"/>
      <c r="E799" s="4" t="s">
        <v>8</v>
      </c>
      <c r="G799" s="4"/>
      <c r="H799" s="4"/>
      <c r="I799" s="4"/>
      <c r="J799" s="4"/>
      <c r="K799" s="4"/>
      <c r="L799" s="4"/>
    </row>
    <row r="800" spans="1:37" ht="19.5" customHeight="1">
      <c r="A800" s="4"/>
      <c r="B800" s="4"/>
      <c r="C800" s="4"/>
      <c r="D800" s="4"/>
      <c r="E800" s="4"/>
      <c r="F800" s="27" t="s">
        <v>923</v>
      </c>
      <c r="L800" s="4" t="s">
        <v>593</v>
      </c>
      <c r="M800" s="4"/>
      <c r="N800" s="375">
        <v>0.0035</v>
      </c>
      <c r="O800" s="375"/>
      <c r="P800" s="375"/>
      <c r="Q800" s="4" t="s">
        <v>594</v>
      </c>
      <c r="R800" s="27" t="s">
        <v>290</v>
      </c>
      <c r="S800" s="235">
        <f>N800</f>
        <v>0.0035</v>
      </c>
      <c r="T800" s="235"/>
      <c r="U800" s="235"/>
      <c r="V800" s="27" t="s">
        <v>349</v>
      </c>
      <c r="W800" s="237">
        <f>Y817</f>
        <v>30.5</v>
      </c>
      <c r="X800" s="320"/>
      <c r="Y800" s="320"/>
      <c r="Z800" s="27" t="s">
        <v>290</v>
      </c>
      <c r="AA800" s="321">
        <f>S800*W800</f>
        <v>0.10675</v>
      </c>
      <c r="AB800" s="321"/>
      <c r="AC800" s="321"/>
      <c r="AD800" s="321"/>
      <c r="AE800" s="27" t="s">
        <v>595</v>
      </c>
      <c r="AH800" s="27"/>
      <c r="AI800" s="27"/>
      <c r="AJ800" s="27"/>
      <c r="AK800" s="27"/>
    </row>
    <row r="801" spans="1:37" ht="19.5" customHeight="1">
      <c r="A801" s="4"/>
      <c r="B801" s="4"/>
      <c r="C801" s="4"/>
      <c r="D801" s="4"/>
      <c r="E801" s="4"/>
      <c r="F801" s="27" t="s">
        <v>924</v>
      </c>
      <c r="L801" s="4" t="s">
        <v>593</v>
      </c>
      <c r="M801" s="4"/>
      <c r="N801" s="375">
        <v>0.005</v>
      </c>
      <c r="O801" s="375"/>
      <c r="P801" s="375"/>
      <c r="Q801" s="4" t="s">
        <v>594</v>
      </c>
      <c r="R801" s="27" t="s">
        <v>290</v>
      </c>
      <c r="S801" s="235">
        <f>N801</f>
        <v>0.005</v>
      </c>
      <c r="T801" s="235"/>
      <c r="U801" s="235"/>
      <c r="V801" s="27" t="s">
        <v>349</v>
      </c>
      <c r="W801" s="237">
        <f>Y818</f>
        <v>30.5</v>
      </c>
      <c r="X801" s="320"/>
      <c r="Y801" s="320"/>
      <c r="Z801" s="27" t="s">
        <v>290</v>
      </c>
      <c r="AA801" s="321">
        <f>S801*W801</f>
        <v>0.1525</v>
      </c>
      <c r="AB801" s="321"/>
      <c r="AC801" s="321"/>
      <c r="AD801" s="321"/>
      <c r="AE801" s="27" t="s">
        <v>595</v>
      </c>
      <c r="AH801" s="27"/>
      <c r="AI801" s="27"/>
      <c r="AJ801" s="27"/>
      <c r="AK801" s="27"/>
    </row>
    <row r="802" spans="1:56" ht="19.5" customHeight="1">
      <c r="A802" s="4"/>
      <c r="B802" s="4"/>
      <c r="C802" s="4"/>
      <c r="D802" s="4"/>
      <c r="E802" s="4" t="s">
        <v>9</v>
      </c>
      <c r="F802" s="4"/>
      <c r="G802" s="4"/>
      <c r="H802" s="4"/>
      <c r="I802" s="4"/>
      <c r="J802" s="4"/>
      <c r="K802" s="4"/>
      <c r="L802" s="4"/>
      <c r="AX802" s="29"/>
      <c r="AY802" s="29"/>
      <c r="AZ802" s="29"/>
      <c r="BA802" s="29"/>
      <c r="BB802" s="29"/>
      <c r="BC802" s="29"/>
      <c r="BD802" s="29"/>
    </row>
    <row r="803" spans="3:44" ht="19.5" customHeight="1">
      <c r="C803" s="4"/>
      <c r="D803" s="4"/>
      <c r="E803" s="49"/>
      <c r="F803" s="49" t="s">
        <v>1050</v>
      </c>
      <c r="G803" s="83" t="s">
        <v>1051</v>
      </c>
      <c r="H803" s="49"/>
      <c r="I803" s="49"/>
      <c r="J803" s="376"/>
      <c r="K803" s="376"/>
      <c r="L803" s="376"/>
      <c r="M803" s="376"/>
      <c r="N803" s="49"/>
      <c r="O803" s="49"/>
      <c r="P803" s="49"/>
      <c r="Q803" s="49"/>
      <c r="R803" s="49"/>
      <c r="S803" s="49"/>
      <c r="T803" s="49"/>
      <c r="U803" s="49"/>
      <c r="V803" s="49"/>
      <c r="W803" s="49"/>
      <c r="X803" s="49"/>
      <c r="Y803" s="49"/>
      <c r="AE803" s="376"/>
      <c r="AF803" s="376"/>
      <c r="AG803" s="376"/>
      <c r="AH803" s="376"/>
      <c r="AI803" s="27"/>
      <c r="AQ803" s="29"/>
      <c r="AR803" s="29"/>
    </row>
    <row r="804" spans="1:38" ht="19.5" customHeight="1">
      <c r="A804" s="4"/>
      <c r="B804" s="4"/>
      <c r="C804" s="4"/>
      <c r="D804" s="4"/>
      <c r="E804" s="4"/>
      <c r="F804" s="4"/>
      <c r="G804" s="4" t="s">
        <v>1045</v>
      </c>
      <c r="H804" s="235">
        <v>1.1</v>
      </c>
      <c r="I804" s="235"/>
      <c r="J804" s="27" t="s">
        <v>1046</v>
      </c>
      <c r="K804" s="244">
        <v>1</v>
      </c>
      <c r="L804" s="244"/>
      <c r="M804" s="27" t="s">
        <v>1046</v>
      </c>
      <c r="N804" s="243">
        <f>AE810</f>
        <v>0.95</v>
      </c>
      <c r="O804" s="243"/>
      <c r="P804" s="243"/>
      <c r="Q804" s="27" t="s">
        <v>1046</v>
      </c>
      <c r="R804" s="243">
        <f>AF814</f>
        <v>1</v>
      </c>
      <c r="S804" s="243"/>
      <c r="T804" s="243"/>
      <c r="U804" s="27" t="s">
        <v>1052</v>
      </c>
      <c r="W804" s="27">
        <v>4</v>
      </c>
      <c r="X804" s="27" t="s">
        <v>1046</v>
      </c>
      <c r="Y804" s="237">
        <f>Y817</f>
        <v>30.5</v>
      </c>
      <c r="Z804" s="320"/>
      <c r="AA804" s="320"/>
      <c r="AB804" s="27" t="s">
        <v>1053</v>
      </c>
      <c r="AC804" s="236">
        <v>0.7</v>
      </c>
      <c r="AD804" s="236"/>
      <c r="AE804" s="27" t="s">
        <v>1054</v>
      </c>
      <c r="AG804" s="320">
        <f>K254</f>
        <v>125</v>
      </c>
      <c r="AH804" s="320"/>
      <c r="AI804" s="82" t="s">
        <v>1401</v>
      </c>
      <c r="AJ804" s="303">
        <f>Z820</f>
        <v>19</v>
      </c>
      <c r="AK804" s="303"/>
      <c r="AL804" s="29" t="s">
        <v>1122</v>
      </c>
    </row>
    <row r="805" spans="1:30" ht="19.5" customHeight="1">
      <c r="A805" s="4"/>
      <c r="B805" s="4"/>
      <c r="C805" s="4"/>
      <c r="D805" s="4"/>
      <c r="E805" s="4"/>
      <c r="F805" s="4"/>
      <c r="G805" s="4"/>
      <c r="H805" s="4" t="s">
        <v>1016</v>
      </c>
      <c r="I805" s="4"/>
      <c r="J805" s="27" t="s">
        <v>1055</v>
      </c>
      <c r="K805" s="244">
        <f>S828</f>
        <v>14.523283757413013</v>
      </c>
      <c r="L805" s="235"/>
      <c r="M805" s="235"/>
      <c r="N805" s="235"/>
      <c r="O805" s="39" t="s">
        <v>1056</v>
      </c>
      <c r="Q805" s="250">
        <f>Y822</f>
        <v>2</v>
      </c>
      <c r="R805" s="250"/>
      <c r="S805" s="250"/>
      <c r="T805" s="27" t="s">
        <v>1046</v>
      </c>
      <c r="U805" s="322" t="s">
        <v>1057</v>
      </c>
      <c r="V805" s="236"/>
      <c r="W805" s="27" t="s">
        <v>1058</v>
      </c>
      <c r="X805" s="27" t="s">
        <v>1053</v>
      </c>
      <c r="Y805" s="236">
        <f>R824</f>
        <v>150</v>
      </c>
      <c r="Z805" s="236"/>
      <c r="AA805" s="39" t="s">
        <v>1059</v>
      </c>
      <c r="AD805" s="27" t="s">
        <v>1060</v>
      </c>
    </row>
    <row r="806" spans="1:26" ht="19.5" customHeight="1">
      <c r="A806" s="4"/>
      <c r="B806" s="4"/>
      <c r="C806" s="4"/>
      <c r="D806" s="4"/>
      <c r="E806" s="4"/>
      <c r="F806" s="4"/>
      <c r="G806" s="4" t="s">
        <v>1045</v>
      </c>
      <c r="H806" s="248">
        <f>H804*K804*N804*R804*(W804*Y804+AC804*(AG804-AJ804))*(K805/(Q805*10^5)+Y805*10^(-6))</f>
        <v>0.045642821727493156</v>
      </c>
      <c r="I806" s="248"/>
      <c r="J806" s="248"/>
      <c r="K806" s="248"/>
      <c r="L806" s="33" t="s">
        <v>1061</v>
      </c>
      <c r="M806" s="33"/>
      <c r="N806" s="322" t="str">
        <f>IF(H806&lt;=S806,"&lt;","&gt;")</f>
        <v>&lt;</v>
      </c>
      <c r="O806" s="322"/>
      <c r="P806" s="54"/>
      <c r="Q806" s="4" t="s">
        <v>1062</v>
      </c>
      <c r="R806" s="54"/>
      <c r="S806" s="321">
        <f>AA801</f>
        <v>0.1525</v>
      </c>
      <c r="T806" s="321"/>
      <c r="U806" s="321"/>
      <c r="V806" s="321"/>
      <c r="W806" s="27" t="s">
        <v>1061</v>
      </c>
      <c r="Z806" s="27" t="str">
        <f>IF(H806&lt;=S806,"O.K.","N.G.")</f>
        <v>O.K.</v>
      </c>
    </row>
    <row r="807" spans="1:43" ht="19.5" customHeight="1">
      <c r="A807" s="4"/>
      <c r="B807" s="4"/>
      <c r="C807" s="4"/>
      <c r="D807" s="4"/>
      <c r="E807" s="4"/>
      <c r="F807" s="4"/>
      <c r="G807" s="4" t="s">
        <v>929</v>
      </c>
      <c r="H807" s="4"/>
      <c r="I807" s="4"/>
      <c r="J807" s="4"/>
      <c r="K807" s="4" t="s">
        <v>1063</v>
      </c>
      <c r="L807" s="4"/>
      <c r="N807" s="27" t="s">
        <v>10</v>
      </c>
      <c r="AH807" s="27"/>
      <c r="AQ807" s="29"/>
    </row>
    <row r="808" spans="1:43" ht="19.5" customHeight="1">
      <c r="A808" s="4"/>
      <c r="B808" s="4"/>
      <c r="C808" s="4"/>
      <c r="D808" s="4"/>
      <c r="E808" s="4"/>
      <c r="F808" s="4"/>
      <c r="G808" s="4"/>
      <c r="H808" s="4"/>
      <c r="I808" s="4"/>
      <c r="J808" s="4"/>
      <c r="K808" s="4" t="s">
        <v>596</v>
      </c>
      <c r="L808" s="4"/>
      <c r="N808" s="27" t="s">
        <v>11</v>
      </c>
      <c r="AH808" s="27"/>
      <c r="AQ808" s="29"/>
    </row>
    <row r="809" spans="1:43" ht="19.5" customHeight="1">
      <c r="A809" s="4"/>
      <c r="B809" s="4"/>
      <c r="C809" s="4"/>
      <c r="D809" s="4"/>
      <c r="E809" s="4"/>
      <c r="F809" s="4"/>
      <c r="G809" s="4"/>
      <c r="H809" s="4"/>
      <c r="I809" s="4"/>
      <c r="J809" s="4"/>
      <c r="K809" s="4"/>
      <c r="L809" s="4"/>
      <c r="N809" s="27" t="s">
        <v>597</v>
      </c>
      <c r="AH809" s="27"/>
      <c r="AQ809" s="29"/>
    </row>
    <row r="810" spans="1:43" ht="19.5" customHeight="1">
      <c r="A810" s="4"/>
      <c r="B810" s="4"/>
      <c r="C810" s="4"/>
      <c r="D810" s="4"/>
      <c r="E810" s="4"/>
      <c r="F810" s="4"/>
      <c r="G810" s="4"/>
      <c r="H810" s="4"/>
      <c r="I810" s="4"/>
      <c r="J810" s="4"/>
      <c r="K810" s="4"/>
      <c r="L810" s="4"/>
      <c r="O810" s="27" t="s">
        <v>598</v>
      </c>
      <c r="P810" s="236">
        <v>15</v>
      </c>
      <c r="Q810" s="236"/>
      <c r="R810" s="39" t="s">
        <v>599</v>
      </c>
      <c r="S810" s="27" t="s">
        <v>600</v>
      </c>
      <c r="T810" s="237">
        <f>Z811</f>
        <v>40</v>
      </c>
      <c r="U810" s="237"/>
      <c r="V810" s="237"/>
      <c r="W810" s="27" t="s">
        <v>601</v>
      </c>
      <c r="X810" s="236">
        <v>20</v>
      </c>
      <c r="Y810" s="236"/>
      <c r="Z810" s="27" t="s">
        <v>602</v>
      </c>
      <c r="AB810" s="236">
        <v>0.7</v>
      </c>
      <c r="AC810" s="236"/>
      <c r="AD810" s="27" t="s">
        <v>598</v>
      </c>
      <c r="AE810" s="243">
        <f>P810/(T810+X810)+AB810</f>
        <v>0.95</v>
      </c>
      <c r="AF810" s="243"/>
      <c r="AG810" s="243"/>
      <c r="AH810" s="27"/>
      <c r="AQ810" s="29"/>
    </row>
    <row r="811" spans="1:44" ht="19.5" customHeight="1">
      <c r="A811" s="4"/>
      <c r="B811" s="4"/>
      <c r="C811" s="4"/>
      <c r="D811" s="4"/>
      <c r="E811" s="4"/>
      <c r="F811" s="4"/>
      <c r="G811" s="4"/>
      <c r="H811" s="4"/>
      <c r="I811" s="4"/>
      <c r="J811" s="4"/>
      <c r="K811" s="4" t="s">
        <v>916</v>
      </c>
      <c r="L811" s="4"/>
      <c r="N811" s="27" t="s">
        <v>12</v>
      </c>
      <c r="X811" s="27" t="s">
        <v>1047</v>
      </c>
      <c r="Z811" s="237">
        <f>T677</f>
        <v>40</v>
      </c>
      <c r="AA811" s="237"/>
      <c r="AB811" s="237"/>
      <c r="AC811" s="27" t="s">
        <v>603</v>
      </c>
      <c r="AH811" s="27"/>
      <c r="AQ811" s="29"/>
      <c r="AR811" s="36"/>
    </row>
    <row r="812" spans="1:43" ht="19.5" customHeight="1">
      <c r="A812" s="4"/>
      <c r="B812" s="4"/>
      <c r="C812" s="4"/>
      <c r="D812" s="4"/>
      <c r="E812" s="4"/>
      <c r="F812" s="4"/>
      <c r="G812" s="4"/>
      <c r="H812" s="4"/>
      <c r="I812" s="4"/>
      <c r="J812" s="4"/>
      <c r="K812" s="4" t="s">
        <v>604</v>
      </c>
      <c r="L812" s="4"/>
      <c r="N812" s="27" t="s">
        <v>13</v>
      </c>
      <c r="AH812" s="27"/>
      <c r="AQ812" s="29"/>
    </row>
    <row r="813" spans="1:43" ht="19.5" customHeight="1">
      <c r="A813" s="4"/>
      <c r="B813" s="4"/>
      <c r="C813" s="4"/>
      <c r="D813" s="4"/>
      <c r="E813" s="4"/>
      <c r="F813" s="4"/>
      <c r="G813" s="4"/>
      <c r="H813" s="4"/>
      <c r="I813" s="4"/>
      <c r="J813" s="4"/>
      <c r="K813" s="4"/>
      <c r="L813" s="4"/>
      <c r="N813" s="27" t="s">
        <v>605</v>
      </c>
      <c r="AH813" s="27"/>
      <c r="AQ813" s="29"/>
    </row>
    <row r="814" spans="1:43" ht="19.5" customHeight="1">
      <c r="A814" s="4"/>
      <c r="B814" s="4"/>
      <c r="C814" s="4"/>
      <c r="D814" s="4"/>
      <c r="E814" s="4"/>
      <c r="F814" s="4"/>
      <c r="G814" s="4"/>
      <c r="H814" s="4"/>
      <c r="I814" s="4"/>
      <c r="J814" s="4"/>
      <c r="K814" s="4"/>
      <c r="L814" s="4"/>
      <c r="O814" s="27" t="s">
        <v>1361</v>
      </c>
      <c r="P814" s="27">
        <v>5</v>
      </c>
      <c r="Q814" s="27" t="s">
        <v>606</v>
      </c>
      <c r="S814" s="27">
        <v>1</v>
      </c>
      <c r="T814" s="27" t="s">
        <v>1044</v>
      </c>
      <c r="U814" s="27">
        <v>2</v>
      </c>
      <c r="V814" s="27" t="s">
        <v>607</v>
      </c>
      <c r="Y814" s="27">
        <v>7</v>
      </c>
      <c r="Z814" s="27" t="s">
        <v>329</v>
      </c>
      <c r="AA814" s="27">
        <v>1</v>
      </c>
      <c r="AB814" s="27" t="s">
        <v>1044</v>
      </c>
      <c r="AC814" s="27">
        <v>8</v>
      </c>
      <c r="AD814" s="27" t="s">
        <v>608</v>
      </c>
      <c r="AE814" s="27" t="s">
        <v>1361</v>
      </c>
      <c r="AF814" s="243">
        <f>P814*(S814+U814)/(Y814*AA814+AC814)</f>
        <v>1</v>
      </c>
      <c r="AG814" s="243"/>
      <c r="AH814" s="243"/>
      <c r="AQ814" s="29"/>
    </row>
    <row r="815" spans="1:43" ht="19.5" customHeight="1">
      <c r="A815" s="4"/>
      <c r="B815" s="4"/>
      <c r="C815" s="4"/>
      <c r="D815" s="4"/>
      <c r="E815" s="4"/>
      <c r="F815" s="4"/>
      <c r="G815" s="4"/>
      <c r="H815" s="4"/>
      <c r="I815" s="4"/>
      <c r="J815" s="4"/>
      <c r="K815" s="4" t="s">
        <v>334</v>
      </c>
      <c r="L815" s="4"/>
      <c r="N815" s="27" t="s">
        <v>14</v>
      </c>
      <c r="AH815" s="27"/>
      <c r="AQ815" s="29"/>
    </row>
    <row r="816" spans="1:43" ht="19.5" customHeight="1">
      <c r="A816" s="4"/>
      <c r="B816" s="4"/>
      <c r="C816" s="4"/>
      <c r="D816" s="4"/>
      <c r="E816" s="4"/>
      <c r="F816" s="4"/>
      <c r="G816" s="4"/>
      <c r="H816" s="4"/>
      <c r="I816" s="4"/>
      <c r="J816" s="4"/>
      <c r="K816" s="4" t="s">
        <v>609</v>
      </c>
      <c r="L816" s="4"/>
      <c r="N816" s="27" t="s">
        <v>15</v>
      </c>
      <c r="U816" s="27" t="s">
        <v>1272</v>
      </c>
      <c r="AH816" s="27"/>
      <c r="AQ816" s="29"/>
    </row>
    <row r="817" spans="1:43" ht="19.5" customHeight="1">
      <c r="A817" s="4"/>
      <c r="B817" s="4"/>
      <c r="C817" s="4"/>
      <c r="D817" s="4"/>
      <c r="E817" s="4"/>
      <c r="F817" s="4"/>
      <c r="G817" s="4"/>
      <c r="H817" s="4"/>
      <c r="I817" s="4"/>
      <c r="J817" s="4"/>
      <c r="K817" s="4"/>
      <c r="L817" s="4"/>
      <c r="O817" s="27" t="s">
        <v>610</v>
      </c>
      <c r="Q817" s="236">
        <f>O255</f>
        <v>40</v>
      </c>
      <c r="R817" s="236"/>
      <c r="S817" s="27" t="s">
        <v>611</v>
      </c>
      <c r="T817" s="236">
        <f>Z820</f>
        <v>19</v>
      </c>
      <c r="U817" s="236"/>
      <c r="V817" s="39" t="s">
        <v>207</v>
      </c>
      <c r="W817" s="27">
        <v>2</v>
      </c>
      <c r="X817" s="27" t="s">
        <v>993</v>
      </c>
      <c r="Y817" s="237">
        <f>Q817-T817/W817</f>
        <v>30.5</v>
      </c>
      <c r="Z817" s="237"/>
      <c r="AA817" s="237"/>
      <c r="AB817" s="27" t="s">
        <v>612</v>
      </c>
      <c r="AD817" s="27" t="s">
        <v>1009</v>
      </c>
      <c r="AH817" s="27"/>
      <c r="AQ817" s="29"/>
    </row>
    <row r="818" spans="1:43" ht="19.5" customHeight="1">
      <c r="A818" s="4"/>
      <c r="B818" s="4"/>
      <c r="C818" s="4"/>
      <c r="D818" s="4"/>
      <c r="E818" s="4"/>
      <c r="F818" s="4"/>
      <c r="G818" s="4"/>
      <c r="H818" s="4"/>
      <c r="I818" s="4"/>
      <c r="J818" s="4"/>
      <c r="K818" s="4"/>
      <c r="L818" s="4"/>
      <c r="O818" s="27" t="s">
        <v>610</v>
      </c>
      <c r="Q818" s="236">
        <f>O257</f>
        <v>40</v>
      </c>
      <c r="R818" s="236"/>
      <c r="S818" s="27" t="s">
        <v>611</v>
      </c>
      <c r="T818" s="236">
        <f>AG820</f>
        <v>19</v>
      </c>
      <c r="U818" s="236"/>
      <c r="V818" s="39" t="s">
        <v>207</v>
      </c>
      <c r="W818" s="27">
        <v>2</v>
      </c>
      <c r="X818" s="27" t="s">
        <v>993</v>
      </c>
      <c r="Y818" s="237">
        <f>Y804</f>
        <v>30.5</v>
      </c>
      <c r="Z818" s="237"/>
      <c r="AA818" s="237"/>
      <c r="AB818" s="27" t="s">
        <v>612</v>
      </c>
      <c r="AD818" s="27" t="s">
        <v>1011</v>
      </c>
      <c r="AH818" s="27"/>
      <c r="AQ818" s="29"/>
    </row>
    <row r="819" spans="1:43" ht="19.5" customHeight="1">
      <c r="A819" s="4"/>
      <c r="B819" s="4"/>
      <c r="C819" s="4"/>
      <c r="D819" s="4"/>
      <c r="E819" s="4"/>
      <c r="F819" s="4"/>
      <c r="G819" s="4"/>
      <c r="H819" s="4"/>
      <c r="I819" s="4"/>
      <c r="J819" s="4"/>
      <c r="K819" s="4" t="s">
        <v>613</v>
      </c>
      <c r="L819" s="4"/>
      <c r="N819" s="27" t="s">
        <v>16</v>
      </c>
      <c r="AH819" s="27"/>
      <c r="AQ819" s="29"/>
    </row>
    <row r="820" spans="1:43" ht="19.5" customHeight="1">
      <c r="A820" s="4"/>
      <c r="B820" s="4"/>
      <c r="C820" s="4"/>
      <c r="D820" s="4"/>
      <c r="E820" s="4"/>
      <c r="F820" s="4"/>
      <c r="G820" s="4"/>
      <c r="H820" s="4"/>
      <c r="I820" s="4"/>
      <c r="J820" s="4"/>
      <c r="K820" s="4" t="s">
        <v>614</v>
      </c>
      <c r="L820" s="4"/>
      <c r="N820" s="27" t="s">
        <v>17</v>
      </c>
      <c r="V820" s="27" t="s">
        <v>615</v>
      </c>
      <c r="W820" s="27" t="s">
        <v>18</v>
      </c>
      <c r="Z820" s="241">
        <f>G254</f>
        <v>19</v>
      </c>
      <c r="AA820" s="241"/>
      <c r="AB820" s="27" t="s">
        <v>612</v>
      </c>
      <c r="AC820" s="27" t="s">
        <v>616</v>
      </c>
      <c r="AD820" s="27" t="s">
        <v>19</v>
      </c>
      <c r="AG820" s="241">
        <f>Y259</f>
        <v>19</v>
      </c>
      <c r="AH820" s="241"/>
      <c r="AI820" s="27" t="s">
        <v>1324</v>
      </c>
      <c r="AJ820" s="27"/>
      <c r="AK820" s="27"/>
      <c r="AL820" s="27"/>
      <c r="AM820" s="27"/>
      <c r="AN820" s="27"/>
      <c r="AQ820" s="29"/>
    </row>
    <row r="821" spans="1:10" ht="19.5" customHeight="1">
      <c r="A821" s="4"/>
      <c r="B821" s="4"/>
      <c r="C821" s="4"/>
      <c r="D821" s="4"/>
      <c r="E821" s="4"/>
      <c r="F821" s="4"/>
      <c r="G821" s="4"/>
      <c r="H821" s="4"/>
      <c r="I821" s="4"/>
      <c r="J821" s="4"/>
    </row>
    <row r="822" spans="1:32" ht="19.5" customHeight="1">
      <c r="A822" s="4"/>
      <c r="B822" s="4"/>
      <c r="C822" s="4"/>
      <c r="D822" s="4"/>
      <c r="E822" s="4"/>
      <c r="F822" s="4"/>
      <c r="G822" s="4"/>
      <c r="H822" s="4"/>
      <c r="I822" s="4"/>
      <c r="J822" s="4"/>
      <c r="K822" s="4" t="s">
        <v>617</v>
      </c>
      <c r="L822" s="4"/>
      <c r="N822" s="27" t="s">
        <v>975</v>
      </c>
      <c r="W822" s="27" t="s">
        <v>1355</v>
      </c>
      <c r="X822" s="27" t="s">
        <v>993</v>
      </c>
      <c r="Y822" s="325">
        <v>2</v>
      </c>
      <c r="Z822" s="325"/>
      <c r="AA822" s="27" t="s">
        <v>1353</v>
      </c>
      <c r="AB822" s="39" t="s">
        <v>618</v>
      </c>
      <c r="AC822" s="29"/>
      <c r="AD822" s="29" t="s">
        <v>619</v>
      </c>
      <c r="AE822" s="29"/>
      <c r="AF822" s="29"/>
    </row>
    <row r="823" spans="1:34" ht="19.5" customHeight="1">
      <c r="A823" s="4"/>
      <c r="B823" s="4"/>
      <c r="C823" s="4"/>
      <c r="D823" s="4"/>
      <c r="E823" s="4"/>
      <c r="F823" s="4"/>
      <c r="G823" s="4"/>
      <c r="H823" s="4"/>
      <c r="I823" s="4"/>
      <c r="J823" s="4"/>
      <c r="K823" s="4" t="s">
        <v>620</v>
      </c>
      <c r="L823" s="4"/>
      <c r="N823" s="27" t="s">
        <v>20</v>
      </c>
      <c r="AH823" s="27"/>
    </row>
    <row r="824" spans="1:20" ht="19.5" customHeight="1">
      <c r="A824" s="4"/>
      <c r="B824" s="4"/>
      <c r="C824" s="4"/>
      <c r="D824" s="4"/>
      <c r="E824" s="4"/>
      <c r="F824" s="4"/>
      <c r="G824" s="4"/>
      <c r="H824" s="4"/>
      <c r="I824" s="4"/>
      <c r="J824" s="4"/>
      <c r="K824" s="4"/>
      <c r="L824" s="4"/>
      <c r="O824" s="4" t="s">
        <v>621</v>
      </c>
      <c r="R824" s="330">
        <v>150</v>
      </c>
      <c r="S824" s="330"/>
      <c r="T824" s="39" t="s">
        <v>622</v>
      </c>
    </row>
    <row r="825" spans="1:14" ht="19.5" customHeight="1">
      <c r="A825" s="4"/>
      <c r="B825" s="4"/>
      <c r="C825" s="4"/>
      <c r="D825" s="4"/>
      <c r="E825" s="4"/>
      <c r="F825" s="4"/>
      <c r="G825" s="4"/>
      <c r="H825" s="4"/>
      <c r="I825" s="4"/>
      <c r="J825" s="4"/>
      <c r="K825" s="4" t="s">
        <v>623</v>
      </c>
      <c r="L825" s="4"/>
      <c r="N825" s="27" t="s">
        <v>21</v>
      </c>
    </row>
    <row r="826" spans="1:42" ht="19.5" customHeight="1">
      <c r="A826" s="4"/>
      <c r="B826" s="4"/>
      <c r="C826" s="4"/>
      <c r="D826" s="4"/>
      <c r="E826" s="4"/>
      <c r="F826" s="4"/>
      <c r="G826" s="4"/>
      <c r="H826" s="4"/>
      <c r="I826" s="4"/>
      <c r="J826" s="4"/>
      <c r="K826" s="4"/>
      <c r="L826" s="4"/>
      <c r="O826" s="4" t="s">
        <v>624</v>
      </c>
      <c r="P826" s="4"/>
      <c r="R826" s="27" t="s">
        <v>625</v>
      </c>
      <c r="S826" s="27" t="s">
        <v>626</v>
      </c>
      <c r="T826" s="27" t="s">
        <v>627</v>
      </c>
      <c r="U826" s="4" t="s">
        <v>1274</v>
      </c>
      <c r="W826" s="27" t="s">
        <v>627</v>
      </c>
      <c r="X826" s="35" t="s">
        <v>628</v>
      </c>
      <c r="Y826" s="35" t="s">
        <v>629</v>
      </c>
      <c r="Z826" s="27" t="s">
        <v>630</v>
      </c>
      <c r="AA826" s="236">
        <f>AI829</f>
        <v>40</v>
      </c>
      <c r="AB826" s="236"/>
      <c r="AC826" s="27" t="s">
        <v>631</v>
      </c>
      <c r="AH826" s="27"/>
      <c r="AI826" s="27"/>
      <c r="AJ826" s="27"/>
      <c r="AK826" s="27"/>
      <c r="AL826" s="27"/>
      <c r="AM826" s="27"/>
      <c r="AN826" s="27"/>
      <c r="AO826" s="27"/>
      <c r="AP826" s="27"/>
    </row>
    <row r="827" spans="1:40" ht="19.5" customHeight="1">
      <c r="A827" s="4"/>
      <c r="B827" s="4"/>
      <c r="C827" s="4"/>
      <c r="D827" s="4"/>
      <c r="E827" s="4"/>
      <c r="F827" s="4"/>
      <c r="G827" s="4"/>
      <c r="H827" s="4"/>
      <c r="I827" s="4"/>
      <c r="J827" s="4"/>
      <c r="K827" s="4"/>
      <c r="L827" s="4"/>
      <c r="O827" s="4"/>
      <c r="P827" s="4"/>
      <c r="R827" s="27" t="s">
        <v>625</v>
      </c>
      <c r="S827" s="84">
        <f>AH841</f>
        <v>6.451612903225806</v>
      </c>
      <c r="T827" s="84"/>
      <c r="U827" s="84"/>
      <c r="V827" s="27" t="s">
        <v>627</v>
      </c>
      <c r="W827" s="244">
        <f>U836</f>
        <v>4.284015215617059</v>
      </c>
      <c r="X827" s="235"/>
      <c r="Y827" s="27" t="s">
        <v>627</v>
      </c>
      <c r="Z827" s="35" t="s">
        <v>628</v>
      </c>
      <c r="AA827" s="38">
        <f>AG836</f>
        <v>84.29341492717185</v>
      </c>
      <c r="AB827" s="38"/>
      <c r="AC827" s="38"/>
      <c r="AD827" s="35" t="s">
        <v>630</v>
      </c>
      <c r="AE827" s="236">
        <f>AA826</f>
        <v>40</v>
      </c>
      <c r="AF827" s="236"/>
      <c r="AG827" s="27" t="s">
        <v>632</v>
      </c>
      <c r="AH827" s="27"/>
      <c r="AI827" s="38">
        <f>AG836</f>
        <v>84.29341492717185</v>
      </c>
      <c r="AJ827" s="38"/>
      <c r="AK827" s="38"/>
      <c r="AL827" s="27"/>
      <c r="AM827" s="27"/>
      <c r="AN827" s="27"/>
    </row>
    <row r="828" spans="1:22" ht="19.5" customHeight="1">
      <c r="A828" s="4"/>
      <c r="B828" s="4"/>
      <c r="C828" s="4"/>
      <c r="D828" s="4"/>
      <c r="E828" s="4"/>
      <c r="F828" s="4"/>
      <c r="G828" s="4"/>
      <c r="H828" s="4"/>
      <c r="I828" s="4"/>
      <c r="J828" s="4"/>
      <c r="K828" s="4"/>
      <c r="L828" s="4"/>
      <c r="O828" s="4"/>
      <c r="R828" s="27" t="s">
        <v>625</v>
      </c>
      <c r="S828" s="237">
        <f>S827*W827*(AA827-AE827)/AI827</f>
        <v>14.523283757413013</v>
      </c>
      <c r="T828" s="237"/>
      <c r="U828" s="237"/>
      <c r="V828" s="29" t="s">
        <v>297</v>
      </c>
    </row>
    <row r="829" spans="1:38" ht="19.5" customHeight="1">
      <c r="A829" s="4"/>
      <c r="B829" s="4"/>
      <c r="C829" s="4"/>
      <c r="D829" s="4"/>
      <c r="E829" s="4"/>
      <c r="F829" s="4"/>
      <c r="G829" s="4"/>
      <c r="H829" s="4"/>
      <c r="I829" s="4"/>
      <c r="J829" s="4"/>
      <c r="N829" s="4"/>
      <c r="O829" s="4"/>
      <c r="P829" s="4"/>
      <c r="Q829" s="4"/>
      <c r="R829" s="4"/>
      <c r="S829" s="4"/>
      <c r="U829" s="47"/>
      <c r="V829" s="47"/>
      <c r="Z829" s="79">
        <f>O255</f>
        <v>40</v>
      </c>
      <c r="AH829" s="27"/>
      <c r="AI829" s="80">
        <f>Z829</f>
        <v>40</v>
      </c>
      <c r="AJ829" s="27"/>
      <c r="AK829" s="27"/>
      <c r="AL829" s="27"/>
    </row>
    <row r="830" spans="1:38" ht="19.5" customHeight="1">
      <c r="A830" s="4"/>
      <c r="B830" s="4"/>
      <c r="C830" s="4"/>
      <c r="D830" s="4"/>
      <c r="E830" s="4"/>
      <c r="F830" s="4"/>
      <c r="G830" s="4"/>
      <c r="H830" s="4"/>
      <c r="I830" s="4"/>
      <c r="J830" s="4"/>
      <c r="N830" s="4"/>
      <c r="O830" s="4"/>
      <c r="P830" s="4"/>
      <c r="Q830" s="4"/>
      <c r="R830" s="4"/>
      <c r="S830" s="4"/>
      <c r="Y830" s="251"/>
      <c r="Z830" s="251">
        <f>AA830-O137</f>
        <v>380</v>
      </c>
      <c r="AA830" s="300">
        <f>AC255</f>
        <v>380</v>
      </c>
      <c r="AH830" s="27"/>
      <c r="AI830" s="324"/>
      <c r="AJ830" s="323" t="s">
        <v>629</v>
      </c>
      <c r="AK830" s="323">
        <f>AA830</f>
        <v>380</v>
      </c>
      <c r="AL830" s="27"/>
    </row>
    <row r="831" spans="1:38" ht="19.5" customHeight="1">
      <c r="A831" s="4"/>
      <c r="B831" s="4"/>
      <c r="C831" s="4"/>
      <c r="D831" s="4"/>
      <c r="E831" s="4"/>
      <c r="F831" s="4"/>
      <c r="G831" s="4"/>
      <c r="H831" s="4"/>
      <c r="I831" s="4"/>
      <c r="J831" s="4"/>
      <c r="K831" s="4"/>
      <c r="L831" s="4"/>
      <c r="N831" s="4"/>
      <c r="O831" s="4"/>
      <c r="P831" s="4"/>
      <c r="Q831" s="4"/>
      <c r="R831" s="4"/>
      <c r="S831" s="4"/>
      <c r="Y831" s="251"/>
      <c r="Z831" s="251"/>
      <c r="AA831" s="300"/>
      <c r="AH831" s="27"/>
      <c r="AI831" s="324"/>
      <c r="AJ831" s="323"/>
      <c r="AK831" s="323"/>
      <c r="AL831" s="27"/>
    </row>
    <row r="832" spans="2:41" ht="19.5" customHeight="1">
      <c r="B832" s="4"/>
      <c r="C832" s="4"/>
      <c r="D832" s="4"/>
      <c r="N832" s="4"/>
      <c r="O832" s="4"/>
      <c r="P832" s="4"/>
      <c r="Q832" s="4"/>
      <c r="R832" s="4"/>
      <c r="Y832" s="48"/>
      <c r="Z832" s="48"/>
      <c r="AH832" s="27"/>
      <c r="AI832" s="27"/>
      <c r="AJ832" s="27"/>
      <c r="AK832" s="81" t="s">
        <v>633</v>
      </c>
      <c r="AL832" s="27"/>
      <c r="AM832" s="27"/>
      <c r="AN832" s="27"/>
      <c r="AO832" s="27"/>
    </row>
    <row r="833" spans="2:43" ht="19.5" customHeight="1">
      <c r="B833" s="4"/>
      <c r="C833" s="4"/>
      <c r="D833" s="4"/>
      <c r="N833" s="4"/>
      <c r="O833" s="4"/>
      <c r="P833" s="4"/>
      <c r="Q833" s="4"/>
      <c r="R833" s="4"/>
      <c r="AH833" s="27"/>
      <c r="AI833" s="27"/>
      <c r="AJ833" s="27"/>
      <c r="AK833" s="27"/>
      <c r="AL833" s="27"/>
      <c r="AN833" s="27"/>
      <c r="AO833" s="27"/>
      <c r="AQ833" s="29"/>
    </row>
    <row r="834" spans="2:43" ht="19.5" customHeight="1">
      <c r="B834" s="4"/>
      <c r="C834" s="4"/>
      <c r="D834" s="4"/>
      <c r="K834" s="4" t="s">
        <v>629</v>
      </c>
      <c r="L834" s="4"/>
      <c r="N834" s="4" t="s">
        <v>1183</v>
      </c>
      <c r="O834" s="4"/>
      <c r="AC834" s="27" t="s">
        <v>634</v>
      </c>
      <c r="AH834" s="27"/>
      <c r="AI834" s="27"/>
      <c r="AJ834" s="27"/>
      <c r="AK834" s="27"/>
      <c r="AL834" s="27"/>
      <c r="AM834" s="27"/>
      <c r="AN834" s="27"/>
      <c r="AO834" s="27"/>
      <c r="AQ834" s="29"/>
    </row>
    <row r="835" spans="2:43" ht="19.5" customHeight="1">
      <c r="B835" s="4"/>
      <c r="C835" s="4"/>
      <c r="D835" s="4"/>
      <c r="K835" s="4"/>
      <c r="L835" s="4"/>
      <c r="M835" s="4"/>
      <c r="N835" s="4"/>
      <c r="O835" s="4" t="s">
        <v>635</v>
      </c>
      <c r="P835" s="85" t="s">
        <v>636</v>
      </c>
      <c r="AH835" s="27"/>
      <c r="AI835" s="27"/>
      <c r="AJ835" s="27"/>
      <c r="AK835" s="48"/>
      <c r="AL835" s="27"/>
      <c r="AM835" s="27"/>
      <c r="AN835" s="27"/>
      <c r="AO835" s="27"/>
      <c r="AQ835" s="29"/>
    </row>
    <row r="836" spans="2:44" ht="19.5" customHeight="1">
      <c r="B836" s="4"/>
      <c r="C836" s="4"/>
      <c r="D836" s="4"/>
      <c r="K836" s="4"/>
      <c r="L836" s="4"/>
      <c r="M836" s="4"/>
      <c r="N836" s="4"/>
      <c r="O836" s="4"/>
      <c r="P836" s="27" t="s">
        <v>637</v>
      </c>
      <c r="Q836" s="40">
        <f>-AK830</f>
        <v>-380</v>
      </c>
      <c r="R836" s="38"/>
      <c r="S836" s="38"/>
      <c r="T836" s="27" t="s">
        <v>638</v>
      </c>
      <c r="U836" s="38">
        <f>S732</f>
        <v>4.284015215617059</v>
      </c>
      <c r="V836" s="38"/>
      <c r="W836" s="39" t="s">
        <v>639</v>
      </c>
      <c r="X836" s="27" t="s">
        <v>640</v>
      </c>
      <c r="Y836" s="38">
        <f>S733</f>
        <v>-15.028593999954332</v>
      </c>
      <c r="Z836" s="38"/>
      <c r="AA836" s="38"/>
      <c r="AB836" s="27" t="s">
        <v>641</v>
      </c>
      <c r="AC836" s="38">
        <f>U836</f>
        <v>4.284015215617059</v>
      </c>
      <c r="AD836" s="38"/>
      <c r="AE836" s="38" t="s">
        <v>642</v>
      </c>
      <c r="AF836" s="27" t="s">
        <v>637</v>
      </c>
      <c r="AG836" s="38">
        <f>Q836*U836/(Y836-AC836)</f>
        <v>84.29341492717185</v>
      </c>
      <c r="AH836" s="38"/>
      <c r="AI836" s="38"/>
      <c r="AJ836" s="27" t="s">
        <v>643</v>
      </c>
      <c r="AK836" s="27"/>
      <c r="AL836" s="27"/>
      <c r="AM836" s="27"/>
      <c r="AN836" s="27"/>
      <c r="AO836" s="27"/>
      <c r="AP836" s="27"/>
      <c r="AQ836" s="29"/>
      <c r="AR836" s="29"/>
    </row>
    <row r="837" spans="1:36" ht="19.5" customHeight="1">
      <c r="A837" s="4"/>
      <c r="B837" s="4"/>
      <c r="C837" s="4"/>
      <c r="D837" s="4"/>
      <c r="F837" s="4"/>
      <c r="G837" s="4"/>
      <c r="K837" s="4" t="s">
        <v>644</v>
      </c>
      <c r="L837" s="4"/>
      <c r="M837" s="4"/>
      <c r="N837" s="4" t="s">
        <v>645</v>
      </c>
      <c r="O837" s="4"/>
      <c r="Z837" s="29" t="s">
        <v>646</v>
      </c>
      <c r="AH837" s="27"/>
      <c r="AI837" s="27"/>
      <c r="AJ837" s="27"/>
    </row>
    <row r="838" spans="1:36" ht="19.5" customHeight="1">
      <c r="A838" s="4"/>
      <c r="B838" s="4"/>
      <c r="C838" s="4"/>
      <c r="D838" s="4"/>
      <c r="E838" s="4"/>
      <c r="F838" s="4"/>
      <c r="G838" s="4"/>
      <c r="K838" s="4" t="s">
        <v>647</v>
      </c>
      <c r="L838" s="4"/>
      <c r="M838" s="4"/>
      <c r="N838" s="4" t="s">
        <v>1184</v>
      </c>
      <c r="O838" s="4"/>
      <c r="Z838" s="29" t="s">
        <v>648</v>
      </c>
      <c r="AH838" s="27"/>
      <c r="AI838" s="27"/>
      <c r="AJ838" s="27"/>
    </row>
    <row r="839" spans="1:36" ht="19.5" customHeight="1">
      <c r="A839" s="4"/>
      <c r="B839" s="4"/>
      <c r="C839" s="4" t="s">
        <v>568</v>
      </c>
      <c r="D839" s="4"/>
      <c r="E839" s="4"/>
      <c r="F839" s="4"/>
      <c r="G839" s="4"/>
      <c r="K839" s="4" t="s">
        <v>649</v>
      </c>
      <c r="L839" s="4"/>
      <c r="M839" s="4"/>
      <c r="N839" s="4" t="s">
        <v>85</v>
      </c>
      <c r="O839" s="4"/>
      <c r="U839" s="27" t="s">
        <v>650</v>
      </c>
      <c r="AH839" s="27"/>
      <c r="AI839" s="27"/>
      <c r="AJ839" s="27"/>
    </row>
    <row r="840" spans="1:14" ht="19.5" customHeight="1">
      <c r="A840" s="4"/>
      <c r="B840" s="4"/>
      <c r="C840" s="4"/>
      <c r="D840" s="4"/>
      <c r="F840" s="4"/>
      <c r="G840" s="4"/>
      <c r="K840" s="27" t="s">
        <v>651</v>
      </c>
      <c r="N840" s="4" t="s">
        <v>652</v>
      </c>
    </row>
    <row r="841" spans="1:36" ht="19.5" customHeight="1">
      <c r="A841" s="4"/>
      <c r="B841" s="4"/>
      <c r="C841" s="4"/>
      <c r="D841" s="4"/>
      <c r="F841" s="4"/>
      <c r="G841" s="4"/>
      <c r="O841" s="27" t="s">
        <v>653</v>
      </c>
      <c r="T841" s="27" t="s">
        <v>1356</v>
      </c>
      <c r="U841" s="38">
        <f>Y822</f>
        <v>2</v>
      </c>
      <c r="V841" s="38"/>
      <c r="W841" s="27" t="s">
        <v>654</v>
      </c>
      <c r="X841" s="39" t="s">
        <v>655</v>
      </c>
      <c r="Y841" s="29"/>
      <c r="Z841" s="39" t="s">
        <v>1386</v>
      </c>
      <c r="AA841" s="327">
        <v>3.1</v>
      </c>
      <c r="AB841" s="327"/>
      <c r="AC841" s="327"/>
      <c r="AD841" s="27" t="s">
        <v>654</v>
      </c>
      <c r="AE841" s="39" t="s">
        <v>656</v>
      </c>
      <c r="AG841" s="27" t="s">
        <v>1356</v>
      </c>
      <c r="AH841" s="250">
        <f>U841*10/AA841</f>
        <v>6.451612903225806</v>
      </c>
      <c r="AI841" s="250"/>
      <c r="AJ841" s="250"/>
    </row>
    <row r="842" spans="1:7" ht="19.5" customHeight="1">
      <c r="A842" s="4"/>
      <c r="B842" s="4"/>
      <c r="C842" s="4"/>
      <c r="D842" s="4"/>
      <c r="F842" s="4"/>
      <c r="G842" s="4"/>
    </row>
    <row r="843" spans="1:7" ht="19.5" customHeight="1">
      <c r="A843" s="4"/>
      <c r="B843" s="4"/>
      <c r="C843" s="4"/>
      <c r="D843" s="4" t="s">
        <v>22</v>
      </c>
      <c r="F843" s="4"/>
      <c r="G843" s="4"/>
    </row>
    <row r="844" spans="1:29" ht="19.5" customHeight="1">
      <c r="A844" s="4"/>
      <c r="B844" s="4"/>
      <c r="C844" s="58"/>
      <c r="D844" s="183" t="s">
        <v>1021</v>
      </c>
      <c r="E844" s="183"/>
      <c r="F844" s="183"/>
      <c r="G844" s="183"/>
      <c r="H844" s="183"/>
      <c r="I844" s="183"/>
      <c r="J844" s="183"/>
      <c r="K844" s="183"/>
      <c r="L844" s="183"/>
      <c r="M844" s="183"/>
      <c r="N844" s="183"/>
      <c r="O844" s="183"/>
      <c r="P844" s="183"/>
      <c r="Q844" s="183"/>
      <c r="R844" s="204" t="s">
        <v>437</v>
      </c>
      <c r="S844" s="204"/>
      <c r="T844" s="204"/>
      <c r="U844" s="204"/>
      <c r="V844" s="204" t="s">
        <v>438</v>
      </c>
      <c r="W844" s="204"/>
      <c r="X844" s="204"/>
      <c r="Y844" s="204"/>
      <c r="Z844" s="204" t="s">
        <v>439</v>
      </c>
      <c r="AA844" s="204"/>
      <c r="AB844" s="204"/>
      <c r="AC844" s="204"/>
    </row>
    <row r="845" spans="1:29" ht="19.5" customHeight="1">
      <c r="A845" s="4"/>
      <c r="B845" s="4"/>
      <c r="C845" s="58"/>
      <c r="D845" s="184" t="s">
        <v>657</v>
      </c>
      <c r="E845" s="184"/>
      <c r="F845" s="184"/>
      <c r="G845" s="184"/>
      <c r="H845" s="184"/>
      <c r="I845" s="184"/>
      <c r="J845" s="184"/>
      <c r="K845" s="184"/>
      <c r="L845" s="184"/>
      <c r="M845" s="184"/>
      <c r="N845" s="204" t="s">
        <v>447</v>
      </c>
      <c r="O845" s="204"/>
      <c r="P845" s="204"/>
      <c r="Q845" s="204"/>
      <c r="R845" s="190">
        <f>S732</f>
        <v>4.284015215617059</v>
      </c>
      <c r="S845" s="190"/>
      <c r="T845" s="190"/>
      <c r="U845" s="190"/>
      <c r="V845" s="190">
        <f>W732</f>
        <v>-14.495982540723002</v>
      </c>
      <c r="W845" s="190"/>
      <c r="X845" s="190"/>
      <c r="Y845" s="190"/>
      <c r="Z845" s="190">
        <f>AA732</f>
        <v>4.284015215617059</v>
      </c>
      <c r="AA845" s="190"/>
      <c r="AB845" s="190"/>
      <c r="AC845" s="190"/>
    </row>
    <row r="846" spans="1:29" ht="19.5" customHeight="1">
      <c r="A846" s="4"/>
      <c r="B846" s="4"/>
      <c r="C846" s="58"/>
      <c r="D846" s="184" t="s">
        <v>658</v>
      </c>
      <c r="E846" s="184"/>
      <c r="F846" s="184"/>
      <c r="G846" s="184"/>
      <c r="H846" s="184"/>
      <c r="I846" s="184"/>
      <c r="J846" s="184"/>
      <c r="K846" s="184"/>
      <c r="L846" s="184"/>
      <c r="M846" s="184"/>
      <c r="N846" s="204" t="s">
        <v>447</v>
      </c>
      <c r="O846" s="204"/>
      <c r="P846" s="204"/>
      <c r="Q846" s="204"/>
      <c r="R846" s="190">
        <f>S733</f>
        <v>-15.028593999954332</v>
      </c>
      <c r="S846" s="190"/>
      <c r="T846" s="190"/>
      <c r="U846" s="190"/>
      <c r="V846" s="190">
        <f>W733</f>
        <v>3.723245115861018</v>
      </c>
      <c r="W846" s="190"/>
      <c r="X846" s="190"/>
      <c r="Y846" s="190"/>
      <c r="Z846" s="190">
        <f>AA733</f>
        <v>-15.028593999954332</v>
      </c>
      <c r="AA846" s="190"/>
      <c r="AB846" s="190"/>
      <c r="AC846" s="190"/>
    </row>
    <row r="847" spans="1:29" ht="19.5" customHeight="1">
      <c r="A847" s="4"/>
      <c r="B847" s="4"/>
      <c r="C847" s="58"/>
      <c r="D847" s="184" t="s">
        <v>23</v>
      </c>
      <c r="E847" s="184"/>
      <c r="F847" s="184"/>
      <c r="G847" s="184"/>
      <c r="H847" s="184"/>
      <c r="I847" s="184"/>
      <c r="J847" s="184"/>
      <c r="K847" s="184"/>
      <c r="L847" s="184"/>
      <c r="M847" s="184"/>
      <c r="N847" s="204" t="s">
        <v>650</v>
      </c>
      <c r="O847" s="204"/>
      <c r="P847" s="204"/>
      <c r="Q847" s="204"/>
      <c r="R847" s="190">
        <f>$AC$255</f>
        <v>380</v>
      </c>
      <c r="S847" s="190"/>
      <c r="T847" s="190"/>
      <c r="U847" s="190"/>
      <c r="V847" s="190">
        <f>$AC$240</f>
        <v>380</v>
      </c>
      <c r="W847" s="190"/>
      <c r="X847" s="190"/>
      <c r="Y847" s="190"/>
      <c r="Z847" s="190">
        <f>$AC$255</f>
        <v>380</v>
      </c>
      <c r="AA847" s="190"/>
      <c r="AB847" s="190"/>
      <c r="AC847" s="190"/>
    </row>
    <row r="848" spans="1:29" ht="19.5" customHeight="1">
      <c r="A848" s="4"/>
      <c r="B848" s="4"/>
      <c r="C848" s="58"/>
      <c r="D848" s="184" t="s">
        <v>659</v>
      </c>
      <c r="E848" s="184"/>
      <c r="F848" s="184"/>
      <c r="G848" s="184"/>
      <c r="H848" s="184"/>
      <c r="I848" s="184"/>
      <c r="J848" s="184"/>
      <c r="K848" s="184"/>
      <c r="L848" s="184"/>
      <c r="M848" s="184"/>
      <c r="N848" s="204" t="s">
        <v>650</v>
      </c>
      <c r="O848" s="204"/>
      <c r="P848" s="204"/>
      <c r="Q848" s="204"/>
      <c r="R848" s="190">
        <f>-R847*R845/(R846-R845)</f>
        <v>84.29341492717185</v>
      </c>
      <c r="S848" s="190"/>
      <c r="T848" s="190"/>
      <c r="U848" s="190"/>
      <c r="V848" s="205">
        <f>-V847*V846/(V845-V846)</f>
        <v>77.65604397154002</v>
      </c>
      <c r="W848" s="206"/>
      <c r="X848" s="206"/>
      <c r="Y848" s="207"/>
      <c r="Z848" s="190">
        <f>-Z847*Z845/(Z846-Z845)</f>
        <v>84.29341492717185</v>
      </c>
      <c r="AA848" s="190"/>
      <c r="AB848" s="190"/>
      <c r="AC848" s="190"/>
    </row>
    <row r="849" spans="1:29" ht="19.5" customHeight="1">
      <c r="A849" s="4"/>
      <c r="B849" s="4"/>
      <c r="C849" s="58"/>
      <c r="D849" s="184" t="s">
        <v>24</v>
      </c>
      <c r="E849" s="184"/>
      <c r="F849" s="184"/>
      <c r="G849" s="184"/>
      <c r="H849" s="184"/>
      <c r="I849" s="184"/>
      <c r="J849" s="184"/>
      <c r="K849" s="184"/>
      <c r="L849" s="184"/>
      <c r="M849" s="184"/>
      <c r="N849" s="204" t="s">
        <v>660</v>
      </c>
      <c r="O849" s="204"/>
      <c r="P849" s="204"/>
      <c r="Q849" s="204"/>
      <c r="R849" s="190">
        <f>$AH$841*R845*(R848-$O$255)/R848</f>
        <v>14.523283757413013</v>
      </c>
      <c r="S849" s="190"/>
      <c r="T849" s="190"/>
      <c r="U849" s="190"/>
      <c r="V849" s="190">
        <f>$AH$841*V846*(V848-$O$242)/V848</f>
        <v>11.647946311779725</v>
      </c>
      <c r="W849" s="190"/>
      <c r="X849" s="190"/>
      <c r="Y849" s="190"/>
      <c r="Z849" s="190">
        <f>$AH$841*Z845*(Z848-$O$255)/Z848</f>
        <v>14.523283757413013</v>
      </c>
      <c r="AA849" s="190"/>
      <c r="AB849" s="190"/>
      <c r="AC849" s="190"/>
    </row>
    <row r="850" spans="1:29" ht="19.5" customHeight="1">
      <c r="A850" s="4"/>
      <c r="B850" s="4"/>
      <c r="C850" s="58"/>
      <c r="D850" s="184" t="s">
        <v>25</v>
      </c>
      <c r="E850" s="184"/>
      <c r="F850" s="184"/>
      <c r="G850" s="184"/>
      <c r="H850" s="184"/>
      <c r="I850" s="184"/>
      <c r="J850" s="184"/>
      <c r="K850" s="184"/>
      <c r="L850" s="184"/>
      <c r="M850" s="184"/>
      <c r="N850" s="204" t="s">
        <v>661</v>
      </c>
      <c r="O850" s="204"/>
      <c r="P850" s="204"/>
      <c r="Q850" s="204"/>
      <c r="R850" s="189">
        <f>1.1*(15/($Z$811+20)+0.7)*(4*($O$255-$G$254/2)+0.7*($K$254-$G$254))*(R849/($U$509*10^5)+$R$824*10^(-6))</f>
        <v>0.045642821727493156</v>
      </c>
      <c r="S850" s="189"/>
      <c r="T850" s="189"/>
      <c r="U850" s="189"/>
      <c r="V850" s="189">
        <f>1.1*(15/($Z$811+20)+0.7)*(4*($O$242-$Y$244/2)+0.7*($AC$244-$Y$244))*(V849/($U$509*10^5)+$R$824*10^(-6))</f>
        <v>0.04269518392178942</v>
      </c>
      <c r="W850" s="189"/>
      <c r="X850" s="189"/>
      <c r="Y850" s="189"/>
      <c r="Z850" s="189">
        <f>1.1*(15/($Z$811+20)+0.7)*(4*($O$255-$G$254/2)+0.7*($K$254-$G$254))*(Z849/($U$509*10^5)+$R$824*10^(-6))</f>
        <v>0.045642821727493156</v>
      </c>
      <c r="AA850" s="189"/>
      <c r="AB850" s="189"/>
      <c r="AC850" s="189"/>
    </row>
    <row r="851" spans="1:29" ht="19.5" customHeight="1">
      <c r="A851" s="4"/>
      <c r="B851" s="4"/>
      <c r="C851" s="58"/>
      <c r="D851" s="184" t="s">
        <v>26</v>
      </c>
      <c r="E851" s="184"/>
      <c r="F851" s="184"/>
      <c r="G851" s="184"/>
      <c r="H851" s="184"/>
      <c r="I851" s="184"/>
      <c r="J851" s="184"/>
      <c r="K851" s="184"/>
      <c r="L851" s="184"/>
      <c r="M851" s="184"/>
      <c r="N851" s="204" t="s">
        <v>662</v>
      </c>
      <c r="O851" s="204"/>
      <c r="P851" s="204"/>
      <c r="Q851" s="204"/>
      <c r="R851" s="189">
        <f>$N$800*($O$255-$G$254/2)</f>
        <v>0.10675</v>
      </c>
      <c r="S851" s="189"/>
      <c r="T851" s="189"/>
      <c r="U851" s="189"/>
      <c r="V851" s="189">
        <f>$N$801*($O$242-$Y$244/2)</f>
        <v>0.1525</v>
      </c>
      <c r="W851" s="189"/>
      <c r="X851" s="189"/>
      <c r="Y851" s="189"/>
      <c r="Z851" s="189">
        <f>$N$800*($O$255-$G$254/2)</f>
        <v>0.10675</v>
      </c>
      <c r="AA851" s="189"/>
      <c r="AB851" s="189"/>
      <c r="AC851" s="189"/>
    </row>
    <row r="852" spans="1:29" ht="19.5" customHeight="1">
      <c r="A852" s="4"/>
      <c r="B852" s="4"/>
      <c r="C852" s="58"/>
      <c r="D852" s="183" t="s">
        <v>1002</v>
      </c>
      <c r="E852" s="183"/>
      <c r="F852" s="183"/>
      <c r="G852" s="183"/>
      <c r="H852" s="183"/>
      <c r="I852" s="183"/>
      <c r="J852" s="183"/>
      <c r="K852" s="183"/>
      <c r="L852" s="183"/>
      <c r="M852" s="183"/>
      <c r="N852" s="183"/>
      <c r="O852" s="183"/>
      <c r="P852" s="183"/>
      <c r="Q852" s="183"/>
      <c r="R852" s="190" t="str">
        <f>IF(R850&lt;=R851,"O.K.","N.G.")</f>
        <v>O.K.</v>
      </c>
      <c r="S852" s="190"/>
      <c r="T852" s="190"/>
      <c r="U852" s="190"/>
      <c r="V852" s="190" t="str">
        <f>IF(V850&lt;=V851,"O.K.","N.G.")</f>
        <v>O.K.</v>
      </c>
      <c r="W852" s="190"/>
      <c r="X852" s="190"/>
      <c r="Y852" s="190"/>
      <c r="Z852" s="190" t="str">
        <f>IF(Z850&lt;=Z851,"O.K.","N.G.")</f>
        <v>O.K.</v>
      </c>
      <c r="AA852" s="190"/>
      <c r="AB852" s="190"/>
      <c r="AC852" s="190"/>
    </row>
    <row r="853" spans="1:20" ht="19.5" customHeight="1">
      <c r="A853" s="4"/>
      <c r="B853" s="4"/>
      <c r="C853" s="4"/>
      <c r="D853" s="4"/>
      <c r="E853" s="4"/>
      <c r="F853" s="4"/>
      <c r="G853" s="4"/>
      <c r="H853" s="4"/>
      <c r="I853" s="4"/>
      <c r="J853" s="4"/>
      <c r="K853" s="4"/>
      <c r="L853" s="4"/>
      <c r="O853" s="4"/>
      <c r="R853" s="35"/>
      <c r="S853" s="35"/>
      <c r="T853" s="39"/>
    </row>
    <row r="854" spans="1:29" ht="19.5" customHeight="1">
      <c r="A854" s="4"/>
      <c r="B854" s="4"/>
      <c r="C854" s="58"/>
      <c r="D854" s="183" t="s">
        <v>917</v>
      </c>
      <c r="E854" s="183"/>
      <c r="F854" s="183"/>
      <c r="G854" s="183"/>
      <c r="H854" s="183"/>
      <c r="I854" s="183"/>
      <c r="J854" s="183"/>
      <c r="K854" s="183"/>
      <c r="L854" s="183"/>
      <c r="M854" s="183"/>
      <c r="N854" s="183"/>
      <c r="O854" s="183"/>
      <c r="P854" s="183"/>
      <c r="Q854" s="183"/>
      <c r="R854" s="204" t="s">
        <v>663</v>
      </c>
      <c r="S854" s="204"/>
      <c r="T854" s="204"/>
      <c r="U854" s="204"/>
      <c r="V854" s="204" t="s">
        <v>664</v>
      </c>
      <c r="W854" s="204"/>
      <c r="X854" s="204"/>
      <c r="Y854" s="204"/>
      <c r="Z854" s="204" t="s">
        <v>665</v>
      </c>
      <c r="AA854" s="204"/>
      <c r="AB854" s="204"/>
      <c r="AC854" s="204"/>
    </row>
    <row r="855" spans="1:29" ht="19.5" customHeight="1">
      <c r="A855" s="4"/>
      <c r="B855" s="4"/>
      <c r="C855" s="58"/>
      <c r="D855" s="184" t="s">
        <v>666</v>
      </c>
      <c r="E855" s="184"/>
      <c r="F855" s="184"/>
      <c r="G855" s="184"/>
      <c r="H855" s="184"/>
      <c r="I855" s="184"/>
      <c r="J855" s="184"/>
      <c r="K855" s="184"/>
      <c r="L855" s="184"/>
      <c r="M855" s="184"/>
      <c r="N855" s="204" t="s">
        <v>667</v>
      </c>
      <c r="O855" s="204"/>
      <c r="P855" s="204"/>
      <c r="Q855" s="204"/>
      <c r="R855" s="190">
        <f>S784</f>
        <v>4.284015215617059</v>
      </c>
      <c r="S855" s="190"/>
      <c r="T855" s="190"/>
      <c r="U855" s="190"/>
      <c r="V855" s="190">
        <f>W784</f>
        <v>-13.918042719764701</v>
      </c>
      <c r="W855" s="190"/>
      <c r="X855" s="190"/>
      <c r="Y855" s="190"/>
      <c r="Z855" s="190">
        <f>AA784</f>
        <v>4.284015215617059</v>
      </c>
      <c r="AA855" s="190"/>
      <c r="AB855" s="190"/>
      <c r="AC855" s="190"/>
    </row>
    <row r="856" spans="1:29" ht="19.5" customHeight="1">
      <c r="A856" s="4"/>
      <c r="B856" s="4"/>
      <c r="C856" s="58"/>
      <c r="D856" s="184" t="s">
        <v>668</v>
      </c>
      <c r="E856" s="184"/>
      <c r="F856" s="184"/>
      <c r="G856" s="184"/>
      <c r="H856" s="184"/>
      <c r="I856" s="184"/>
      <c r="J856" s="184"/>
      <c r="K856" s="184"/>
      <c r="L856" s="184"/>
      <c r="M856" s="184"/>
      <c r="N856" s="204" t="s">
        <v>667</v>
      </c>
      <c r="O856" s="204"/>
      <c r="P856" s="204"/>
      <c r="Q856" s="204"/>
      <c r="R856" s="190">
        <f>S785</f>
        <v>-15.028593999954332</v>
      </c>
      <c r="S856" s="190"/>
      <c r="T856" s="190"/>
      <c r="U856" s="190"/>
      <c r="V856" s="190">
        <f>W785</f>
        <v>3.140220569698325</v>
      </c>
      <c r="W856" s="190"/>
      <c r="X856" s="190"/>
      <c r="Y856" s="190"/>
      <c r="Z856" s="190">
        <f>AA785</f>
        <v>-15.028593999954332</v>
      </c>
      <c r="AA856" s="190"/>
      <c r="AB856" s="190"/>
      <c r="AC856" s="190"/>
    </row>
    <row r="857" spans="1:29" ht="19.5" customHeight="1">
      <c r="A857" s="4"/>
      <c r="B857" s="4"/>
      <c r="C857" s="58"/>
      <c r="D857" s="184" t="s">
        <v>23</v>
      </c>
      <c r="E857" s="184"/>
      <c r="F857" s="184"/>
      <c r="G857" s="184"/>
      <c r="H857" s="184"/>
      <c r="I857" s="184"/>
      <c r="J857" s="184"/>
      <c r="K857" s="184"/>
      <c r="L857" s="184"/>
      <c r="M857" s="184"/>
      <c r="N857" s="204" t="s">
        <v>650</v>
      </c>
      <c r="O857" s="204"/>
      <c r="P857" s="204"/>
      <c r="Q857" s="204"/>
      <c r="R857" s="190">
        <f>$AC$255</f>
        <v>380</v>
      </c>
      <c r="S857" s="190"/>
      <c r="T857" s="190"/>
      <c r="U857" s="190"/>
      <c r="V857" s="190">
        <f>$AC$240</f>
        <v>380</v>
      </c>
      <c r="W857" s="190"/>
      <c r="X857" s="190"/>
      <c r="Y857" s="190"/>
      <c r="Z857" s="190">
        <f>$AC$255</f>
        <v>380</v>
      </c>
      <c r="AA857" s="190"/>
      <c r="AB857" s="190"/>
      <c r="AC857" s="190"/>
    </row>
    <row r="858" spans="1:29" ht="19.5" customHeight="1">
      <c r="A858" s="4"/>
      <c r="B858" s="4"/>
      <c r="C858" s="58"/>
      <c r="D858" s="184" t="s">
        <v>659</v>
      </c>
      <c r="E858" s="184"/>
      <c r="F858" s="184"/>
      <c r="G858" s="184"/>
      <c r="H858" s="184"/>
      <c r="I858" s="184"/>
      <c r="J858" s="184"/>
      <c r="K858" s="184"/>
      <c r="L858" s="184"/>
      <c r="M858" s="184"/>
      <c r="N858" s="204" t="s">
        <v>650</v>
      </c>
      <c r="O858" s="204"/>
      <c r="P858" s="204"/>
      <c r="Q858" s="204"/>
      <c r="R858" s="190">
        <f>-R857*R855/(R856-R855)</f>
        <v>84.29341492717185</v>
      </c>
      <c r="S858" s="190"/>
      <c r="T858" s="190"/>
      <c r="U858" s="190"/>
      <c r="V858" s="205">
        <f>-V857*V856/(V855-V856)</f>
        <v>69.953417662539</v>
      </c>
      <c r="W858" s="206"/>
      <c r="X858" s="206"/>
      <c r="Y858" s="207"/>
      <c r="Z858" s="190">
        <f>-Z857*Z855/(Z856-Z855)</f>
        <v>84.29341492717185</v>
      </c>
      <c r="AA858" s="190"/>
      <c r="AB858" s="190"/>
      <c r="AC858" s="190"/>
    </row>
    <row r="859" spans="1:29" ht="19.5" customHeight="1">
      <c r="A859" s="4"/>
      <c r="B859" s="4"/>
      <c r="C859" s="58"/>
      <c r="D859" s="184" t="s">
        <v>24</v>
      </c>
      <c r="E859" s="184"/>
      <c r="F859" s="184"/>
      <c r="G859" s="184"/>
      <c r="H859" s="184"/>
      <c r="I859" s="184"/>
      <c r="J859" s="184"/>
      <c r="K859" s="184"/>
      <c r="L859" s="184"/>
      <c r="M859" s="184"/>
      <c r="N859" s="204" t="s">
        <v>660</v>
      </c>
      <c r="O859" s="204"/>
      <c r="P859" s="204"/>
      <c r="Q859" s="204"/>
      <c r="R859" s="190">
        <f>$AH$841*R855*(R858-$O$255)/R858</f>
        <v>14.523283757413013</v>
      </c>
      <c r="S859" s="190"/>
      <c r="T859" s="190"/>
      <c r="U859" s="190"/>
      <c r="V859" s="190">
        <f>$AH$841*V856*(V858-$O$242)/V858</f>
        <v>8.674928436448937</v>
      </c>
      <c r="W859" s="190"/>
      <c r="X859" s="190"/>
      <c r="Y859" s="190"/>
      <c r="Z859" s="190">
        <f>$AH$841*Z855*(Z858-$O$255)/Z858</f>
        <v>14.523283757413013</v>
      </c>
      <c r="AA859" s="190"/>
      <c r="AB859" s="190"/>
      <c r="AC859" s="190"/>
    </row>
    <row r="860" spans="1:29" ht="19.5" customHeight="1">
      <c r="A860" s="4"/>
      <c r="B860" s="4"/>
      <c r="C860" s="58"/>
      <c r="D860" s="184" t="s">
        <v>25</v>
      </c>
      <c r="E860" s="184"/>
      <c r="F860" s="184"/>
      <c r="G860" s="184"/>
      <c r="H860" s="184"/>
      <c r="I860" s="184"/>
      <c r="J860" s="184"/>
      <c r="K860" s="184"/>
      <c r="L860" s="184"/>
      <c r="M860" s="184"/>
      <c r="N860" s="204" t="s">
        <v>661</v>
      </c>
      <c r="O860" s="204"/>
      <c r="P860" s="204"/>
      <c r="Q860" s="204"/>
      <c r="R860" s="189">
        <f>1.1*(15/($Z$811+20)+0.7)*(4*($O$255-$G$254/2)+0.7*($K$254-$G$254))*(R859/($U$509*10^5)+$R$824*10^(-6))</f>
        <v>0.045642821727493156</v>
      </c>
      <c r="S860" s="189"/>
      <c r="T860" s="189"/>
      <c r="U860" s="189"/>
      <c r="V860" s="189">
        <f>1.1*(15/($Z$811+20)+0.7)*(4*($O$242-$Y$244/2)+0.7*($AC$244-$Y$244))*(V859/($U$509*10^5)+$R$824*10^(-6))</f>
        <v>0.039647409511983436</v>
      </c>
      <c r="W860" s="189"/>
      <c r="X860" s="189"/>
      <c r="Y860" s="189"/>
      <c r="Z860" s="189">
        <f>1.1*(15/($Z$811+20)+0.7)*(4*($O$255-$G$254/2)+0.7*($K$254-$G$254))*(Z859/($U$509*10^5)+$R$824*10^(-6))</f>
        <v>0.045642821727493156</v>
      </c>
      <c r="AA860" s="189"/>
      <c r="AB860" s="189"/>
      <c r="AC860" s="189"/>
    </row>
    <row r="861" spans="1:29" ht="19.5" customHeight="1">
      <c r="A861" s="4"/>
      <c r="B861" s="4"/>
      <c r="C861" s="58"/>
      <c r="D861" s="184" t="s">
        <v>26</v>
      </c>
      <c r="E861" s="184"/>
      <c r="F861" s="184"/>
      <c r="G861" s="184"/>
      <c r="H861" s="184"/>
      <c r="I861" s="184"/>
      <c r="J861" s="184"/>
      <c r="K861" s="184"/>
      <c r="L861" s="184"/>
      <c r="M861" s="184"/>
      <c r="N861" s="204" t="s">
        <v>662</v>
      </c>
      <c r="O861" s="204"/>
      <c r="P861" s="204"/>
      <c r="Q861" s="204"/>
      <c r="R861" s="189">
        <f>$N$800*($O$255-$G$254/2)</f>
        <v>0.10675</v>
      </c>
      <c r="S861" s="189"/>
      <c r="T861" s="189"/>
      <c r="U861" s="189"/>
      <c r="V861" s="189">
        <f>$N$801*($O$242-$Y$244/2)</f>
        <v>0.1525</v>
      </c>
      <c r="W861" s="189"/>
      <c r="X861" s="189"/>
      <c r="Y861" s="189"/>
      <c r="Z861" s="189">
        <f>$N$800*($O$255-$G$254/2)</f>
        <v>0.10675</v>
      </c>
      <c r="AA861" s="189"/>
      <c r="AB861" s="189"/>
      <c r="AC861" s="189"/>
    </row>
    <row r="862" spans="1:29" ht="19.5" customHeight="1">
      <c r="A862" s="4"/>
      <c r="B862" s="4"/>
      <c r="C862" s="58"/>
      <c r="D862" s="183" t="s">
        <v>1002</v>
      </c>
      <c r="E862" s="183"/>
      <c r="F862" s="183"/>
      <c r="G862" s="183"/>
      <c r="H862" s="183"/>
      <c r="I862" s="183"/>
      <c r="J862" s="183"/>
      <c r="K862" s="183"/>
      <c r="L862" s="183"/>
      <c r="M862" s="183"/>
      <c r="N862" s="183"/>
      <c r="O862" s="183"/>
      <c r="P862" s="183"/>
      <c r="Q862" s="183"/>
      <c r="R862" s="190" t="str">
        <f>IF(R860&lt;=R861,"O.K.","N.G.")</f>
        <v>O.K.</v>
      </c>
      <c r="S862" s="190"/>
      <c r="T862" s="190"/>
      <c r="U862" s="190"/>
      <c r="V862" s="190" t="str">
        <f>IF(V860&lt;=V861,"O.K.","N.G.")</f>
        <v>O.K.</v>
      </c>
      <c r="W862" s="190"/>
      <c r="X862" s="190"/>
      <c r="Y862" s="190"/>
      <c r="Z862" s="190" t="str">
        <f>IF(Z860&lt;=Z861,"O.K.","N.G.")</f>
        <v>O.K.</v>
      </c>
      <c r="AA862" s="190"/>
      <c r="AB862" s="190"/>
      <c r="AC862" s="190"/>
    </row>
    <row r="863" spans="2:12" ht="19.5" customHeight="1">
      <c r="B863" s="4" t="s">
        <v>27</v>
      </c>
      <c r="C863" s="4"/>
      <c r="D863" s="4"/>
      <c r="E863" s="4"/>
      <c r="F863" s="4"/>
      <c r="G863" s="4"/>
      <c r="H863" s="4"/>
      <c r="I863" s="4"/>
      <c r="J863" s="4"/>
      <c r="K863" s="4"/>
      <c r="L863" s="4"/>
    </row>
    <row r="864" spans="3:43" ht="19.5" customHeight="1">
      <c r="C864" s="4" t="s">
        <v>28</v>
      </c>
      <c r="E864" s="4"/>
      <c r="F864" s="4"/>
      <c r="G864" s="4"/>
      <c r="H864" s="4"/>
      <c r="I864" s="4"/>
      <c r="J864" s="4"/>
      <c r="K864" s="4"/>
      <c r="L864" s="4"/>
      <c r="M864" s="4"/>
      <c r="AH864" s="27"/>
      <c r="AQ864" s="29"/>
    </row>
    <row r="865" spans="3:43" ht="19.5" customHeight="1">
      <c r="C865" s="4" t="s">
        <v>29</v>
      </c>
      <c r="E865" s="4"/>
      <c r="F865" s="4"/>
      <c r="G865" s="4"/>
      <c r="H865" s="4"/>
      <c r="I865" s="4"/>
      <c r="J865" s="4"/>
      <c r="K865" s="4"/>
      <c r="L865" s="4"/>
      <c r="M865" s="4"/>
      <c r="AH865" s="27"/>
      <c r="AQ865" s="29"/>
    </row>
    <row r="866" spans="3:43" ht="19.5" customHeight="1">
      <c r="C866" s="27" t="s">
        <v>30</v>
      </c>
      <c r="D866" s="4"/>
      <c r="F866" s="4"/>
      <c r="G866" s="4"/>
      <c r="H866" s="4"/>
      <c r="I866" s="4"/>
      <c r="J866" s="4"/>
      <c r="K866" s="4"/>
      <c r="L866" s="4"/>
      <c r="M866" s="4"/>
      <c r="AH866" s="27"/>
      <c r="AQ866" s="29"/>
    </row>
    <row r="867" spans="3:43" ht="19.5" customHeight="1">
      <c r="C867" s="4" t="s">
        <v>31</v>
      </c>
      <c r="D867" s="4"/>
      <c r="E867" s="4"/>
      <c r="F867" s="4"/>
      <c r="G867" s="4"/>
      <c r="H867" s="4"/>
      <c r="I867" s="4"/>
      <c r="J867" s="4"/>
      <c r="K867" s="4"/>
      <c r="L867" s="4"/>
      <c r="M867" s="4"/>
      <c r="AH867" s="27"/>
      <c r="AQ867" s="29"/>
    </row>
    <row r="868" spans="3:44" ht="19.5" customHeight="1">
      <c r="C868" s="4"/>
      <c r="D868" s="4"/>
      <c r="E868" s="4" t="s">
        <v>669</v>
      </c>
      <c r="F868" s="4"/>
      <c r="G868" s="4"/>
      <c r="H868" s="237">
        <f>R886</f>
        <v>1.1297931769784013</v>
      </c>
      <c r="I868" s="237"/>
      <c r="J868" s="237"/>
      <c r="K868" s="29" t="s">
        <v>670</v>
      </c>
      <c r="M868" s="4"/>
      <c r="N868" s="4" t="s">
        <v>919</v>
      </c>
      <c r="AH868" s="27"/>
      <c r="AQ868" s="29"/>
      <c r="AR868" s="36"/>
    </row>
    <row r="869" spans="3:43" ht="19.5" customHeight="1">
      <c r="C869" s="4"/>
      <c r="D869" s="4"/>
      <c r="E869" s="4" t="s">
        <v>32</v>
      </c>
      <c r="F869" s="4"/>
      <c r="G869" s="4"/>
      <c r="H869" s="4"/>
      <c r="I869" s="4"/>
      <c r="J869" s="4"/>
      <c r="K869" s="4"/>
      <c r="L869" s="4"/>
      <c r="M869" s="4"/>
      <c r="AH869" s="27"/>
      <c r="AQ869" s="29"/>
    </row>
    <row r="870" spans="3:43" ht="19.5" customHeight="1">
      <c r="C870" s="4"/>
      <c r="D870" s="4"/>
      <c r="E870" s="4" t="s">
        <v>671</v>
      </c>
      <c r="F870" s="4"/>
      <c r="G870" s="4"/>
      <c r="H870" s="4" t="s">
        <v>672</v>
      </c>
      <c r="I870" s="4"/>
      <c r="J870" s="4"/>
      <c r="K870" s="4" t="s">
        <v>1350</v>
      </c>
      <c r="L870" s="250">
        <f>AH841</f>
        <v>6.451612903225806</v>
      </c>
      <c r="M870" s="250"/>
      <c r="N870" s="250"/>
      <c r="O870" s="27" t="s">
        <v>1349</v>
      </c>
      <c r="P870" s="237">
        <f>H868</f>
        <v>1.1297931769784013</v>
      </c>
      <c r="Q870" s="237"/>
      <c r="R870" s="237"/>
      <c r="S870" s="27" t="s">
        <v>1350</v>
      </c>
      <c r="T870" s="237">
        <f>L870*P870</f>
        <v>7.28898823857033</v>
      </c>
      <c r="U870" s="237"/>
      <c r="V870" s="237"/>
      <c r="W870" s="29" t="s">
        <v>673</v>
      </c>
      <c r="AH870" s="27"/>
      <c r="AQ870" s="29"/>
    </row>
    <row r="871" spans="3:43" ht="19.5" customHeight="1">
      <c r="C871" s="4"/>
      <c r="D871" s="4"/>
      <c r="E871" s="4"/>
      <c r="F871" s="4"/>
      <c r="H871" s="4"/>
      <c r="I871" s="4"/>
      <c r="J871" s="4"/>
      <c r="K871" s="4"/>
      <c r="L871" s="4"/>
      <c r="M871" s="4"/>
      <c r="AH871" s="27"/>
      <c r="AQ871" s="29"/>
    </row>
    <row r="872" spans="3:43" ht="19.5" customHeight="1">
      <c r="C872" s="4"/>
      <c r="D872" s="4"/>
      <c r="E872" s="4" t="s">
        <v>33</v>
      </c>
      <c r="F872" s="4"/>
      <c r="G872" s="4"/>
      <c r="H872" s="4"/>
      <c r="I872" s="4"/>
      <c r="J872" s="4"/>
      <c r="K872" s="4"/>
      <c r="L872" s="4"/>
      <c r="M872" s="4"/>
      <c r="AH872" s="27"/>
      <c r="AQ872" s="29"/>
    </row>
    <row r="873" spans="3:43" ht="19.5" customHeight="1">
      <c r="C873" s="4"/>
      <c r="D873" s="4"/>
      <c r="E873" s="4" t="s">
        <v>674</v>
      </c>
      <c r="F873" s="4"/>
      <c r="G873" s="33" t="s">
        <v>494</v>
      </c>
      <c r="H873" s="4" t="s">
        <v>675</v>
      </c>
      <c r="I873" s="4"/>
      <c r="J873" s="4"/>
      <c r="K873" s="4"/>
      <c r="L873" s="4"/>
      <c r="M873" s="4"/>
      <c r="AH873" s="27"/>
      <c r="AQ873" s="29"/>
    </row>
    <row r="874" spans="3:43" ht="19.5" customHeight="1">
      <c r="C874" s="4"/>
      <c r="D874" s="4"/>
      <c r="E874" s="4"/>
      <c r="F874" s="4"/>
      <c r="G874" s="33" t="s">
        <v>494</v>
      </c>
      <c r="H874" s="237">
        <f>J606</f>
        <v>1038.5812711711762</v>
      </c>
      <c r="I874" s="237"/>
      <c r="J874" s="237"/>
      <c r="K874" s="4" t="s">
        <v>676</v>
      </c>
      <c r="L874" s="237">
        <f>T870</f>
        <v>7.28898823857033</v>
      </c>
      <c r="M874" s="237"/>
      <c r="N874" s="237"/>
      <c r="O874" s="35" t="s">
        <v>494</v>
      </c>
      <c r="P874" s="237">
        <f>H874+L874</f>
        <v>1045.8702594097465</v>
      </c>
      <c r="Q874" s="237"/>
      <c r="R874" s="237"/>
      <c r="S874" s="29" t="s">
        <v>496</v>
      </c>
      <c r="T874" s="4"/>
      <c r="V874" s="27" t="str">
        <f>IF(P874&lt;=AA874,"＜","＞")</f>
        <v>＜</v>
      </c>
      <c r="X874" s="235" t="s">
        <v>497</v>
      </c>
      <c r="Y874" s="235"/>
      <c r="Z874" s="235"/>
      <c r="AA874" s="237">
        <f>U606</f>
        <v>1098.8</v>
      </c>
      <c r="AB874" s="237"/>
      <c r="AC874" s="237"/>
      <c r="AD874" s="29" t="s">
        <v>496</v>
      </c>
      <c r="AH874" s="27" t="str">
        <f>IF(P874&lt;=AA874,"O.K","N.G")</f>
        <v>O.K</v>
      </c>
      <c r="AI874" s="27"/>
      <c r="AQ874" s="29"/>
    </row>
    <row r="875" spans="3:43" ht="19.5" customHeight="1">
      <c r="C875" s="4"/>
      <c r="D875" s="4"/>
      <c r="E875" s="4"/>
      <c r="F875" s="4"/>
      <c r="G875" s="4"/>
      <c r="H875" s="4"/>
      <c r="I875" s="4"/>
      <c r="J875" s="4"/>
      <c r="K875" s="4"/>
      <c r="L875" s="4"/>
      <c r="M875" s="4"/>
      <c r="AH875" s="27"/>
      <c r="AQ875" s="29"/>
    </row>
    <row r="876" spans="1:22" ht="19.5" customHeight="1">
      <c r="A876" s="4"/>
      <c r="B876" s="4"/>
      <c r="C876" s="4"/>
      <c r="D876" s="4"/>
      <c r="E876" s="58" t="s">
        <v>34</v>
      </c>
      <c r="F876" s="4"/>
      <c r="G876" s="4"/>
      <c r="H876" s="4"/>
      <c r="I876" s="4"/>
      <c r="J876" s="4"/>
      <c r="K876" s="4"/>
      <c r="L876" s="4"/>
      <c r="V876" s="29" t="s">
        <v>447</v>
      </c>
    </row>
    <row r="877" spans="1:25" ht="19.5" customHeight="1">
      <c r="A877" s="4"/>
      <c r="B877" s="4"/>
      <c r="C877" s="4"/>
      <c r="D877" s="4"/>
      <c r="E877" s="204" t="s">
        <v>1021</v>
      </c>
      <c r="F877" s="204"/>
      <c r="G877" s="204"/>
      <c r="H877" s="204"/>
      <c r="I877" s="204"/>
      <c r="J877" s="204"/>
      <c r="K877" s="204"/>
      <c r="L877" s="204"/>
      <c r="M877" s="204"/>
      <c r="N877" s="204" t="s">
        <v>437</v>
      </c>
      <c r="O877" s="204"/>
      <c r="P877" s="204"/>
      <c r="Q877" s="204"/>
      <c r="R877" s="204" t="s">
        <v>438</v>
      </c>
      <c r="S877" s="204"/>
      <c r="T877" s="204"/>
      <c r="U877" s="204"/>
      <c r="V877" s="204" t="s">
        <v>439</v>
      </c>
      <c r="W877" s="204"/>
      <c r="X877" s="204"/>
      <c r="Y877" s="204"/>
    </row>
    <row r="878" spans="1:25" ht="19.5" customHeight="1">
      <c r="A878" s="4"/>
      <c r="B878" s="4"/>
      <c r="C878" s="4"/>
      <c r="D878" s="4"/>
      <c r="E878" s="267" t="s">
        <v>677</v>
      </c>
      <c r="F878" s="297" t="s">
        <v>678</v>
      </c>
      <c r="G878" s="270" t="s">
        <v>920</v>
      </c>
      <c r="H878" s="270"/>
      <c r="I878" s="270"/>
      <c r="J878" s="270"/>
      <c r="K878" s="270"/>
      <c r="L878" s="270"/>
      <c r="M878" s="270"/>
      <c r="N878" s="190">
        <f>T207*1000/$AH$266</f>
        <v>-0.00628779705496428</v>
      </c>
      <c r="O878" s="190"/>
      <c r="P878" s="190"/>
      <c r="Q878" s="190"/>
      <c r="R878" s="190">
        <f>X207*1000/$AH$251</f>
        <v>-0.004218107595859454</v>
      </c>
      <c r="S878" s="190"/>
      <c r="T878" s="190"/>
      <c r="U878" s="190"/>
      <c r="V878" s="190">
        <f>AB207*1000/$AH$266</f>
        <v>-0.00628779705496428</v>
      </c>
      <c r="W878" s="190"/>
      <c r="X878" s="190"/>
      <c r="Y878" s="190"/>
    </row>
    <row r="879" spans="1:25" ht="19.5" customHeight="1">
      <c r="A879" s="4"/>
      <c r="B879" s="4"/>
      <c r="C879" s="4"/>
      <c r="D879" s="4"/>
      <c r="E879" s="268"/>
      <c r="F879" s="298"/>
      <c r="G879" s="270" t="s">
        <v>35</v>
      </c>
      <c r="H879" s="270"/>
      <c r="I879" s="270"/>
      <c r="J879" s="270"/>
      <c r="K879" s="270"/>
      <c r="L879" s="270"/>
      <c r="M879" s="270"/>
      <c r="N879" s="190">
        <f>T208*1000/$AH$266</f>
        <v>-0.02354337366963114</v>
      </c>
      <c r="O879" s="190"/>
      <c r="P879" s="190"/>
      <c r="Q879" s="190"/>
      <c r="R879" s="190">
        <f>X208*1000/$AH$251</f>
        <v>0</v>
      </c>
      <c r="S879" s="190"/>
      <c r="T879" s="190"/>
      <c r="U879" s="190"/>
      <c r="V879" s="190">
        <f>AB208*1000/$AH$266</f>
        <v>-0.02354337366963114</v>
      </c>
      <c r="W879" s="190"/>
      <c r="X879" s="190"/>
      <c r="Y879" s="190"/>
    </row>
    <row r="880" spans="1:25" ht="19.5" customHeight="1">
      <c r="A880" s="4"/>
      <c r="B880" s="4"/>
      <c r="C880" s="4"/>
      <c r="D880" s="4"/>
      <c r="E880" s="268"/>
      <c r="F880" s="298"/>
      <c r="G880" s="270" t="s">
        <v>978</v>
      </c>
      <c r="H880" s="270"/>
      <c r="I880" s="270"/>
      <c r="J880" s="270"/>
      <c r="K880" s="270"/>
      <c r="L880" s="270"/>
      <c r="M880" s="270"/>
      <c r="N880" s="190">
        <f>M569</f>
        <v>1.4126870532347267</v>
      </c>
      <c r="O880" s="190"/>
      <c r="P880" s="190"/>
      <c r="Q880" s="190"/>
      <c r="R880" s="190">
        <f>Q569</f>
        <v>1.4067781602121088</v>
      </c>
      <c r="S880" s="190"/>
      <c r="T880" s="190"/>
      <c r="U880" s="190"/>
      <c r="V880" s="190">
        <f>U569</f>
        <v>1.4126870532347267</v>
      </c>
      <c r="W880" s="190"/>
      <c r="X880" s="190"/>
      <c r="Y880" s="190"/>
    </row>
    <row r="881" spans="1:25" ht="19.5" customHeight="1">
      <c r="A881" s="4"/>
      <c r="B881" s="4"/>
      <c r="C881" s="4"/>
      <c r="D881" s="4"/>
      <c r="E881" s="268"/>
      <c r="F881" s="298"/>
      <c r="G881" s="270" t="s">
        <v>967</v>
      </c>
      <c r="H881" s="270"/>
      <c r="I881" s="270"/>
      <c r="J881" s="270"/>
      <c r="K881" s="270"/>
      <c r="L881" s="270"/>
      <c r="M881" s="270"/>
      <c r="N881" s="190">
        <f>T209*1000/$AH$266</f>
        <v>-0.24827371220294497</v>
      </c>
      <c r="O881" s="190"/>
      <c r="P881" s="190"/>
      <c r="Q881" s="190"/>
      <c r="R881" s="205">
        <f>X209*1000/$AH$251</f>
        <v>-0.27276687563784807</v>
      </c>
      <c r="S881" s="206"/>
      <c r="T881" s="206"/>
      <c r="U881" s="207"/>
      <c r="V881" s="190">
        <f>AB209*1000/$AH$266</f>
        <v>-0.24827371220294497</v>
      </c>
      <c r="W881" s="190"/>
      <c r="X881" s="190"/>
      <c r="Y881" s="190"/>
    </row>
    <row r="882" spans="1:25" ht="19.5" customHeight="1">
      <c r="A882" s="4"/>
      <c r="B882" s="4"/>
      <c r="C882" s="4"/>
      <c r="D882" s="4"/>
      <c r="E882" s="268"/>
      <c r="F882" s="298"/>
      <c r="G882" s="270" t="s">
        <v>36</v>
      </c>
      <c r="H882" s="270"/>
      <c r="I882" s="270"/>
      <c r="J882" s="270"/>
      <c r="K882" s="270"/>
      <c r="L882" s="270"/>
      <c r="M882" s="270"/>
      <c r="N882" s="190">
        <f>T210*1000/$AH$266</f>
        <v>-0.00570782912961073</v>
      </c>
      <c r="O882" s="190"/>
      <c r="P882" s="190"/>
      <c r="Q882" s="190"/>
      <c r="R882" s="205">
        <f>X210*1000/$AH$251</f>
        <v>0</v>
      </c>
      <c r="S882" s="206"/>
      <c r="T882" s="206"/>
      <c r="U882" s="207"/>
      <c r="V882" s="190">
        <f>AB210*1000/$AH$266</f>
        <v>-0.00570782912961073</v>
      </c>
      <c r="W882" s="190"/>
      <c r="X882" s="190"/>
      <c r="Y882" s="190"/>
    </row>
    <row r="883" spans="1:25" ht="19.5" customHeight="1">
      <c r="A883" s="4"/>
      <c r="B883" s="4"/>
      <c r="C883" s="4"/>
      <c r="D883" s="4"/>
      <c r="E883" s="268"/>
      <c r="F883" s="298"/>
      <c r="G883" s="270" t="s">
        <v>973</v>
      </c>
      <c r="H883" s="270"/>
      <c r="I883" s="270"/>
      <c r="J883" s="270"/>
      <c r="K883" s="270"/>
      <c r="L883" s="270"/>
      <c r="M883" s="270"/>
      <c r="N883" s="190">
        <f>T211*1000/$AH$266</f>
        <v>0</v>
      </c>
      <c r="O883" s="190"/>
      <c r="P883" s="190"/>
      <c r="Q883" s="190"/>
      <c r="R883" s="205">
        <f>X211*1000/$AH$251</f>
        <v>0</v>
      </c>
      <c r="S883" s="206"/>
      <c r="T883" s="206"/>
      <c r="U883" s="207"/>
      <c r="V883" s="190">
        <f>AB211*1000/$AH$266</f>
        <v>0</v>
      </c>
      <c r="W883" s="190"/>
      <c r="X883" s="190"/>
      <c r="Y883" s="190"/>
    </row>
    <row r="884" spans="1:25" ht="19.5" customHeight="1">
      <c r="A884" s="4"/>
      <c r="B884" s="4"/>
      <c r="C884" s="4"/>
      <c r="D884" s="4"/>
      <c r="E884" s="268"/>
      <c r="F884" s="298"/>
      <c r="G884" s="294" t="s">
        <v>979</v>
      </c>
      <c r="H884" s="295"/>
      <c r="I884" s="295"/>
      <c r="J884" s="295"/>
      <c r="K884" s="295"/>
      <c r="L884" s="295"/>
      <c r="M884" s="296"/>
      <c r="N884" s="190">
        <f>T212*1000/$AH$266</f>
        <v>-0.0021839335180055403</v>
      </c>
      <c r="O884" s="190"/>
      <c r="P884" s="190"/>
      <c r="Q884" s="190"/>
      <c r="R884" s="205">
        <f>X212*1000/$AH$251</f>
        <v>0</v>
      </c>
      <c r="S884" s="206"/>
      <c r="T884" s="206"/>
      <c r="U884" s="207"/>
      <c r="V884" s="190">
        <f>AB212*1000/$AH$266</f>
        <v>-0.0021839335180055403</v>
      </c>
      <c r="W884" s="190"/>
      <c r="X884" s="190"/>
      <c r="Y884" s="190"/>
    </row>
    <row r="885" spans="1:25" ht="19.5" customHeight="1">
      <c r="A885" s="4"/>
      <c r="B885" s="4"/>
      <c r="C885" s="4"/>
      <c r="D885" s="4"/>
      <c r="E885" s="268"/>
      <c r="F885" s="298"/>
      <c r="G885" s="270" t="s">
        <v>679</v>
      </c>
      <c r="H885" s="270"/>
      <c r="I885" s="270"/>
      <c r="J885" s="270"/>
      <c r="K885" s="270"/>
      <c r="L885" s="270"/>
      <c r="M885" s="270"/>
      <c r="N885" s="190">
        <f>N878+N879+N880</f>
        <v>1.3828558825101311</v>
      </c>
      <c r="O885" s="190"/>
      <c r="P885" s="190"/>
      <c r="Q885" s="190"/>
      <c r="R885" s="190">
        <f>R878+R879+R880</f>
        <v>1.4025600526162494</v>
      </c>
      <c r="S885" s="190"/>
      <c r="T885" s="190"/>
      <c r="U885" s="190"/>
      <c r="V885" s="190">
        <f>V878+V879+V880</f>
        <v>1.3828558825101311</v>
      </c>
      <c r="W885" s="190"/>
      <c r="X885" s="190"/>
      <c r="Y885" s="190"/>
    </row>
    <row r="886" spans="1:25" ht="19.5" customHeight="1">
      <c r="A886" s="4"/>
      <c r="B886" s="4"/>
      <c r="C886" s="4"/>
      <c r="D886" s="4"/>
      <c r="E886" s="268"/>
      <c r="F886" s="298"/>
      <c r="G886" s="270" t="s">
        <v>1226</v>
      </c>
      <c r="H886" s="270"/>
      <c r="I886" s="270"/>
      <c r="J886" s="270"/>
      <c r="K886" s="270"/>
      <c r="L886" s="270"/>
      <c r="M886" s="270"/>
      <c r="N886" s="190">
        <f>N885+N881+N882</f>
        <v>1.1288743411775755</v>
      </c>
      <c r="O886" s="190"/>
      <c r="P886" s="190"/>
      <c r="Q886" s="190"/>
      <c r="R886" s="190">
        <f>R885+R881+R882</f>
        <v>1.1297931769784013</v>
      </c>
      <c r="S886" s="190"/>
      <c r="T886" s="190"/>
      <c r="U886" s="190"/>
      <c r="V886" s="190">
        <f>V885+V881+V882</f>
        <v>1.1288743411775755</v>
      </c>
      <c r="W886" s="190"/>
      <c r="X886" s="190"/>
      <c r="Y886" s="190"/>
    </row>
    <row r="887" spans="1:25" ht="19.5" customHeight="1">
      <c r="A887" s="4"/>
      <c r="B887" s="4"/>
      <c r="C887" s="4"/>
      <c r="D887" s="4"/>
      <c r="E887" s="268"/>
      <c r="F887" s="298"/>
      <c r="G887" s="294" t="s">
        <v>1410</v>
      </c>
      <c r="H887" s="295"/>
      <c r="I887" s="295"/>
      <c r="J887" s="295"/>
      <c r="K887" s="295"/>
      <c r="L887" s="295"/>
      <c r="M887" s="296"/>
      <c r="N887" s="205">
        <f>N885+N881+N882+1/2*N884</f>
        <v>1.1277823744185727</v>
      </c>
      <c r="O887" s="206"/>
      <c r="P887" s="206"/>
      <c r="Q887" s="207"/>
      <c r="R887" s="205">
        <f>R885+R881+R882+1/2*R884</f>
        <v>1.1297931769784013</v>
      </c>
      <c r="S887" s="206"/>
      <c r="T887" s="206"/>
      <c r="U887" s="207"/>
      <c r="V887" s="205">
        <f>V885+V881+V882+1/2*V884</f>
        <v>1.1277823744185727</v>
      </c>
      <c r="W887" s="206"/>
      <c r="X887" s="206"/>
      <c r="Y887" s="207"/>
    </row>
    <row r="888" spans="1:25" ht="19.5" customHeight="1">
      <c r="A888" s="4"/>
      <c r="B888" s="4"/>
      <c r="C888" s="4"/>
      <c r="D888" s="4"/>
      <c r="E888" s="268"/>
      <c r="F888" s="298"/>
      <c r="G888" s="294" t="s">
        <v>3</v>
      </c>
      <c r="H888" s="295"/>
      <c r="I888" s="295"/>
      <c r="J888" s="295"/>
      <c r="K888" s="295"/>
      <c r="L888" s="295"/>
      <c r="M888" s="296"/>
      <c r="N888" s="205">
        <f>N885+N884</f>
        <v>1.3806719489921255</v>
      </c>
      <c r="O888" s="206"/>
      <c r="P888" s="206"/>
      <c r="Q888" s="207"/>
      <c r="R888" s="205">
        <f>R885+R884</f>
        <v>1.4025600526162494</v>
      </c>
      <c r="S888" s="206"/>
      <c r="T888" s="206"/>
      <c r="U888" s="207"/>
      <c r="V888" s="205">
        <f>V885+V884</f>
        <v>1.3806719489921255</v>
      </c>
      <c r="W888" s="206"/>
      <c r="X888" s="206"/>
      <c r="Y888" s="207"/>
    </row>
    <row r="889" spans="1:25" ht="19.5" customHeight="1">
      <c r="A889" s="4"/>
      <c r="B889" s="4"/>
      <c r="C889" s="4"/>
      <c r="D889" s="4"/>
      <c r="E889" s="268"/>
      <c r="F889" s="298"/>
      <c r="G889" s="270" t="s">
        <v>94</v>
      </c>
      <c r="H889" s="270"/>
      <c r="I889" s="270"/>
      <c r="J889" s="270"/>
      <c r="K889" s="270"/>
      <c r="L889" s="270"/>
      <c r="M889" s="270"/>
      <c r="N889" s="190">
        <f>N886+N883</f>
        <v>1.1288743411775755</v>
      </c>
      <c r="O889" s="190"/>
      <c r="P889" s="190"/>
      <c r="Q889" s="190"/>
      <c r="R889" s="190">
        <f>R886+R883</f>
        <v>1.1297931769784013</v>
      </c>
      <c r="S889" s="190"/>
      <c r="T889" s="190"/>
      <c r="U889" s="190"/>
      <c r="V889" s="190">
        <f>V886+V883</f>
        <v>1.1288743411775755</v>
      </c>
      <c r="W889" s="190"/>
      <c r="X889" s="190"/>
      <c r="Y889" s="190"/>
    </row>
    <row r="890" spans="1:25" ht="19.5" customHeight="1">
      <c r="A890" s="4"/>
      <c r="B890" s="4"/>
      <c r="C890" s="4"/>
      <c r="D890" s="4"/>
      <c r="E890" s="269"/>
      <c r="F890" s="299"/>
      <c r="G890" s="270" t="s">
        <v>37</v>
      </c>
      <c r="H890" s="270"/>
      <c r="I890" s="270"/>
      <c r="J890" s="270"/>
      <c r="K890" s="270"/>
      <c r="L890" s="270"/>
      <c r="M890" s="270"/>
      <c r="N890" s="190">
        <f>MAX(N878:Q889)</f>
        <v>1.4126870532347267</v>
      </c>
      <c r="O890" s="190"/>
      <c r="P890" s="190"/>
      <c r="Q890" s="190"/>
      <c r="R890" s="190">
        <f>MAX(R878:U889)</f>
        <v>1.4067781602121088</v>
      </c>
      <c r="S890" s="190"/>
      <c r="T890" s="190"/>
      <c r="U890" s="190"/>
      <c r="V890" s="190">
        <f>MAX(V878:Y889)</f>
        <v>1.4126870532347267</v>
      </c>
      <c r="W890" s="190"/>
      <c r="X890" s="190"/>
      <c r="Y890" s="190"/>
    </row>
    <row r="891" spans="1:25" ht="19.5" customHeight="1">
      <c r="A891" s="4"/>
      <c r="B891" s="4"/>
      <c r="C891" s="4"/>
      <c r="D891" s="4"/>
      <c r="E891" s="270" t="s">
        <v>931</v>
      </c>
      <c r="F891" s="270"/>
      <c r="G891" s="270"/>
      <c r="H891" s="270"/>
      <c r="I891" s="270"/>
      <c r="J891" s="270"/>
      <c r="K891" s="270"/>
      <c r="L891" s="270"/>
      <c r="M891" s="270"/>
      <c r="N891" s="290">
        <f>$AH$841</f>
        <v>6.451612903225806</v>
      </c>
      <c r="O891" s="290"/>
      <c r="P891" s="290"/>
      <c r="Q891" s="290"/>
      <c r="R891" s="290">
        <f>$AH$841</f>
        <v>6.451612903225806</v>
      </c>
      <c r="S891" s="290"/>
      <c r="T891" s="290"/>
      <c r="U891" s="290"/>
      <c r="V891" s="290">
        <f>$AH$841</f>
        <v>6.451612903225806</v>
      </c>
      <c r="W891" s="290"/>
      <c r="X891" s="290"/>
      <c r="Y891" s="290"/>
    </row>
    <row r="892" spans="1:25" ht="19.5" customHeight="1">
      <c r="A892" s="4"/>
      <c r="B892" s="4"/>
      <c r="C892" s="4"/>
      <c r="D892" s="4"/>
      <c r="E892" s="270" t="s">
        <v>38</v>
      </c>
      <c r="F892" s="270"/>
      <c r="G892" s="270"/>
      <c r="H892" s="270"/>
      <c r="I892" s="270"/>
      <c r="J892" s="270"/>
      <c r="K892" s="270"/>
      <c r="L892" s="270"/>
      <c r="M892" s="270"/>
      <c r="N892" s="190">
        <f>L$615</f>
        <v>1037.3717963667186</v>
      </c>
      <c r="O892" s="190"/>
      <c r="P892" s="190"/>
      <c r="Q892" s="190"/>
      <c r="R892" s="190">
        <f>P$615</f>
        <v>1038.5812711711762</v>
      </c>
      <c r="S892" s="190"/>
      <c r="T892" s="190"/>
      <c r="U892" s="190"/>
      <c r="V892" s="190">
        <f>T$615</f>
        <v>1037.3717963667186</v>
      </c>
      <c r="W892" s="190"/>
      <c r="X892" s="190"/>
      <c r="Y892" s="190"/>
    </row>
    <row r="893" spans="1:25" ht="19.5" customHeight="1">
      <c r="A893" s="4" t="s">
        <v>274</v>
      </c>
      <c r="B893" s="4"/>
      <c r="C893" s="4"/>
      <c r="D893" s="4"/>
      <c r="E893" s="270" t="s">
        <v>39</v>
      </c>
      <c r="F893" s="270"/>
      <c r="G893" s="270"/>
      <c r="H893" s="270"/>
      <c r="I893" s="270"/>
      <c r="J893" s="270"/>
      <c r="K893" s="270"/>
      <c r="L893" s="270"/>
      <c r="M893" s="270"/>
      <c r="N893" s="190">
        <f>N890*N891</f>
        <v>9.114110020869203</v>
      </c>
      <c r="O893" s="190"/>
      <c r="P893" s="190"/>
      <c r="Q893" s="190"/>
      <c r="R893" s="190">
        <f>R890*R891</f>
        <v>9.0759881304007</v>
      </c>
      <c r="S893" s="190"/>
      <c r="T893" s="190"/>
      <c r="U893" s="190"/>
      <c r="V893" s="190">
        <f>V890*V891</f>
        <v>9.114110020869203</v>
      </c>
      <c r="W893" s="190"/>
      <c r="X893" s="190"/>
      <c r="Y893" s="190"/>
    </row>
    <row r="894" spans="1:25" ht="19.5" customHeight="1">
      <c r="A894" s="4"/>
      <c r="B894" s="4"/>
      <c r="C894" s="4"/>
      <c r="D894" s="4"/>
      <c r="E894" s="270" t="s">
        <v>680</v>
      </c>
      <c r="F894" s="270"/>
      <c r="G894" s="270"/>
      <c r="H894" s="270"/>
      <c r="I894" s="270"/>
      <c r="J894" s="270"/>
      <c r="K894" s="270"/>
      <c r="L894" s="270"/>
      <c r="M894" s="270"/>
      <c r="N894" s="190">
        <f>N892+N893</f>
        <v>1046.4859063875879</v>
      </c>
      <c r="O894" s="190"/>
      <c r="P894" s="190"/>
      <c r="Q894" s="190"/>
      <c r="R894" s="190">
        <f>R892+R893</f>
        <v>1047.657259301577</v>
      </c>
      <c r="S894" s="190"/>
      <c r="T894" s="190"/>
      <c r="U894" s="190"/>
      <c r="V894" s="190">
        <f>V892+V893</f>
        <v>1046.4859063875879</v>
      </c>
      <c r="W894" s="190"/>
      <c r="X894" s="190"/>
      <c r="Y894" s="190"/>
    </row>
    <row r="895" spans="1:44" ht="19.5" customHeight="1">
      <c r="A895" s="4"/>
      <c r="B895" s="4"/>
      <c r="C895" s="4"/>
      <c r="D895" s="4"/>
      <c r="E895" s="270" t="s">
        <v>40</v>
      </c>
      <c r="F895" s="270"/>
      <c r="G895" s="270"/>
      <c r="H895" s="270"/>
      <c r="I895" s="270"/>
      <c r="J895" s="270"/>
      <c r="K895" s="270"/>
      <c r="L895" s="270"/>
      <c r="M895" s="270"/>
      <c r="N895" s="190">
        <f>$AA$874</f>
        <v>1098.8</v>
      </c>
      <c r="O895" s="190"/>
      <c r="P895" s="190"/>
      <c r="Q895" s="190"/>
      <c r="R895" s="190">
        <f>N895</f>
        <v>1098.8</v>
      </c>
      <c r="S895" s="190"/>
      <c r="T895" s="190"/>
      <c r="U895" s="190"/>
      <c r="V895" s="190">
        <f>N895</f>
        <v>1098.8</v>
      </c>
      <c r="W895" s="190"/>
      <c r="X895" s="190"/>
      <c r="Y895" s="190"/>
      <c r="AR895" s="36"/>
    </row>
    <row r="896" spans="1:25" ht="19.5" customHeight="1">
      <c r="A896" s="4"/>
      <c r="B896" s="4"/>
      <c r="C896" s="4"/>
      <c r="D896" s="4"/>
      <c r="E896" s="270" t="s">
        <v>118</v>
      </c>
      <c r="F896" s="270"/>
      <c r="G896" s="270"/>
      <c r="H896" s="270"/>
      <c r="I896" s="270"/>
      <c r="J896" s="270"/>
      <c r="K896" s="270"/>
      <c r="L896" s="270"/>
      <c r="M896" s="270"/>
      <c r="N896" s="190" t="str">
        <f>IF(N894&lt;=N895,"O.K","N.G")</f>
        <v>O.K</v>
      </c>
      <c r="O896" s="190"/>
      <c r="P896" s="190"/>
      <c r="Q896" s="190"/>
      <c r="R896" s="190" t="str">
        <f>IF(R894&lt;=R895,"O.K","N.G")</f>
        <v>O.K</v>
      </c>
      <c r="S896" s="190"/>
      <c r="T896" s="190"/>
      <c r="U896" s="190"/>
      <c r="V896" s="190" t="str">
        <f>IF(V894&lt;=V895,"O.K","N.G")</f>
        <v>O.K</v>
      </c>
      <c r="W896" s="190"/>
      <c r="X896" s="190"/>
      <c r="Y896" s="190"/>
    </row>
    <row r="897" spans="1:42" s="27" customFormat="1" ht="19.5" customHeight="1">
      <c r="A897" s="4"/>
      <c r="B897" s="4"/>
      <c r="C897" s="4"/>
      <c r="D897" s="4"/>
      <c r="E897" s="62"/>
      <c r="F897" s="62"/>
      <c r="G897" s="62"/>
      <c r="H897" s="62"/>
      <c r="I897" s="62"/>
      <c r="J897" s="62"/>
      <c r="K897" s="62"/>
      <c r="L897" s="62"/>
      <c r="M897" s="62"/>
      <c r="N897" s="37"/>
      <c r="O897" s="37"/>
      <c r="P897" s="37"/>
      <c r="Q897" s="37"/>
      <c r="R897" s="37"/>
      <c r="S897" s="37"/>
      <c r="T897" s="37"/>
      <c r="U897" s="37"/>
      <c r="V897" s="37"/>
      <c r="W897" s="37"/>
      <c r="X897" s="37"/>
      <c r="Y897" s="37"/>
      <c r="AH897" s="29"/>
      <c r="AI897" s="29"/>
      <c r="AJ897" s="29"/>
      <c r="AK897" s="29"/>
      <c r="AL897" s="29"/>
      <c r="AM897" s="29"/>
      <c r="AN897" s="29"/>
      <c r="AO897" s="29"/>
      <c r="AP897" s="29"/>
    </row>
    <row r="898" spans="1:89" s="27" customFormat="1" ht="19.5" customHeight="1">
      <c r="A898" s="4"/>
      <c r="B898" s="4"/>
      <c r="C898" s="4"/>
      <c r="D898" s="4"/>
      <c r="E898" s="204" t="s">
        <v>917</v>
      </c>
      <c r="F898" s="204"/>
      <c r="G898" s="204"/>
      <c r="H898" s="204"/>
      <c r="I898" s="204"/>
      <c r="J898" s="204"/>
      <c r="K898" s="204"/>
      <c r="L898" s="204"/>
      <c r="M898" s="204"/>
      <c r="N898" s="204" t="s">
        <v>663</v>
      </c>
      <c r="O898" s="204"/>
      <c r="P898" s="204"/>
      <c r="Q898" s="204"/>
      <c r="R898" s="204" t="s">
        <v>664</v>
      </c>
      <c r="S898" s="204"/>
      <c r="T898" s="204"/>
      <c r="U898" s="204"/>
      <c r="V898" s="204" t="s">
        <v>665</v>
      </c>
      <c r="W898" s="204"/>
      <c r="X898" s="204"/>
      <c r="Y898" s="204"/>
      <c r="AH898" s="29"/>
      <c r="AI898" s="29"/>
      <c r="AJ898" s="29"/>
      <c r="AK898" s="29"/>
      <c r="AL898" s="29"/>
      <c r="AM898" s="29"/>
      <c r="AN898" s="29"/>
      <c r="AO898" s="29"/>
      <c r="AP898" s="29"/>
      <c r="BY898" s="20"/>
      <c r="BZ898" s="20"/>
      <c r="CA898" s="20"/>
      <c r="CB898" s="20"/>
      <c r="CC898" s="20"/>
      <c r="CD898" s="20"/>
      <c r="CE898" s="20"/>
      <c r="CF898" s="20"/>
      <c r="CG898" s="20"/>
      <c r="CH898" s="20"/>
      <c r="CI898" s="20"/>
      <c r="CJ898" s="20"/>
      <c r="CK898" s="20"/>
    </row>
    <row r="899" spans="1:89" s="27" customFormat="1" ht="19.5" customHeight="1">
      <c r="A899" s="4"/>
      <c r="B899" s="4"/>
      <c r="C899" s="4"/>
      <c r="D899" s="4"/>
      <c r="E899" s="267" t="s">
        <v>681</v>
      </c>
      <c r="F899" s="297" t="s">
        <v>682</v>
      </c>
      <c r="G899" s="270" t="s">
        <v>920</v>
      </c>
      <c r="H899" s="270"/>
      <c r="I899" s="270"/>
      <c r="J899" s="270"/>
      <c r="K899" s="270"/>
      <c r="L899" s="270"/>
      <c r="M899" s="270"/>
      <c r="N899" s="190">
        <f>T222*1000/$AH$266</f>
        <v>-0.00628779705496428</v>
      </c>
      <c r="O899" s="190"/>
      <c r="P899" s="190"/>
      <c r="Q899" s="190"/>
      <c r="R899" s="190">
        <f>X222*1000/$AH$251</f>
        <v>-0.0058591631433153515</v>
      </c>
      <c r="S899" s="190"/>
      <c r="T899" s="190"/>
      <c r="U899" s="190"/>
      <c r="V899" s="190">
        <f>AB222*1000/$AH$266</f>
        <v>-0.00628779705496428</v>
      </c>
      <c r="W899" s="190"/>
      <c r="X899" s="190"/>
      <c r="Y899" s="190"/>
      <c r="AH899" s="29"/>
      <c r="AI899" s="29"/>
      <c r="AJ899" s="29"/>
      <c r="AK899" s="29"/>
      <c r="AL899" s="29"/>
      <c r="AM899" s="29"/>
      <c r="AN899" s="29"/>
      <c r="AO899" s="29"/>
      <c r="AP899" s="29"/>
      <c r="BY899" s="20"/>
      <c r="BZ899" s="20"/>
      <c r="CA899" s="20"/>
      <c r="CB899" s="20"/>
      <c r="CC899" s="20"/>
      <c r="CD899" s="20"/>
      <c r="CE899" s="20"/>
      <c r="CF899" s="20"/>
      <c r="CG899" s="20"/>
      <c r="CH899" s="20"/>
      <c r="CI899" s="20"/>
      <c r="CJ899" s="20"/>
      <c r="CK899" s="20"/>
    </row>
    <row r="900" spans="1:89" s="27" customFormat="1" ht="19.5" customHeight="1">
      <c r="A900" s="4"/>
      <c r="B900" s="4"/>
      <c r="C900" s="4"/>
      <c r="D900" s="4"/>
      <c r="E900" s="268"/>
      <c r="F900" s="298"/>
      <c r="G900" s="270" t="s">
        <v>35</v>
      </c>
      <c r="H900" s="270"/>
      <c r="I900" s="270"/>
      <c r="J900" s="270"/>
      <c r="K900" s="270"/>
      <c r="L900" s="270"/>
      <c r="M900" s="270"/>
      <c r="N900" s="190">
        <f>T223*1000/$AH$266</f>
        <v>-0.02354337366963114</v>
      </c>
      <c r="O900" s="190"/>
      <c r="P900" s="190"/>
      <c r="Q900" s="190"/>
      <c r="R900" s="190">
        <f>X223*1000/$AH$251</f>
        <v>0.02354337366963114</v>
      </c>
      <c r="S900" s="190"/>
      <c r="T900" s="190"/>
      <c r="U900" s="190"/>
      <c r="V900" s="190">
        <f>AB223*1000/$AH$266</f>
        <v>-0.02354337366963114</v>
      </c>
      <c r="W900" s="190"/>
      <c r="X900" s="190"/>
      <c r="Y900" s="190"/>
      <c r="AH900" s="29"/>
      <c r="AI900" s="29"/>
      <c r="AJ900" s="29"/>
      <c r="AK900" s="29"/>
      <c r="AL900" s="29"/>
      <c r="AM900" s="29"/>
      <c r="AN900" s="29"/>
      <c r="AO900" s="29"/>
      <c r="AP900" s="29"/>
      <c r="BY900" s="20"/>
      <c r="BZ900" s="20"/>
      <c r="CA900" s="20"/>
      <c r="CB900" s="20"/>
      <c r="CC900" s="20"/>
      <c r="CD900" s="20"/>
      <c r="CE900" s="20"/>
      <c r="CF900" s="20"/>
      <c r="CG900" s="20"/>
      <c r="CH900" s="20"/>
      <c r="CI900" s="20"/>
      <c r="CJ900" s="20"/>
      <c r="CK900" s="20"/>
    </row>
    <row r="901" spans="1:89" s="27" customFormat="1" ht="19.5" customHeight="1">
      <c r="A901" s="4"/>
      <c r="B901" s="4"/>
      <c r="C901" s="4"/>
      <c r="D901" s="4"/>
      <c r="E901" s="268"/>
      <c r="F901" s="298"/>
      <c r="G901" s="270" t="s">
        <v>978</v>
      </c>
      <c r="H901" s="270"/>
      <c r="I901" s="270"/>
      <c r="J901" s="270"/>
      <c r="K901" s="270"/>
      <c r="L901" s="270"/>
      <c r="M901" s="270"/>
      <c r="N901" s="190">
        <f>M569</f>
        <v>1.4126870532347267</v>
      </c>
      <c r="O901" s="190"/>
      <c r="P901" s="190"/>
      <c r="Q901" s="190"/>
      <c r="R901" s="190">
        <f>Q569</f>
        <v>1.4067781602121088</v>
      </c>
      <c r="S901" s="190"/>
      <c r="T901" s="190"/>
      <c r="U901" s="190"/>
      <c r="V901" s="190">
        <f>U569</f>
        <v>1.4126870532347267</v>
      </c>
      <c r="W901" s="190"/>
      <c r="X901" s="190"/>
      <c r="Y901" s="190"/>
      <c r="AH901" s="29"/>
      <c r="AI901" s="29"/>
      <c r="AJ901" s="29"/>
      <c r="AK901" s="29"/>
      <c r="AL901" s="29"/>
      <c r="AM901" s="29"/>
      <c r="AN901" s="29"/>
      <c r="AO901" s="29"/>
      <c r="AP901" s="29"/>
      <c r="BY901" s="20"/>
      <c r="BZ901" s="20"/>
      <c r="CA901" s="20"/>
      <c r="CB901" s="20"/>
      <c r="CC901" s="20"/>
      <c r="CD901" s="20"/>
      <c r="CE901" s="20"/>
      <c r="CF901" s="20"/>
      <c r="CG901" s="20"/>
      <c r="CH901" s="20"/>
      <c r="CI901" s="20"/>
      <c r="CJ901" s="20"/>
      <c r="CK901" s="20"/>
    </row>
    <row r="902" spans="1:89" s="27" customFormat="1" ht="19.5" customHeight="1">
      <c r="A902" s="4"/>
      <c r="B902" s="4"/>
      <c r="C902" s="4"/>
      <c r="D902" s="4"/>
      <c r="E902" s="268"/>
      <c r="F902" s="298"/>
      <c r="G902" s="270" t="s">
        <v>967</v>
      </c>
      <c r="H902" s="270"/>
      <c r="I902" s="270"/>
      <c r="J902" s="270"/>
      <c r="K902" s="270"/>
      <c r="L902" s="270"/>
      <c r="M902" s="270"/>
      <c r="N902" s="190">
        <f>T224*1000/$AH$266</f>
        <v>-0.24827371220294497</v>
      </c>
      <c r="O902" s="190"/>
      <c r="P902" s="190"/>
      <c r="Q902" s="190"/>
      <c r="R902" s="205">
        <f>X224*1000/$AH$251</f>
        <v>-0.27276687563784807</v>
      </c>
      <c r="S902" s="206"/>
      <c r="T902" s="206"/>
      <c r="U902" s="207"/>
      <c r="V902" s="190">
        <f>AB224*1000/$AH$266</f>
        <v>-0.24827371220294497</v>
      </c>
      <c r="W902" s="190"/>
      <c r="X902" s="190"/>
      <c r="Y902" s="190"/>
      <c r="AH902" s="29"/>
      <c r="AI902" s="29"/>
      <c r="AJ902" s="29"/>
      <c r="AK902" s="29"/>
      <c r="AL902" s="29"/>
      <c r="AM902" s="29"/>
      <c r="AN902" s="29"/>
      <c r="AO902" s="29"/>
      <c r="AP902" s="29"/>
      <c r="BY902" s="20"/>
      <c r="BZ902" s="20"/>
      <c r="CA902" s="20"/>
      <c r="CB902" s="20"/>
      <c r="CC902" s="20"/>
      <c r="CD902" s="20"/>
      <c r="CE902" s="20"/>
      <c r="CF902" s="20"/>
      <c r="CG902" s="20"/>
      <c r="CH902" s="20"/>
      <c r="CI902" s="20"/>
      <c r="CJ902" s="20"/>
      <c r="CK902" s="20"/>
    </row>
    <row r="903" spans="1:89" s="27" customFormat="1" ht="19.5" customHeight="1">
      <c r="A903" s="4"/>
      <c r="B903" s="4"/>
      <c r="C903" s="4"/>
      <c r="D903" s="4"/>
      <c r="E903" s="268"/>
      <c r="F903" s="298"/>
      <c r="G903" s="270" t="s">
        <v>36</v>
      </c>
      <c r="H903" s="270"/>
      <c r="I903" s="270"/>
      <c r="J903" s="270"/>
      <c r="K903" s="270"/>
      <c r="L903" s="270"/>
      <c r="M903" s="270"/>
      <c r="N903" s="190">
        <f>T225*1000/$AH$266</f>
        <v>-0.00570782912961073</v>
      </c>
      <c r="O903" s="190"/>
      <c r="P903" s="190"/>
      <c r="Q903" s="190"/>
      <c r="R903" s="205">
        <f>X225*1000/$AH$251</f>
        <v>0</v>
      </c>
      <c r="S903" s="206"/>
      <c r="T903" s="206"/>
      <c r="U903" s="207"/>
      <c r="V903" s="190">
        <f>AB225*1000/$AH$266</f>
        <v>-0.00570782912961073</v>
      </c>
      <c r="W903" s="190"/>
      <c r="X903" s="190"/>
      <c r="Y903" s="190"/>
      <c r="AH903" s="29"/>
      <c r="AI903" s="29"/>
      <c r="AJ903" s="29"/>
      <c r="AK903" s="29"/>
      <c r="AL903" s="29"/>
      <c r="AM903" s="29"/>
      <c r="AN903" s="29"/>
      <c r="AO903" s="29"/>
      <c r="AP903" s="29"/>
      <c r="BY903" s="20"/>
      <c r="BZ903" s="20"/>
      <c r="CA903" s="20"/>
      <c r="CB903" s="20"/>
      <c r="CC903" s="20"/>
      <c r="CD903" s="20"/>
      <c r="CE903" s="20"/>
      <c r="CF903" s="20"/>
      <c r="CG903" s="20"/>
      <c r="CH903" s="20"/>
      <c r="CI903" s="20"/>
      <c r="CJ903" s="20"/>
      <c r="CK903" s="20"/>
    </row>
    <row r="904" spans="1:89" s="27" customFormat="1" ht="19.5" customHeight="1">
      <c r="A904" s="4"/>
      <c r="B904" s="4"/>
      <c r="C904" s="4"/>
      <c r="D904" s="4"/>
      <c r="E904" s="268"/>
      <c r="F904" s="298"/>
      <c r="G904" s="270" t="s">
        <v>973</v>
      </c>
      <c r="H904" s="270"/>
      <c r="I904" s="270"/>
      <c r="J904" s="270"/>
      <c r="K904" s="270"/>
      <c r="L904" s="270"/>
      <c r="M904" s="270"/>
      <c r="N904" s="190">
        <f>T226*1000/$AH$266</f>
        <v>0</v>
      </c>
      <c r="O904" s="190"/>
      <c r="P904" s="190"/>
      <c r="Q904" s="190"/>
      <c r="R904" s="205">
        <f>X226*1000/$AH$251</f>
        <v>0</v>
      </c>
      <c r="S904" s="206"/>
      <c r="T904" s="206"/>
      <c r="U904" s="207"/>
      <c r="V904" s="190">
        <f>AB226*1000/$AH$266</f>
        <v>0</v>
      </c>
      <c r="W904" s="190"/>
      <c r="X904" s="190"/>
      <c r="Y904" s="190"/>
      <c r="AH904" s="29"/>
      <c r="AI904" s="29"/>
      <c r="AJ904" s="29"/>
      <c r="AK904" s="29"/>
      <c r="AL904" s="29"/>
      <c r="AM904" s="29"/>
      <c r="AN904" s="29"/>
      <c r="AO904" s="29"/>
      <c r="AP904" s="29"/>
      <c r="BY904" s="20"/>
      <c r="BZ904" s="20"/>
      <c r="CA904" s="20"/>
      <c r="CB904" s="20"/>
      <c r="CC904" s="20"/>
      <c r="CD904" s="20"/>
      <c r="CE904" s="20"/>
      <c r="CF904" s="20"/>
      <c r="CG904" s="20"/>
      <c r="CH904" s="20"/>
      <c r="CI904" s="20"/>
      <c r="CJ904" s="20"/>
      <c r="CK904" s="20"/>
    </row>
    <row r="905" spans="1:89" s="27" customFormat="1" ht="19.5" customHeight="1">
      <c r="A905" s="4"/>
      <c r="B905" s="4"/>
      <c r="C905" s="4"/>
      <c r="D905" s="4"/>
      <c r="E905" s="268"/>
      <c r="F905" s="298"/>
      <c r="G905" s="294" t="s">
        <v>979</v>
      </c>
      <c r="H905" s="295"/>
      <c r="I905" s="295"/>
      <c r="J905" s="295"/>
      <c r="K905" s="295"/>
      <c r="L905" s="295"/>
      <c r="M905" s="296"/>
      <c r="N905" s="190">
        <f>T227*1000/$AH$266</f>
        <v>-0.0021839335180055403</v>
      </c>
      <c r="O905" s="190"/>
      <c r="P905" s="190"/>
      <c r="Q905" s="190"/>
      <c r="R905" s="205">
        <f>X227*1000/$AH$251</f>
        <v>0</v>
      </c>
      <c r="S905" s="206"/>
      <c r="T905" s="206"/>
      <c r="U905" s="207"/>
      <c r="V905" s="190">
        <f>AB227*1000/$AH$266</f>
        <v>-0.0021839335180055403</v>
      </c>
      <c r="W905" s="190"/>
      <c r="X905" s="190"/>
      <c r="Y905" s="190"/>
      <c r="AH905" s="29"/>
      <c r="AI905" s="29"/>
      <c r="AJ905" s="29"/>
      <c r="AK905" s="29"/>
      <c r="AL905" s="29"/>
      <c r="AM905" s="29"/>
      <c r="AN905" s="29"/>
      <c r="AO905" s="29"/>
      <c r="AP905" s="29"/>
      <c r="BY905" s="20"/>
      <c r="BZ905" s="20"/>
      <c r="CA905" s="20"/>
      <c r="CB905" s="20"/>
      <c r="CC905" s="20"/>
      <c r="CD905" s="20"/>
      <c r="CE905" s="20"/>
      <c r="CF905" s="20"/>
      <c r="CG905" s="20"/>
      <c r="CH905" s="20"/>
      <c r="CI905" s="20"/>
      <c r="CJ905" s="20"/>
      <c r="CK905" s="20"/>
    </row>
    <row r="906" spans="1:89" s="27" customFormat="1" ht="19.5" customHeight="1">
      <c r="A906" s="4"/>
      <c r="B906" s="4"/>
      <c r="C906" s="4"/>
      <c r="D906" s="4"/>
      <c r="E906" s="268"/>
      <c r="F906" s="298"/>
      <c r="G906" s="270" t="s">
        <v>679</v>
      </c>
      <c r="H906" s="270"/>
      <c r="I906" s="270"/>
      <c r="J906" s="270"/>
      <c r="K906" s="270"/>
      <c r="L906" s="270"/>
      <c r="M906" s="270"/>
      <c r="N906" s="190">
        <f>N899+N900+N901</f>
        <v>1.3828558825101311</v>
      </c>
      <c r="O906" s="190"/>
      <c r="P906" s="190"/>
      <c r="Q906" s="190"/>
      <c r="R906" s="190">
        <f>R899+R900+R901</f>
        <v>1.4244623707384245</v>
      </c>
      <c r="S906" s="190"/>
      <c r="T906" s="190"/>
      <c r="U906" s="190"/>
      <c r="V906" s="190">
        <f>V899+V900+V901</f>
        <v>1.3828558825101311</v>
      </c>
      <c r="W906" s="190"/>
      <c r="X906" s="190"/>
      <c r="Y906" s="190"/>
      <c r="AH906" s="29"/>
      <c r="AI906" s="29"/>
      <c r="AJ906" s="29"/>
      <c r="AK906" s="29"/>
      <c r="AL906" s="29"/>
      <c r="AM906" s="29"/>
      <c r="AN906" s="29"/>
      <c r="AO906" s="29"/>
      <c r="AP906" s="29"/>
      <c r="BY906" s="20"/>
      <c r="BZ906" s="20"/>
      <c r="CA906" s="20"/>
      <c r="CB906" s="20"/>
      <c r="CC906" s="20"/>
      <c r="CD906" s="20"/>
      <c r="CE906" s="20"/>
      <c r="CF906" s="20"/>
      <c r="CG906" s="20"/>
      <c r="CH906" s="20"/>
      <c r="CI906" s="20"/>
      <c r="CJ906" s="20"/>
      <c r="CK906" s="20"/>
    </row>
    <row r="907" spans="1:89" s="27" customFormat="1" ht="19.5" customHeight="1">
      <c r="A907" s="4"/>
      <c r="B907" s="4"/>
      <c r="C907" s="4"/>
      <c r="D907" s="4"/>
      <c r="E907" s="268"/>
      <c r="F907" s="298"/>
      <c r="G907" s="270" t="s">
        <v>1226</v>
      </c>
      <c r="H907" s="270"/>
      <c r="I907" s="270"/>
      <c r="J907" s="270"/>
      <c r="K907" s="270"/>
      <c r="L907" s="270"/>
      <c r="M907" s="270"/>
      <c r="N907" s="190">
        <f>N906+N902+N903</f>
        <v>1.1288743411775755</v>
      </c>
      <c r="O907" s="190"/>
      <c r="P907" s="190"/>
      <c r="Q907" s="190"/>
      <c r="R907" s="190">
        <f>R906+R902+R903</f>
        <v>1.1516954951005764</v>
      </c>
      <c r="S907" s="190"/>
      <c r="T907" s="190"/>
      <c r="U907" s="190"/>
      <c r="V907" s="190">
        <f>V906+V902+V903</f>
        <v>1.1288743411775755</v>
      </c>
      <c r="W907" s="190"/>
      <c r="X907" s="190"/>
      <c r="Y907" s="190"/>
      <c r="AH907" s="29"/>
      <c r="AI907" s="29"/>
      <c r="AJ907" s="29"/>
      <c r="AK907" s="29"/>
      <c r="AL907" s="29"/>
      <c r="AM907" s="29"/>
      <c r="AN907" s="29"/>
      <c r="AO907" s="29"/>
      <c r="AP907" s="29"/>
      <c r="BY907" s="20"/>
      <c r="BZ907" s="20"/>
      <c r="CA907" s="20"/>
      <c r="CB907" s="20"/>
      <c r="CC907" s="20"/>
      <c r="CD907" s="20"/>
      <c r="CE907" s="20"/>
      <c r="CF907" s="20"/>
      <c r="CG907" s="20"/>
      <c r="CH907" s="20"/>
      <c r="CI907" s="20"/>
      <c r="CJ907" s="20"/>
      <c r="CK907" s="20"/>
    </row>
    <row r="908" spans="1:89" s="27" customFormat="1" ht="19.5" customHeight="1">
      <c r="A908" s="4"/>
      <c r="B908" s="4"/>
      <c r="C908" s="4"/>
      <c r="D908" s="4"/>
      <c r="E908" s="268"/>
      <c r="F908" s="298"/>
      <c r="G908" s="294" t="s">
        <v>1410</v>
      </c>
      <c r="H908" s="295"/>
      <c r="I908" s="295"/>
      <c r="J908" s="295"/>
      <c r="K908" s="295"/>
      <c r="L908" s="295"/>
      <c r="M908" s="296"/>
      <c r="N908" s="205">
        <f>N906+N902+N903+1/2*N905</f>
        <v>1.1277823744185727</v>
      </c>
      <c r="O908" s="206"/>
      <c r="P908" s="206"/>
      <c r="Q908" s="207"/>
      <c r="R908" s="205">
        <f>R906+R902+R903+1/2*R905</f>
        <v>1.1516954951005764</v>
      </c>
      <c r="S908" s="206"/>
      <c r="T908" s="206"/>
      <c r="U908" s="207"/>
      <c r="V908" s="205">
        <f>V906+V902+V903+1/2*V905</f>
        <v>1.1277823744185727</v>
      </c>
      <c r="W908" s="206"/>
      <c r="X908" s="206"/>
      <c r="Y908" s="207"/>
      <c r="AH908" s="29"/>
      <c r="AI908" s="29"/>
      <c r="AJ908" s="29"/>
      <c r="AK908" s="29"/>
      <c r="AL908" s="29"/>
      <c r="AM908" s="29"/>
      <c r="AN908" s="29"/>
      <c r="AO908" s="29"/>
      <c r="AP908" s="29"/>
      <c r="BY908" s="20"/>
      <c r="BZ908" s="20"/>
      <c r="CA908" s="20"/>
      <c r="CB908" s="20"/>
      <c r="CC908" s="20"/>
      <c r="CD908" s="20"/>
      <c r="CE908" s="20"/>
      <c r="CF908" s="20"/>
      <c r="CG908" s="20"/>
      <c r="CH908" s="20"/>
      <c r="CI908" s="20"/>
      <c r="CJ908" s="20"/>
      <c r="CK908" s="20"/>
    </row>
    <row r="909" spans="1:89" s="27" customFormat="1" ht="19.5" customHeight="1">
      <c r="A909" s="4"/>
      <c r="B909" s="4"/>
      <c r="C909" s="4"/>
      <c r="D909" s="4"/>
      <c r="E909" s="268"/>
      <c r="F909" s="298"/>
      <c r="G909" s="294" t="s">
        <v>3</v>
      </c>
      <c r="H909" s="295"/>
      <c r="I909" s="295"/>
      <c r="J909" s="295"/>
      <c r="K909" s="295"/>
      <c r="L909" s="295"/>
      <c r="M909" s="296"/>
      <c r="N909" s="205">
        <f>N906+N905</f>
        <v>1.3806719489921255</v>
      </c>
      <c r="O909" s="206"/>
      <c r="P909" s="206"/>
      <c r="Q909" s="207"/>
      <c r="R909" s="205">
        <f>R906+R905</f>
        <v>1.4244623707384245</v>
      </c>
      <c r="S909" s="206"/>
      <c r="T909" s="206"/>
      <c r="U909" s="207"/>
      <c r="V909" s="205">
        <f>V906+V905</f>
        <v>1.3806719489921255</v>
      </c>
      <c r="W909" s="206"/>
      <c r="X909" s="206"/>
      <c r="Y909" s="207"/>
      <c r="AH909" s="29"/>
      <c r="AI909" s="29"/>
      <c r="AJ909" s="29"/>
      <c r="AK909" s="29"/>
      <c r="AL909" s="29"/>
      <c r="AM909" s="29"/>
      <c r="AN909" s="29"/>
      <c r="AO909" s="29"/>
      <c r="AP909" s="29"/>
      <c r="BY909" s="20"/>
      <c r="BZ909" s="20"/>
      <c r="CA909" s="20"/>
      <c r="CB909" s="20"/>
      <c r="CC909" s="20"/>
      <c r="CD909" s="20"/>
      <c r="CE909" s="20"/>
      <c r="CF909" s="20"/>
      <c r="CG909" s="20"/>
      <c r="CH909" s="20"/>
      <c r="CI909" s="20"/>
      <c r="CJ909" s="20"/>
      <c r="CK909" s="20"/>
    </row>
    <row r="910" spans="1:89" s="27" customFormat="1" ht="19.5" customHeight="1">
      <c r="A910" s="4"/>
      <c r="B910" s="4"/>
      <c r="C910" s="4"/>
      <c r="D910" s="4"/>
      <c r="E910" s="268"/>
      <c r="F910" s="298"/>
      <c r="G910" s="270" t="s">
        <v>94</v>
      </c>
      <c r="H910" s="270"/>
      <c r="I910" s="270"/>
      <c r="J910" s="270"/>
      <c r="K910" s="270"/>
      <c r="L910" s="270"/>
      <c r="M910" s="270"/>
      <c r="N910" s="190">
        <f>N907+N904</f>
        <v>1.1288743411775755</v>
      </c>
      <c r="O910" s="190"/>
      <c r="P910" s="190"/>
      <c r="Q910" s="190"/>
      <c r="R910" s="190">
        <f>R907+R904</f>
        <v>1.1516954951005764</v>
      </c>
      <c r="S910" s="190"/>
      <c r="T910" s="190"/>
      <c r="U910" s="190"/>
      <c r="V910" s="190">
        <f>V907+V904</f>
        <v>1.1288743411775755</v>
      </c>
      <c r="W910" s="190"/>
      <c r="X910" s="190"/>
      <c r="Y910" s="190"/>
      <c r="AH910" s="29"/>
      <c r="AI910" s="29"/>
      <c r="AJ910" s="29"/>
      <c r="AK910" s="29"/>
      <c r="AL910" s="29"/>
      <c r="AM910" s="29"/>
      <c r="AN910" s="29"/>
      <c r="AO910" s="29"/>
      <c r="AP910" s="29"/>
      <c r="BY910" s="20"/>
      <c r="BZ910" s="20"/>
      <c r="CA910" s="20"/>
      <c r="CB910" s="20"/>
      <c r="CC910" s="20"/>
      <c r="CD910" s="20"/>
      <c r="CE910" s="20"/>
      <c r="CF910" s="20"/>
      <c r="CG910" s="20"/>
      <c r="CH910" s="20"/>
      <c r="CI910" s="20"/>
      <c r="CJ910" s="20"/>
      <c r="CK910" s="20"/>
    </row>
    <row r="911" spans="1:89" s="27" customFormat="1" ht="19.5" customHeight="1">
      <c r="A911" s="4"/>
      <c r="B911" s="4"/>
      <c r="C911" s="4"/>
      <c r="D911" s="4"/>
      <c r="E911" s="269"/>
      <c r="F911" s="299"/>
      <c r="G911" s="270" t="s">
        <v>37</v>
      </c>
      <c r="H911" s="270"/>
      <c r="I911" s="270"/>
      <c r="J911" s="270"/>
      <c r="K911" s="270"/>
      <c r="L911" s="270"/>
      <c r="M911" s="270"/>
      <c r="N911" s="190">
        <f>MAX(N899:Q910)</f>
        <v>1.4126870532347267</v>
      </c>
      <c r="O911" s="190"/>
      <c r="P911" s="190"/>
      <c r="Q911" s="190"/>
      <c r="R911" s="190">
        <f>MAX(R899:U910)</f>
        <v>1.4244623707384245</v>
      </c>
      <c r="S911" s="190"/>
      <c r="T911" s="190"/>
      <c r="U911" s="190"/>
      <c r="V911" s="190">
        <f>MAX(V899:Y910)</f>
        <v>1.4126870532347267</v>
      </c>
      <c r="W911" s="190"/>
      <c r="X911" s="190"/>
      <c r="Y911" s="190"/>
      <c r="AH911" s="29"/>
      <c r="AI911" s="29"/>
      <c r="AJ911" s="29"/>
      <c r="AK911" s="29"/>
      <c r="AL911" s="29"/>
      <c r="AM911" s="29"/>
      <c r="AN911" s="29"/>
      <c r="AO911" s="29"/>
      <c r="AP911" s="29"/>
      <c r="BY911" s="20"/>
      <c r="BZ911" s="20"/>
      <c r="CA911" s="20"/>
      <c r="CB911" s="20"/>
      <c r="CC911" s="20"/>
      <c r="CD911" s="20"/>
      <c r="CE911" s="20"/>
      <c r="CF911" s="20"/>
      <c r="CG911" s="20"/>
      <c r="CH911" s="20"/>
      <c r="CI911" s="20"/>
      <c r="CJ911" s="20"/>
      <c r="CK911" s="20"/>
    </row>
    <row r="912" spans="1:89" s="27" customFormat="1" ht="19.5" customHeight="1">
      <c r="A912" s="4"/>
      <c r="B912" s="4"/>
      <c r="C912" s="4"/>
      <c r="D912" s="4"/>
      <c r="E912" s="270" t="s">
        <v>931</v>
      </c>
      <c r="F912" s="270"/>
      <c r="G912" s="270"/>
      <c r="H912" s="270"/>
      <c r="I912" s="270"/>
      <c r="J912" s="270"/>
      <c r="K912" s="270"/>
      <c r="L912" s="270"/>
      <c r="M912" s="270"/>
      <c r="N912" s="290">
        <f>$AH$841</f>
        <v>6.451612903225806</v>
      </c>
      <c r="O912" s="290"/>
      <c r="P912" s="290"/>
      <c r="Q912" s="290"/>
      <c r="R912" s="290">
        <f>$AH$841</f>
        <v>6.451612903225806</v>
      </c>
      <c r="S912" s="290"/>
      <c r="T912" s="290"/>
      <c r="U912" s="290"/>
      <c r="V912" s="290">
        <f>$AH$841</f>
        <v>6.451612903225806</v>
      </c>
      <c r="W912" s="290"/>
      <c r="X912" s="290"/>
      <c r="Y912" s="290"/>
      <c r="AH912" s="29"/>
      <c r="AI912" s="29"/>
      <c r="AJ912" s="29"/>
      <c r="AK912" s="29"/>
      <c r="AL912" s="29"/>
      <c r="AM912" s="29"/>
      <c r="AN912" s="29"/>
      <c r="AO912" s="29"/>
      <c r="AP912" s="29"/>
      <c r="BY912" s="20"/>
      <c r="BZ912" s="20"/>
      <c r="CA912" s="20"/>
      <c r="CB912" s="20"/>
      <c r="CC912" s="20"/>
      <c r="CD912" s="20"/>
      <c r="CE912" s="20"/>
      <c r="CF912" s="20"/>
      <c r="CG912" s="20"/>
      <c r="CH912" s="20"/>
      <c r="CI912" s="20"/>
      <c r="CJ912" s="20"/>
      <c r="CK912" s="20"/>
    </row>
    <row r="913" spans="1:89" s="27" customFormat="1" ht="19.5" customHeight="1">
      <c r="A913" s="4"/>
      <c r="B913" s="4"/>
      <c r="C913" s="4"/>
      <c r="D913" s="4"/>
      <c r="E913" s="270" t="s">
        <v>38</v>
      </c>
      <c r="F913" s="270"/>
      <c r="G913" s="270"/>
      <c r="H913" s="270"/>
      <c r="I913" s="270"/>
      <c r="J913" s="270"/>
      <c r="K913" s="270"/>
      <c r="L913" s="270"/>
      <c r="M913" s="270"/>
      <c r="N913" s="190">
        <f>L622</f>
        <v>1037.3717963667186</v>
      </c>
      <c r="O913" s="190"/>
      <c r="P913" s="190"/>
      <c r="Q913" s="190"/>
      <c r="R913" s="190">
        <f>P622</f>
        <v>1038.9672162769746</v>
      </c>
      <c r="S913" s="190"/>
      <c r="T913" s="190"/>
      <c r="U913" s="190"/>
      <c r="V913" s="190">
        <f>T622</f>
        <v>1037.3717963667186</v>
      </c>
      <c r="W913" s="190"/>
      <c r="X913" s="190"/>
      <c r="Y913" s="190"/>
      <c r="AH913" s="29"/>
      <c r="AI913" s="29"/>
      <c r="AJ913" s="29"/>
      <c r="AK913" s="29"/>
      <c r="AL913" s="29"/>
      <c r="AM913" s="29"/>
      <c r="AN913" s="29"/>
      <c r="AO913" s="29"/>
      <c r="AP913" s="29"/>
      <c r="BY913" s="20"/>
      <c r="BZ913" s="20"/>
      <c r="CA913" s="20"/>
      <c r="CB913" s="20"/>
      <c r="CC913" s="20"/>
      <c r="CD913" s="20"/>
      <c r="CE913" s="20"/>
      <c r="CF913" s="20"/>
      <c r="CG913" s="20"/>
      <c r="CH913" s="20"/>
      <c r="CI913" s="20"/>
      <c r="CJ913" s="20"/>
      <c r="CK913" s="20"/>
    </row>
    <row r="914" spans="1:42" s="27" customFormat="1" ht="19.5" customHeight="1">
      <c r="A914" s="4" t="s">
        <v>274</v>
      </c>
      <c r="B914" s="4"/>
      <c r="C914" s="4"/>
      <c r="D914" s="4"/>
      <c r="E914" s="270" t="s">
        <v>39</v>
      </c>
      <c r="F914" s="270"/>
      <c r="G914" s="270"/>
      <c r="H914" s="270"/>
      <c r="I914" s="270"/>
      <c r="J914" s="270"/>
      <c r="K914" s="270"/>
      <c r="L914" s="270"/>
      <c r="M914" s="270"/>
      <c r="N914" s="190">
        <f>N911*N912</f>
        <v>9.114110020869203</v>
      </c>
      <c r="O914" s="190"/>
      <c r="P914" s="190"/>
      <c r="Q914" s="190"/>
      <c r="R914" s="190">
        <f>R911*R912</f>
        <v>9.190079811215641</v>
      </c>
      <c r="S914" s="190"/>
      <c r="T914" s="190"/>
      <c r="U914" s="190"/>
      <c r="V914" s="190">
        <f>V911*V912</f>
        <v>9.114110020869203</v>
      </c>
      <c r="W914" s="190"/>
      <c r="X914" s="190"/>
      <c r="Y914" s="190"/>
      <c r="AH914" s="29"/>
      <c r="AI914" s="29"/>
      <c r="AJ914" s="29"/>
      <c r="AK914" s="29"/>
      <c r="AL914" s="29"/>
      <c r="AM914" s="29"/>
      <c r="AN914" s="29"/>
      <c r="AO914" s="29"/>
      <c r="AP914" s="29"/>
    </row>
    <row r="915" spans="1:42" s="27" customFormat="1" ht="19.5" customHeight="1">
      <c r="A915" s="4"/>
      <c r="B915" s="4"/>
      <c r="C915" s="4"/>
      <c r="D915" s="4"/>
      <c r="E915" s="270" t="s">
        <v>680</v>
      </c>
      <c r="F915" s="270"/>
      <c r="G915" s="270"/>
      <c r="H915" s="270"/>
      <c r="I915" s="270"/>
      <c r="J915" s="270"/>
      <c r="K915" s="270"/>
      <c r="L915" s="270"/>
      <c r="M915" s="270"/>
      <c r="N915" s="190">
        <f>N913+N914</f>
        <v>1046.4859063875879</v>
      </c>
      <c r="O915" s="190"/>
      <c r="P915" s="190"/>
      <c r="Q915" s="190"/>
      <c r="R915" s="190">
        <f>R913+R914</f>
        <v>1048.1572960881902</v>
      </c>
      <c r="S915" s="190"/>
      <c r="T915" s="190"/>
      <c r="U915" s="190"/>
      <c r="V915" s="190">
        <f>V913+V914</f>
        <v>1046.4859063875879</v>
      </c>
      <c r="W915" s="190"/>
      <c r="X915" s="190"/>
      <c r="Y915" s="190"/>
      <c r="AH915" s="29"/>
      <c r="AI915" s="29"/>
      <c r="AJ915" s="29"/>
      <c r="AK915" s="29"/>
      <c r="AL915" s="29"/>
      <c r="AM915" s="29"/>
      <c r="AN915" s="29"/>
      <c r="AO915" s="29"/>
      <c r="AP915" s="29"/>
    </row>
    <row r="916" spans="1:44" s="27" customFormat="1" ht="19.5" customHeight="1">
      <c r="A916" s="4"/>
      <c r="B916" s="4"/>
      <c r="C916" s="4"/>
      <c r="D916" s="4"/>
      <c r="E916" s="270" t="s">
        <v>40</v>
      </c>
      <c r="F916" s="270"/>
      <c r="G916" s="270"/>
      <c r="H916" s="270"/>
      <c r="I916" s="270"/>
      <c r="J916" s="270"/>
      <c r="K916" s="270"/>
      <c r="L916" s="270"/>
      <c r="M916" s="270"/>
      <c r="N916" s="190">
        <f>$AA$874</f>
        <v>1098.8</v>
      </c>
      <c r="O916" s="190"/>
      <c r="P916" s="190"/>
      <c r="Q916" s="190"/>
      <c r="R916" s="190">
        <f>N916</f>
        <v>1098.8</v>
      </c>
      <c r="S916" s="190"/>
      <c r="T916" s="190"/>
      <c r="U916" s="190"/>
      <c r="V916" s="190">
        <f>N916</f>
        <v>1098.8</v>
      </c>
      <c r="W916" s="190"/>
      <c r="X916" s="190"/>
      <c r="Y916" s="190"/>
      <c r="AH916" s="29"/>
      <c r="AI916" s="29"/>
      <c r="AJ916" s="29"/>
      <c r="AK916" s="29"/>
      <c r="AL916" s="29"/>
      <c r="AM916" s="29"/>
      <c r="AN916" s="29"/>
      <c r="AO916" s="29"/>
      <c r="AP916" s="29"/>
      <c r="AR916" s="36"/>
    </row>
    <row r="917" spans="1:25" ht="19.5" customHeight="1">
      <c r="A917" s="4"/>
      <c r="B917" s="4"/>
      <c r="C917" s="4"/>
      <c r="D917" s="4"/>
      <c r="E917" s="270" t="s">
        <v>118</v>
      </c>
      <c r="F917" s="270"/>
      <c r="G917" s="270"/>
      <c r="H917" s="270"/>
      <c r="I917" s="270"/>
      <c r="J917" s="270"/>
      <c r="K917" s="270"/>
      <c r="L917" s="270"/>
      <c r="M917" s="270"/>
      <c r="N917" s="190" t="str">
        <f>IF(N915&lt;=N916,"O.K","N.G")</f>
        <v>O.K</v>
      </c>
      <c r="O917" s="190"/>
      <c r="P917" s="190"/>
      <c r="Q917" s="190"/>
      <c r="R917" s="190" t="str">
        <f>IF(R915&lt;=R916,"O.K","N.G")</f>
        <v>O.K</v>
      </c>
      <c r="S917" s="190"/>
      <c r="T917" s="190"/>
      <c r="U917" s="190"/>
      <c r="V917" s="190" t="str">
        <f>IF(V915&lt;=V916,"O.K","N.G")</f>
        <v>O.K</v>
      </c>
      <c r="W917" s="190"/>
      <c r="X917" s="190"/>
      <c r="Y917" s="190"/>
    </row>
    <row r="918" spans="1:25" ht="19.5" customHeight="1">
      <c r="A918" s="4"/>
      <c r="B918" s="4"/>
      <c r="C918" s="4"/>
      <c r="D918" s="4"/>
      <c r="E918" s="62"/>
      <c r="F918" s="62"/>
      <c r="G918" s="62"/>
      <c r="H918" s="62"/>
      <c r="I918" s="62"/>
      <c r="J918" s="62"/>
      <c r="K918" s="62"/>
      <c r="L918" s="62"/>
      <c r="M918" s="62"/>
      <c r="N918" s="37"/>
      <c r="O918" s="37"/>
      <c r="P918" s="37"/>
      <c r="Q918" s="37"/>
      <c r="R918" s="37"/>
      <c r="S918" s="37"/>
      <c r="T918" s="37"/>
      <c r="U918" s="37"/>
      <c r="V918" s="37"/>
      <c r="W918" s="37"/>
      <c r="X918" s="37"/>
      <c r="Y918" s="37"/>
    </row>
    <row r="919" spans="2:35" ht="19.5" customHeight="1">
      <c r="B919" s="4" t="s">
        <v>41</v>
      </c>
      <c r="C919" s="4"/>
      <c r="D919" s="4"/>
      <c r="E919" s="4"/>
      <c r="F919" s="4"/>
      <c r="G919" s="4"/>
      <c r="H919" s="4"/>
      <c r="I919" s="4"/>
      <c r="J919" s="4"/>
      <c r="K919" s="4"/>
      <c r="L919" s="4"/>
      <c r="AI919" s="92" t="s">
        <v>934</v>
      </c>
    </row>
    <row r="920" spans="2:43" ht="19.5" customHeight="1">
      <c r="B920" s="4"/>
      <c r="C920" s="4" t="str">
        <f>"・直角方向鉄筋の間隔はひび割れの分散のために "&amp;K239&amp;"mmにする。"</f>
        <v>・直角方向鉄筋の間隔はひび割れの分散のために 250mmにする。</v>
      </c>
      <c r="D920" s="4"/>
      <c r="E920" s="4"/>
      <c r="F920" s="4"/>
      <c r="G920" s="4"/>
      <c r="H920" s="4"/>
      <c r="I920" s="4"/>
      <c r="J920" s="4"/>
      <c r="K920" s="4"/>
      <c r="L920" s="4"/>
      <c r="M920" s="4"/>
      <c r="AH920" s="27"/>
      <c r="AQ920" s="29"/>
    </row>
    <row r="921" spans="2:43" ht="19.5" customHeight="1">
      <c r="B921" s="4"/>
      <c r="C921" s="4" t="s">
        <v>1124</v>
      </c>
      <c r="D921" s="4"/>
      <c r="E921" s="4"/>
      <c r="F921" s="4"/>
      <c r="G921" s="4"/>
      <c r="H921" s="4"/>
      <c r="I921" s="4"/>
      <c r="J921" s="4"/>
      <c r="K921" s="4"/>
      <c r="L921" s="4"/>
      <c r="M921" s="4"/>
      <c r="AH921" s="27"/>
      <c r="AQ921" s="29"/>
    </row>
    <row r="922" spans="2:43" ht="19.5" customHeight="1">
      <c r="B922" s="4"/>
      <c r="C922" s="4" t="s">
        <v>1178</v>
      </c>
      <c r="D922" s="4"/>
      <c r="E922" s="4"/>
      <c r="F922" s="4"/>
      <c r="G922" s="4"/>
      <c r="H922" s="4"/>
      <c r="I922" s="4"/>
      <c r="J922" s="4"/>
      <c r="K922" s="4"/>
      <c r="L922" s="4"/>
      <c r="M922" s="4"/>
      <c r="AH922" s="27"/>
      <c r="AQ922" s="29"/>
    </row>
    <row r="923" spans="2:43" ht="19.5" customHeight="1">
      <c r="B923" s="4"/>
      <c r="C923" s="4"/>
      <c r="D923" s="4" t="s">
        <v>683</v>
      </c>
      <c r="E923" s="4"/>
      <c r="F923" s="4" t="s">
        <v>684</v>
      </c>
      <c r="G923" s="4"/>
      <c r="H923" s="4"/>
      <c r="I923" s="4"/>
      <c r="J923" s="33" t="s">
        <v>1045</v>
      </c>
      <c r="K923" s="4" t="s">
        <v>685</v>
      </c>
      <c r="L923" s="4"/>
      <c r="M923" s="4"/>
      <c r="AH923" s="27"/>
      <c r="AQ923" s="29"/>
    </row>
    <row r="924" spans="2:43" ht="19.5" customHeight="1">
      <c r="B924" s="4"/>
      <c r="C924" s="4"/>
      <c r="D924" s="4"/>
      <c r="E924" s="4" t="s">
        <v>1045</v>
      </c>
      <c r="F924" s="30" t="s">
        <v>686</v>
      </c>
      <c r="G924" s="4"/>
      <c r="H924" s="27" t="s">
        <v>1046</v>
      </c>
      <c r="I924" s="241">
        <v>1000</v>
      </c>
      <c r="J924" s="241"/>
      <c r="K924" s="241"/>
      <c r="L924" s="27" t="s">
        <v>1046</v>
      </c>
      <c r="M924" s="38">
        <f>AD931</f>
        <v>70.74100524542337</v>
      </c>
      <c r="N924" s="38"/>
      <c r="O924" s="38"/>
      <c r="P924" s="27" t="s">
        <v>1046</v>
      </c>
      <c r="Q924" s="38">
        <f>W721</f>
        <v>3.315862737524067</v>
      </c>
      <c r="R924" s="38"/>
      <c r="S924" s="38"/>
      <c r="T924" s="39" t="s">
        <v>687</v>
      </c>
      <c r="U924" s="38">
        <f>AB927</f>
        <v>140</v>
      </c>
      <c r="V924" s="38"/>
      <c r="W924" s="38"/>
      <c r="X924" s="27" t="s">
        <v>1045</v>
      </c>
      <c r="Y924" s="38">
        <f>1/2*I924*M924*Q924/U924</f>
        <v>837.7409403867639</v>
      </c>
      <c r="Z924" s="38"/>
      <c r="AA924" s="38"/>
      <c r="AB924" s="27" t="s">
        <v>688</v>
      </c>
      <c r="AH924" s="27"/>
      <c r="AQ924" s="29"/>
    </row>
    <row r="925" spans="1:26" ht="19.5" customHeight="1">
      <c r="A925" s="4"/>
      <c r="B925" s="4"/>
      <c r="D925" s="4" t="s">
        <v>929</v>
      </c>
      <c r="F925" s="4"/>
      <c r="G925" s="4"/>
      <c r="H925" s="4" t="s">
        <v>689</v>
      </c>
      <c r="I925" s="4"/>
      <c r="K925" s="4" t="s">
        <v>1179</v>
      </c>
      <c r="L925" s="4"/>
      <c r="Z925" s="27" t="s">
        <v>690</v>
      </c>
    </row>
    <row r="926" spans="1:26" ht="19.5" customHeight="1">
      <c r="A926" s="4"/>
      <c r="B926" s="4"/>
      <c r="C926" s="4"/>
      <c r="D926" s="4"/>
      <c r="F926" s="4"/>
      <c r="G926" s="4"/>
      <c r="H926" s="4" t="s">
        <v>691</v>
      </c>
      <c r="I926" s="4"/>
      <c r="K926" s="4" t="s">
        <v>1180</v>
      </c>
      <c r="L926" s="4"/>
      <c r="Z926" s="27" t="s">
        <v>692</v>
      </c>
    </row>
    <row r="927" spans="1:31" ht="19.5" customHeight="1">
      <c r="A927" s="4"/>
      <c r="B927" s="4"/>
      <c r="C927" s="4"/>
      <c r="D927" s="4"/>
      <c r="F927" s="4"/>
      <c r="G927" s="4"/>
      <c r="H927" s="4" t="s">
        <v>693</v>
      </c>
      <c r="I927" s="4"/>
      <c r="K927" s="4" t="s">
        <v>1181</v>
      </c>
      <c r="L927" s="4"/>
      <c r="Z927" s="27" t="s">
        <v>694</v>
      </c>
      <c r="AB927" s="40">
        <f>Q950</f>
        <v>140</v>
      </c>
      <c r="AC927" s="38"/>
      <c r="AD927" s="38"/>
      <c r="AE927" s="29" t="s">
        <v>695</v>
      </c>
    </row>
    <row r="928" spans="1:26" ht="19.5" customHeight="1">
      <c r="A928" s="4"/>
      <c r="B928" s="4"/>
      <c r="D928" s="4"/>
      <c r="F928" s="4"/>
      <c r="G928" s="4"/>
      <c r="H928" s="4" t="s">
        <v>696</v>
      </c>
      <c r="I928" s="4"/>
      <c r="K928" s="4" t="s">
        <v>1182</v>
      </c>
      <c r="L928" s="4"/>
      <c r="Z928" s="27" t="s">
        <v>634</v>
      </c>
    </row>
    <row r="929" spans="1:26" ht="19.5" customHeight="1">
      <c r="A929" s="4"/>
      <c r="B929" s="4"/>
      <c r="C929" s="4"/>
      <c r="D929" s="4"/>
      <c r="F929" s="4"/>
      <c r="G929" s="4"/>
      <c r="H929" s="4" t="s">
        <v>635</v>
      </c>
      <c r="I929" s="4"/>
      <c r="K929" s="4" t="s">
        <v>1183</v>
      </c>
      <c r="L929" s="4"/>
      <c r="Z929" s="27" t="s">
        <v>634</v>
      </c>
    </row>
    <row r="930" spans="1:13" ht="19.5" customHeight="1">
      <c r="A930" s="4"/>
      <c r="B930" s="4"/>
      <c r="C930" s="4"/>
      <c r="D930" s="4"/>
      <c r="E930" s="4"/>
      <c r="F930" s="4"/>
      <c r="G930" s="4"/>
      <c r="H930" s="4"/>
      <c r="I930" s="4"/>
      <c r="J930" s="4"/>
      <c r="K930" s="4"/>
      <c r="L930" s="4" t="s">
        <v>635</v>
      </c>
      <c r="M930" s="85" t="s">
        <v>636</v>
      </c>
    </row>
    <row r="931" spans="1:33" ht="19.5" customHeight="1">
      <c r="A931" s="4"/>
      <c r="B931" s="4"/>
      <c r="C931" s="4" t="s">
        <v>697</v>
      </c>
      <c r="D931" s="4"/>
      <c r="E931" s="4"/>
      <c r="F931" s="4"/>
      <c r="G931" s="4"/>
      <c r="H931" s="4"/>
      <c r="I931" s="4"/>
      <c r="J931" s="4"/>
      <c r="K931" s="4"/>
      <c r="L931" s="4"/>
      <c r="M931" s="27" t="s">
        <v>637</v>
      </c>
      <c r="N931" s="40">
        <f>-AC240</f>
        <v>-380</v>
      </c>
      <c r="O931" s="38"/>
      <c r="P931" s="38"/>
      <c r="Q931" s="27" t="s">
        <v>638</v>
      </c>
      <c r="R931" s="38">
        <f>W721</f>
        <v>3.315862737524067</v>
      </c>
      <c r="S931" s="38"/>
      <c r="T931" s="39" t="s">
        <v>639</v>
      </c>
      <c r="U931" s="27" t="s">
        <v>640</v>
      </c>
      <c r="V931" s="38">
        <f>W720</f>
        <v>-14.495982540723002</v>
      </c>
      <c r="W931" s="38"/>
      <c r="X931" s="38"/>
      <c r="Y931" s="27" t="s">
        <v>641</v>
      </c>
      <c r="Z931" s="38">
        <f>R931</f>
        <v>3.315862737524067</v>
      </c>
      <c r="AA931" s="38"/>
      <c r="AB931" s="38" t="s">
        <v>642</v>
      </c>
      <c r="AC931" s="27" t="s">
        <v>637</v>
      </c>
      <c r="AD931" s="38">
        <f>N931*R931/(V931-Z931)</f>
        <v>70.74100524542337</v>
      </c>
      <c r="AE931" s="38"/>
      <c r="AF931" s="38"/>
      <c r="AG931" s="27" t="s">
        <v>643</v>
      </c>
    </row>
    <row r="932" spans="1:26" ht="19.5" customHeight="1">
      <c r="A932" s="4"/>
      <c r="B932" s="4"/>
      <c r="C932" s="4"/>
      <c r="D932" s="4"/>
      <c r="F932" s="4"/>
      <c r="G932" s="4"/>
      <c r="H932" s="4" t="s">
        <v>644</v>
      </c>
      <c r="I932" s="4"/>
      <c r="J932" s="4"/>
      <c r="K932" s="4" t="s">
        <v>645</v>
      </c>
      <c r="L932" s="4"/>
      <c r="Z932" s="29" t="s">
        <v>646</v>
      </c>
    </row>
    <row r="933" spans="1:26" ht="19.5" customHeight="1">
      <c r="A933" s="4"/>
      <c r="B933" s="4"/>
      <c r="C933" s="4"/>
      <c r="D933" s="4"/>
      <c r="F933" s="4"/>
      <c r="G933" s="4"/>
      <c r="H933" s="4" t="s">
        <v>647</v>
      </c>
      <c r="I933" s="4"/>
      <c r="J933" s="4"/>
      <c r="K933" s="4" t="s">
        <v>1184</v>
      </c>
      <c r="L933" s="4"/>
      <c r="Z933" s="29" t="s">
        <v>648</v>
      </c>
    </row>
    <row r="934" spans="1:26" ht="19.5" customHeight="1">
      <c r="A934" s="4"/>
      <c r="B934" s="4"/>
      <c r="C934" s="4"/>
      <c r="D934" s="4"/>
      <c r="F934" s="4"/>
      <c r="G934" s="4"/>
      <c r="H934" s="4" t="s">
        <v>649</v>
      </c>
      <c r="I934" s="4"/>
      <c r="J934" s="4"/>
      <c r="K934" s="4" t="s">
        <v>85</v>
      </c>
      <c r="L934" s="4"/>
      <c r="Z934" s="27" t="s">
        <v>650</v>
      </c>
    </row>
    <row r="935" spans="1:12" ht="19.5" customHeight="1">
      <c r="A935" s="4"/>
      <c r="C935" s="4" t="s">
        <v>86</v>
      </c>
      <c r="D935" s="4"/>
      <c r="E935" s="4"/>
      <c r="F935" s="4"/>
      <c r="G935" s="4"/>
      <c r="H935" s="4"/>
      <c r="I935" s="4"/>
      <c r="J935" s="4"/>
      <c r="K935" s="4"/>
      <c r="L935" s="4"/>
    </row>
    <row r="936" spans="1:28" ht="19.5" customHeight="1">
      <c r="A936" s="4"/>
      <c r="B936" s="4"/>
      <c r="C936" s="4"/>
      <c r="D936" s="104" t="s">
        <v>698</v>
      </c>
      <c r="E936" s="104"/>
      <c r="F936" s="104"/>
      <c r="G936" s="33" t="s">
        <v>1045</v>
      </c>
      <c r="H936" s="4" t="s">
        <v>699</v>
      </c>
      <c r="I936" s="4"/>
      <c r="L936" s="4" t="s">
        <v>1045</v>
      </c>
      <c r="M936" s="19">
        <v>0.005</v>
      </c>
      <c r="N936" s="160"/>
      <c r="O936" s="160"/>
      <c r="P936" s="27" t="s">
        <v>1046</v>
      </c>
      <c r="Q936" s="236">
        <v>1000</v>
      </c>
      <c r="R936" s="236"/>
      <c r="S936" s="236"/>
      <c r="T936" s="27" t="s">
        <v>1046</v>
      </c>
      <c r="U936" s="38">
        <f>AD931</f>
        <v>70.74100524542337</v>
      </c>
      <c r="V936" s="38"/>
      <c r="W936" s="38"/>
      <c r="X936" s="27" t="s">
        <v>1045</v>
      </c>
      <c r="Y936" s="38">
        <f>M936*Q936*U936</f>
        <v>353.70502622711683</v>
      </c>
      <c r="Z936" s="38"/>
      <c r="AA936" s="38"/>
      <c r="AB936" s="27" t="s">
        <v>688</v>
      </c>
    </row>
    <row r="937" spans="1:26" ht="19.5" customHeight="1">
      <c r="A937" s="4"/>
      <c r="B937" s="4"/>
      <c r="D937" s="4" t="s">
        <v>929</v>
      </c>
      <c r="F937" s="4"/>
      <c r="H937" s="100" t="s">
        <v>698</v>
      </c>
      <c r="I937" s="4"/>
      <c r="J937" s="4"/>
      <c r="K937" s="4" t="s">
        <v>87</v>
      </c>
      <c r="L937" s="4"/>
      <c r="Z937" s="27" t="s">
        <v>700</v>
      </c>
    </row>
    <row r="938" spans="1:26" ht="19.5" customHeight="1">
      <c r="A938" s="4"/>
      <c r="B938" s="4"/>
      <c r="C938" s="4"/>
      <c r="D938" s="4"/>
      <c r="F938" s="4"/>
      <c r="H938" s="4" t="s">
        <v>701</v>
      </c>
      <c r="I938" s="4"/>
      <c r="J938" s="4"/>
      <c r="K938" s="4" t="s">
        <v>88</v>
      </c>
      <c r="L938" s="4"/>
      <c r="Z938" s="27" t="s">
        <v>702</v>
      </c>
    </row>
    <row r="939" spans="1:26" ht="19.5" customHeight="1">
      <c r="A939" s="4"/>
      <c r="B939" s="4"/>
      <c r="C939" s="4"/>
      <c r="D939" s="4"/>
      <c r="F939" s="4"/>
      <c r="H939" s="4" t="s">
        <v>703</v>
      </c>
      <c r="I939" s="4"/>
      <c r="J939" s="4"/>
      <c r="K939" s="4" t="s">
        <v>89</v>
      </c>
      <c r="L939" s="4"/>
      <c r="Z939" s="27" t="s">
        <v>634</v>
      </c>
    </row>
    <row r="940" spans="1:12" ht="19.5" customHeight="1">
      <c r="A940" s="4"/>
      <c r="B940" s="4"/>
      <c r="C940" s="4"/>
      <c r="D940" s="4"/>
      <c r="F940" s="4"/>
      <c r="H940" s="4"/>
      <c r="I940" s="4"/>
      <c r="J940" s="4"/>
      <c r="K940" s="4"/>
      <c r="L940" s="4"/>
    </row>
    <row r="941" spans="2:43" ht="19.5" customHeight="1">
      <c r="B941" s="4"/>
      <c r="C941" s="4"/>
      <c r="D941" s="4" t="s">
        <v>704</v>
      </c>
      <c r="F941" s="4"/>
      <c r="G941" s="4"/>
      <c r="H941" s="4"/>
      <c r="I941" s="4"/>
      <c r="J941" s="4"/>
      <c r="K941" s="4"/>
      <c r="L941" s="4"/>
      <c r="M941" s="4"/>
      <c r="AH941" s="27"/>
      <c r="AQ941" s="29"/>
    </row>
    <row r="942" spans="2:43" ht="19.5" customHeight="1">
      <c r="B942" s="4" t="s">
        <v>697</v>
      </c>
      <c r="C942" s="4"/>
      <c r="D942" s="4" t="s">
        <v>91</v>
      </c>
      <c r="F942" s="4"/>
      <c r="G942" s="4"/>
      <c r="H942" s="4"/>
      <c r="I942" s="4" t="s">
        <v>705</v>
      </c>
      <c r="J942" s="4"/>
      <c r="K942" s="38">
        <f>AI244</f>
        <v>2292</v>
      </c>
      <c r="L942" s="38"/>
      <c r="M942" s="38"/>
      <c r="N942" s="27" t="s">
        <v>688</v>
      </c>
      <c r="Q942" s="27" t="str">
        <f>IF(K942&lt;=V942,"＜","＞")</f>
        <v>＞</v>
      </c>
      <c r="S942" s="235" t="s">
        <v>706</v>
      </c>
      <c r="T942" s="235"/>
      <c r="U942" s="235"/>
      <c r="V942" s="237">
        <f>MAX(Y936,Y924)</f>
        <v>837.7409403867639</v>
      </c>
      <c r="W942" s="237"/>
      <c r="X942" s="237"/>
      <c r="Y942" s="27" t="s">
        <v>688</v>
      </c>
      <c r="AC942" s="27" t="str">
        <f>IF(K942&gt;=V942,"O.K","N.G")</f>
        <v>O.K</v>
      </c>
      <c r="AH942" s="27"/>
      <c r="AQ942" s="29"/>
    </row>
    <row r="943" spans="2:43" ht="19.5" customHeight="1">
      <c r="B943" s="4"/>
      <c r="C943" s="4"/>
      <c r="D943" s="4"/>
      <c r="E943" s="4"/>
      <c r="F943" s="4"/>
      <c r="G943" s="4"/>
      <c r="H943" s="4"/>
      <c r="I943" s="4"/>
      <c r="J943" s="4"/>
      <c r="K943" s="4"/>
      <c r="L943" s="4"/>
      <c r="M943" s="4"/>
      <c r="AH943" s="27"/>
      <c r="AQ943" s="29"/>
    </row>
    <row r="944" spans="2:43" ht="19.5" customHeight="1">
      <c r="B944" s="4"/>
      <c r="E944" s="4" t="s">
        <v>92</v>
      </c>
      <c r="F944" s="4"/>
      <c r="G944" s="4"/>
      <c r="H944" s="4"/>
      <c r="I944" s="4"/>
      <c r="J944" s="4"/>
      <c r="K944" s="4"/>
      <c r="L944" s="4"/>
      <c r="M944" s="4"/>
      <c r="N944" s="4"/>
      <c r="AH944" s="27"/>
      <c r="AI944" s="27"/>
      <c r="AJ944" s="27"/>
      <c r="AK944" s="27"/>
      <c r="AL944" s="27"/>
      <c r="AM944" s="27"/>
      <c r="AQ944" s="29"/>
    </row>
    <row r="945" spans="2:43" ht="19.5" customHeight="1">
      <c r="B945" s="4"/>
      <c r="E945" s="183" t="s">
        <v>1021</v>
      </c>
      <c r="F945" s="183"/>
      <c r="G945" s="183"/>
      <c r="H945" s="183"/>
      <c r="I945" s="183"/>
      <c r="J945" s="183"/>
      <c r="K945" s="183"/>
      <c r="L945" s="183"/>
      <c r="M945" s="183"/>
      <c r="N945" s="183"/>
      <c r="O945" s="183"/>
      <c r="P945" s="183"/>
      <c r="Q945" s="204" t="s">
        <v>707</v>
      </c>
      <c r="R945" s="204"/>
      <c r="S945" s="204"/>
      <c r="T945" s="204"/>
      <c r="U945" s="204" t="s">
        <v>708</v>
      </c>
      <c r="V945" s="204"/>
      <c r="W945" s="204"/>
      <c r="X945" s="204"/>
      <c r="Y945" s="204" t="s">
        <v>709</v>
      </c>
      <c r="Z945" s="204"/>
      <c r="AA945" s="204"/>
      <c r="AB945" s="204"/>
      <c r="AH945" s="27"/>
      <c r="AI945" s="27"/>
      <c r="AJ945" s="27"/>
      <c r="AK945" s="27"/>
      <c r="AL945" s="27"/>
      <c r="AM945" s="27"/>
      <c r="AQ945" s="29"/>
    </row>
    <row r="946" spans="2:43" ht="19.5" customHeight="1">
      <c r="B946" s="4"/>
      <c r="E946" s="183" t="s">
        <v>93</v>
      </c>
      <c r="F946" s="183"/>
      <c r="G946" s="183"/>
      <c r="H946" s="183"/>
      <c r="I946" s="183"/>
      <c r="J946" s="183"/>
      <c r="K946" s="183"/>
      <c r="L946" s="183"/>
      <c r="M946" s="204" t="s">
        <v>710</v>
      </c>
      <c r="N946" s="204"/>
      <c r="O946" s="204"/>
      <c r="P946" s="204"/>
      <c r="Q946" s="190">
        <f>I255</f>
        <v>2292</v>
      </c>
      <c r="R946" s="190"/>
      <c r="S946" s="190"/>
      <c r="T946" s="190"/>
      <c r="U946" s="190">
        <f>AI244</f>
        <v>2292</v>
      </c>
      <c r="V946" s="190"/>
      <c r="W946" s="190"/>
      <c r="X946" s="190"/>
      <c r="Y946" s="190">
        <f>I255</f>
        <v>2292</v>
      </c>
      <c r="Z946" s="190"/>
      <c r="AA946" s="190"/>
      <c r="AB946" s="190"/>
      <c r="AH946" s="27"/>
      <c r="AI946" s="27"/>
      <c r="AJ946" s="27"/>
      <c r="AK946" s="27"/>
      <c r="AL946" s="27"/>
      <c r="AM946" s="27"/>
      <c r="AQ946" s="29"/>
    </row>
    <row r="947" spans="2:43" ht="19.5" customHeight="1">
      <c r="B947" s="4"/>
      <c r="E947" s="221" t="s">
        <v>918</v>
      </c>
      <c r="F947" s="222"/>
      <c r="G947" s="222"/>
      <c r="H947" s="222"/>
      <c r="I947" s="222"/>
      <c r="J947" s="183" t="s">
        <v>1008</v>
      </c>
      <c r="K947" s="183"/>
      <c r="L947" s="183"/>
      <c r="M947" s="253" t="s">
        <v>447</v>
      </c>
      <c r="N947" s="204"/>
      <c r="O947" s="204"/>
      <c r="P947" s="204"/>
      <c r="Q947" s="190">
        <f>S720</f>
        <v>4.419576157445313</v>
      </c>
      <c r="R947" s="190"/>
      <c r="S947" s="190"/>
      <c r="T947" s="190"/>
      <c r="U947" s="190">
        <f>W720</f>
        <v>-14.495982540723002</v>
      </c>
      <c r="V947" s="190"/>
      <c r="W947" s="190"/>
      <c r="X947" s="190"/>
      <c r="Y947" s="190">
        <f>AA720</f>
        <v>4.419576157445313</v>
      </c>
      <c r="Z947" s="190"/>
      <c r="AA947" s="190"/>
      <c r="AB947" s="190"/>
      <c r="AH947" s="27"/>
      <c r="AI947" s="27"/>
      <c r="AJ947" s="27"/>
      <c r="AK947" s="27"/>
      <c r="AL947" s="27"/>
      <c r="AM947" s="27"/>
      <c r="AQ947" s="29"/>
    </row>
    <row r="948" spans="2:43" ht="19.5" customHeight="1">
      <c r="B948" s="4"/>
      <c r="E948" s="57"/>
      <c r="F948" s="58"/>
      <c r="G948" s="58"/>
      <c r="H948" s="29"/>
      <c r="I948" s="59"/>
      <c r="J948" s="183" t="s">
        <v>1010</v>
      </c>
      <c r="K948" s="183"/>
      <c r="L948" s="183"/>
      <c r="M948" s="253" t="s">
        <v>447</v>
      </c>
      <c r="N948" s="204"/>
      <c r="O948" s="204"/>
      <c r="P948" s="204"/>
      <c r="Q948" s="190">
        <f>S721</f>
        <v>-14.146813082920493</v>
      </c>
      <c r="R948" s="190"/>
      <c r="S948" s="190"/>
      <c r="T948" s="190"/>
      <c r="U948" s="190">
        <f>W721</f>
        <v>3.315862737524067</v>
      </c>
      <c r="V948" s="190"/>
      <c r="W948" s="190"/>
      <c r="X948" s="190"/>
      <c r="Y948" s="190">
        <f>AA721</f>
        <v>-14.146813082920493</v>
      </c>
      <c r="Z948" s="190"/>
      <c r="AA948" s="190"/>
      <c r="AB948" s="190"/>
      <c r="AH948" s="27"/>
      <c r="AI948" s="27"/>
      <c r="AJ948" s="27"/>
      <c r="AK948" s="27"/>
      <c r="AL948" s="27"/>
      <c r="AM948" s="27"/>
      <c r="AQ948" s="29"/>
    </row>
    <row r="949" spans="2:43" ht="19.5" customHeight="1">
      <c r="B949" s="4"/>
      <c r="E949" s="57"/>
      <c r="F949" s="58"/>
      <c r="G949" s="58"/>
      <c r="H949" s="58"/>
      <c r="I949" s="59"/>
      <c r="J949" s="253" t="s">
        <v>711</v>
      </c>
      <c r="K949" s="204"/>
      <c r="L949" s="204"/>
      <c r="M949" s="204" t="s">
        <v>441</v>
      </c>
      <c r="N949" s="204"/>
      <c r="O949" s="204"/>
      <c r="P949" s="204"/>
      <c r="Q949" s="190">
        <f>-$AC$255*Q947/(Q948-Q947)</f>
        <v>90.4558726032682</v>
      </c>
      <c r="R949" s="190"/>
      <c r="S949" s="190"/>
      <c r="T949" s="190"/>
      <c r="U949" s="190">
        <f>-$AC$240*U948/(U947-U948)</f>
        <v>70.74100524542337</v>
      </c>
      <c r="V949" s="190"/>
      <c r="W949" s="190"/>
      <c r="X949" s="190"/>
      <c r="Y949" s="190">
        <f>-$AC$255*Y947/(Y948-Y947)</f>
        <v>90.4558726032682</v>
      </c>
      <c r="Z949" s="190"/>
      <c r="AA949" s="190"/>
      <c r="AB949" s="190"/>
      <c r="AH949" s="27"/>
      <c r="AI949" s="27"/>
      <c r="AJ949" s="27"/>
      <c r="AK949" s="27"/>
      <c r="AL949" s="27"/>
      <c r="AM949" s="27"/>
      <c r="AQ949" s="29"/>
    </row>
    <row r="950" spans="2:43" ht="19.5" customHeight="1">
      <c r="B950" s="4"/>
      <c r="E950" s="57"/>
      <c r="F950" s="58"/>
      <c r="G950" s="58"/>
      <c r="H950" s="58"/>
      <c r="I950" s="59"/>
      <c r="J950" s="283" t="s">
        <v>712</v>
      </c>
      <c r="K950" s="284"/>
      <c r="L950" s="253"/>
      <c r="M950" s="253" t="s">
        <v>447</v>
      </c>
      <c r="N950" s="204"/>
      <c r="O950" s="204"/>
      <c r="P950" s="204"/>
      <c r="Q950" s="377">
        <v>140</v>
      </c>
      <c r="R950" s="378"/>
      <c r="S950" s="378"/>
      <c r="T950" s="379"/>
      <c r="U950" s="190">
        <f>Q950</f>
        <v>140</v>
      </c>
      <c r="V950" s="190"/>
      <c r="W950" s="190"/>
      <c r="X950" s="190"/>
      <c r="Y950" s="190">
        <f>Q950</f>
        <v>140</v>
      </c>
      <c r="Z950" s="190"/>
      <c r="AA950" s="190"/>
      <c r="AB950" s="190"/>
      <c r="AH950" s="27"/>
      <c r="AI950" s="27"/>
      <c r="AJ950" s="27"/>
      <c r="AK950" s="27"/>
      <c r="AL950" s="27"/>
      <c r="AM950" s="27"/>
      <c r="AQ950" s="29"/>
    </row>
    <row r="951" spans="2:43" ht="19.5" customHeight="1">
      <c r="B951" s="4"/>
      <c r="E951" s="57"/>
      <c r="F951" s="58"/>
      <c r="G951" s="58"/>
      <c r="H951" s="58"/>
      <c r="I951" s="59"/>
      <c r="J951" s="253" t="s">
        <v>713</v>
      </c>
      <c r="K951" s="204"/>
      <c r="L951" s="204"/>
      <c r="M951" s="204" t="s">
        <v>710</v>
      </c>
      <c r="N951" s="204"/>
      <c r="O951" s="204"/>
      <c r="P951" s="204"/>
      <c r="Q951" s="190">
        <f>1/2*1000*Q949*Q947/Q950</f>
        <v>1427.7736352082673</v>
      </c>
      <c r="R951" s="190"/>
      <c r="S951" s="190"/>
      <c r="T951" s="190"/>
      <c r="U951" s="190">
        <f>1/2*1000*U949*U948/U950</f>
        <v>837.7409403867639</v>
      </c>
      <c r="V951" s="190"/>
      <c r="W951" s="190"/>
      <c r="X951" s="190"/>
      <c r="Y951" s="190">
        <f>1/2*1000*Y949*Y947/Y950</f>
        <v>1427.7736352082673</v>
      </c>
      <c r="Z951" s="190"/>
      <c r="AA951" s="190"/>
      <c r="AB951" s="190"/>
      <c r="AH951" s="27"/>
      <c r="AI951" s="27"/>
      <c r="AJ951" s="27"/>
      <c r="AK951" s="27"/>
      <c r="AL951" s="27"/>
      <c r="AM951" s="27"/>
      <c r="AQ951" s="29"/>
    </row>
    <row r="952" spans="2:43" ht="19.5" customHeight="1">
      <c r="B952" s="4"/>
      <c r="E952" s="57"/>
      <c r="F952" s="58"/>
      <c r="G952" s="58"/>
      <c r="H952" s="58"/>
      <c r="I952" s="59"/>
      <c r="J952" s="253" t="s">
        <v>714</v>
      </c>
      <c r="K952" s="204"/>
      <c r="L952" s="204"/>
      <c r="M952" s="204" t="s">
        <v>710</v>
      </c>
      <c r="N952" s="204"/>
      <c r="O952" s="204"/>
      <c r="P952" s="204"/>
      <c r="Q952" s="190">
        <f>0.005*1000*Q949</f>
        <v>452.279363016341</v>
      </c>
      <c r="R952" s="190"/>
      <c r="S952" s="190"/>
      <c r="T952" s="190"/>
      <c r="U952" s="190">
        <f>0.005*1000*U949</f>
        <v>353.70502622711683</v>
      </c>
      <c r="V952" s="190"/>
      <c r="W952" s="190"/>
      <c r="X952" s="190"/>
      <c r="Y952" s="190">
        <f>0.005*1000*Y949</f>
        <v>452.279363016341</v>
      </c>
      <c r="Z952" s="190"/>
      <c r="AA952" s="190"/>
      <c r="AB952" s="190"/>
      <c r="AH952" s="27"/>
      <c r="AI952" s="27"/>
      <c r="AJ952" s="27"/>
      <c r="AK952" s="27"/>
      <c r="AL952" s="27"/>
      <c r="AM952" s="27"/>
      <c r="AQ952" s="29"/>
    </row>
    <row r="953" spans="2:43" ht="19.5" customHeight="1">
      <c r="B953" s="4"/>
      <c r="E953" s="60"/>
      <c r="F953" s="52"/>
      <c r="G953" s="52"/>
      <c r="H953" s="52"/>
      <c r="I953" s="61"/>
      <c r="J953" s="232" t="s">
        <v>144</v>
      </c>
      <c r="K953" s="232"/>
      <c r="L953" s="232"/>
      <c r="M953" s="232"/>
      <c r="N953" s="232"/>
      <c r="O953" s="232"/>
      <c r="P953" s="233"/>
      <c r="Q953" s="190" t="str">
        <f>IF(Q946&gt;=MAX(Q951,Q952),"O.K","N.G")</f>
        <v>O.K</v>
      </c>
      <c r="R953" s="190"/>
      <c r="S953" s="190"/>
      <c r="T953" s="190"/>
      <c r="U953" s="190" t="str">
        <f>IF(U946&gt;=MAX(U951,U952),"O.K","N.G")</f>
        <v>O.K</v>
      </c>
      <c r="V953" s="190"/>
      <c r="W953" s="190"/>
      <c r="X953" s="190"/>
      <c r="Y953" s="190" t="str">
        <f>IF(Y946&gt;=MAX(Y951,Y952),"O.K","N.G")</f>
        <v>O.K</v>
      </c>
      <c r="Z953" s="190"/>
      <c r="AA953" s="190"/>
      <c r="AB953" s="190"/>
      <c r="AH953" s="27"/>
      <c r="AI953" s="27"/>
      <c r="AJ953" s="27"/>
      <c r="AK953" s="27"/>
      <c r="AL953" s="27"/>
      <c r="AM953" s="27"/>
      <c r="AQ953" s="29"/>
    </row>
    <row r="954" spans="2:43" ht="19.5" customHeight="1">
      <c r="B954" s="4"/>
      <c r="E954" s="221" t="s">
        <v>970</v>
      </c>
      <c r="F954" s="222"/>
      <c r="G954" s="222"/>
      <c r="H954" s="222"/>
      <c r="I954" s="223"/>
      <c r="J954" s="183" t="s">
        <v>1008</v>
      </c>
      <c r="K954" s="183"/>
      <c r="L954" s="183"/>
      <c r="M954" s="253" t="s">
        <v>667</v>
      </c>
      <c r="N954" s="204"/>
      <c r="O954" s="204"/>
      <c r="P954" s="204"/>
      <c r="Q954" s="190">
        <f>IF(S724&gt;=S728,S724,S728)</f>
        <v>4.445510367971629</v>
      </c>
      <c r="R954" s="190"/>
      <c r="S954" s="190"/>
      <c r="T954" s="190"/>
      <c r="U954" s="190">
        <f>IF(U955=W725,W724,W728)</f>
        <v>-14.495982540723002</v>
      </c>
      <c r="V954" s="190"/>
      <c r="W954" s="190"/>
      <c r="X954" s="190"/>
      <c r="Y954" s="190">
        <f>IF(AA724&gt;=AA728,AA724,AA728)</f>
        <v>4.445510367971629</v>
      </c>
      <c r="Z954" s="190"/>
      <c r="AA954" s="190"/>
      <c r="AB954" s="190"/>
      <c r="AH954" s="27"/>
      <c r="AI954" s="27"/>
      <c r="AJ954" s="27"/>
      <c r="AK954" s="27"/>
      <c r="AL954" s="27"/>
      <c r="AM954" s="27"/>
      <c r="AQ954" s="29"/>
    </row>
    <row r="955" spans="2:43" ht="19.5" customHeight="1">
      <c r="B955" s="4"/>
      <c r="E955" s="57"/>
      <c r="F955" s="58"/>
      <c r="G955" s="58"/>
      <c r="H955" s="29"/>
      <c r="I955" s="59"/>
      <c r="J955" s="183" t="s">
        <v>1010</v>
      </c>
      <c r="K955" s="183"/>
      <c r="L955" s="183"/>
      <c r="M955" s="253" t="s">
        <v>667</v>
      </c>
      <c r="N955" s="204"/>
      <c r="O955" s="204"/>
      <c r="P955" s="204"/>
      <c r="Q955" s="190">
        <f>IF(Q954=S724,S725,S729)</f>
        <v>-15.190089152308902</v>
      </c>
      <c r="R955" s="190"/>
      <c r="S955" s="190"/>
      <c r="T955" s="190"/>
      <c r="U955" s="190">
        <f>IF(W725&gt;=W729,W725,W729)</f>
        <v>3.723245115861018</v>
      </c>
      <c r="V955" s="190"/>
      <c r="W955" s="190"/>
      <c r="X955" s="190"/>
      <c r="Y955" s="190">
        <f>IF(Y954=AA724,AA725,AA729)</f>
        <v>-15.190089152308902</v>
      </c>
      <c r="Z955" s="190"/>
      <c r="AA955" s="190"/>
      <c r="AB955" s="190"/>
      <c r="AH955" s="27"/>
      <c r="AI955" s="27"/>
      <c r="AJ955" s="27"/>
      <c r="AK955" s="27"/>
      <c r="AL955" s="27"/>
      <c r="AM955" s="27"/>
      <c r="AQ955" s="29"/>
    </row>
    <row r="956" spans="2:43" ht="19.5" customHeight="1">
      <c r="B956" s="4"/>
      <c r="E956" s="57"/>
      <c r="F956" s="58"/>
      <c r="G956" s="58"/>
      <c r="H956" s="58"/>
      <c r="I956" s="59"/>
      <c r="J956" s="253" t="s">
        <v>715</v>
      </c>
      <c r="K956" s="204"/>
      <c r="L956" s="204"/>
      <c r="M956" s="204" t="s">
        <v>661</v>
      </c>
      <c r="N956" s="204"/>
      <c r="O956" s="204"/>
      <c r="P956" s="204"/>
      <c r="Q956" s="190">
        <f>-$AC$255*Q954/(Q955-Q954)</f>
        <v>86.03220584553277</v>
      </c>
      <c r="R956" s="190"/>
      <c r="S956" s="190"/>
      <c r="T956" s="190"/>
      <c r="U956" s="190">
        <f>-$AC$240*U955/(U954-U955)</f>
        <v>77.65604397154002</v>
      </c>
      <c r="V956" s="190"/>
      <c r="W956" s="190"/>
      <c r="X956" s="190"/>
      <c r="Y956" s="190">
        <f>-$AC$255*Y954/(Y955-Y954)</f>
        <v>86.03220584553277</v>
      </c>
      <c r="Z956" s="190"/>
      <c r="AA956" s="190"/>
      <c r="AB956" s="190"/>
      <c r="AH956" s="27"/>
      <c r="AI956" s="27"/>
      <c r="AJ956" s="27"/>
      <c r="AK956" s="27"/>
      <c r="AL956" s="27"/>
      <c r="AM956" s="27"/>
      <c r="AQ956" s="29"/>
    </row>
    <row r="957" spans="2:43" ht="19.5" customHeight="1">
      <c r="B957" s="4"/>
      <c r="E957" s="57"/>
      <c r="F957" s="58"/>
      <c r="G957" s="58"/>
      <c r="H957" s="58"/>
      <c r="I957" s="59"/>
      <c r="J957" s="283" t="s">
        <v>693</v>
      </c>
      <c r="K957" s="284"/>
      <c r="L957" s="253"/>
      <c r="M957" s="253" t="s">
        <v>667</v>
      </c>
      <c r="N957" s="204"/>
      <c r="O957" s="204"/>
      <c r="P957" s="204"/>
      <c r="Q957" s="190">
        <f>Q950*1.25</f>
        <v>175</v>
      </c>
      <c r="R957" s="190"/>
      <c r="S957" s="190"/>
      <c r="T957" s="190"/>
      <c r="U957" s="190">
        <f>Q957</f>
        <v>175</v>
      </c>
      <c r="V957" s="190"/>
      <c r="W957" s="190"/>
      <c r="X957" s="190"/>
      <c r="Y957" s="190">
        <f>Q957</f>
        <v>175</v>
      </c>
      <c r="Z957" s="190"/>
      <c r="AA957" s="190"/>
      <c r="AB957" s="190"/>
      <c r="AH957" s="27"/>
      <c r="AI957" s="27"/>
      <c r="AJ957" s="27"/>
      <c r="AK957" s="27"/>
      <c r="AL957" s="27"/>
      <c r="AM957" s="27"/>
      <c r="AQ957" s="29"/>
    </row>
    <row r="958" spans="2:43" ht="19.5" customHeight="1">
      <c r="B958" s="4"/>
      <c r="E958" s="57"/>
      <c r="F958" s="58"/>
      <c r="G958" s="58"/>
      <c r="H958" s="58"/>
      <c r="I958" s="59"/>
      <c r="J958" s="253" t="s">
        <v>689</v>
      </c>
      <c r="K958" s="204"/>
      <c r="L958" s="204"/>
      <c r="M958" s="204" t="s">
        <v>716</v>
      </c>
      <c r="N958" s="204"/>
      <c r="O958" s="204"/>
      <c r="P958" s="204"/>
      <c r="Q958" s="190">
        <f>1/2*1000*Q956*Q954/Q957</f>
        <v>1092.7344659022438</v>
      </c>
      <c r="R958" s="190"/>
      <c r="S958" s="190"/>
      <c r="T958" s="190"/>
      <c r="U958" s="190">
        <f>1/2*1000*U956*U955/U957</f>
        <v>826.0928183832137</v>
      </c>
      <c r="V958" s="190"/>
      <c r="W958" s="190"/>
      <c r="X958" s="190"/>
      <c r="Y958" s="190">
        <f>1/2*1000*Y956*Y954/Y957</f>
        <v>1092.7344659022438</v>
      </c>
      <c r="Z958" s="190"/>
      <c r="AA958" s="190"/>
      <c r="AB958" s="190"/>
      <c r="AH958" s="27"/>
      <c r="AI958" s="27"/>
      <c r="AJ958" s="27"/>
      <c r="AK958" s="27"/>
      <c r="AL958" s="27"/>
      <c r="AM958" s="27"/>
      <c r="AQ958" s="29"/>
    </row>
    <row r="959" spans="2:43" ht="19.5" customHeight="1">
      <c r="B959" s="4"/>
      <c r="E959" s="57"/>
      <c r="F959" s="58"/>
      <c r="G959" s="58"/>
      <c r="H959" s="58"/>
      <c r="I959" s="59"/>
      <c r="J959" s="253" t="s">
        <v>717</v>
      </c>
      <c r="K959" s="204"/>
      <c r="L959" s="204"/>
      <c r="M959" s="204" t="s">
        <v>716</v>
      </c>
      <c r="N959" s="204"/>
      <c r="O959" s="204"/>
      <c r="P959" s="204"/>
      <c r="Q959" s="190">
        <f>0.005*1000*Q956</f>
        <v>430.16102922766385</v>
      </c>
      <c r="R959" s="190"/>
      <c r="S959" s="190"/>
      <c r="T959" s="190"/>
      <c r="U959" s="190">
        <f>0.005*1000*U956</f>
        <v>388.2802198577001</v>
      </c>
      <c r="V959" s="190"/>
      <c r="W959" s="190"/>
      <c r="X959" s="190"/>
      <c r="Y959" s="190">
        <f>0.005*1000*Y956</f>
        <v>430.16102922766385</v>
      </c>
      <c r="Z959" s="190"/>
      <c r="AA959" s="190"/>
      <c r="AB959" s="190"/>
      <c r="AH959" s="27"/>
      <c r="AI959" s="27"/>
      <c r="AJ959" s="27"/>
      <c r="AK959" s="27"/>
      <c r="AL959" s="27"/>
      <c r="AM959" s="27"/>
      <c r="AQ959" s="29"/>
    </row>
    <row r="960" spans="2:43" ht="19.5" customHeight="1">
      <c r="B960" s="4"/>
      <c r="E960" s="60"/>
      <c r="F960" s="52"/>
      <c r="G960" s="52"/>
      <c r="H960" s="52"/>
      <c r="I960" s="61"/>
      <c r="J960" s="232" t="s">
        <v>144</v>
      </c>
      <c r="K960" s="232"/>
      <c r="L960" s="232"/>
      <c r="M960" s="232"/>
      <c r="N960" s="232"/>
      <c r="O960" s="232"/>
      <c r="P960" s="233"/>
      <c r="Q960" s="190" t="str">
        <f>IF(Q$946&gt;=MAX(Q958,Q959),"O.K","N.G")</f>
        <v>O.K</v>
      </c>
      <c r="R960" s="190"/>
      <c r="S960" s="190"/>
      <c r="T960" s="190"/>
      <c r="U960" s="190" t="str">
        <f>IF(U$946&gt;=MAX(U958,U959),"O.K","N.G")</f>
        <v>O.K</v>
      </c>
      <c r="V960" s="190"/>
      <c r="W960" s="190"/>
      <c r="X960" s="190"/>
      <c r="Y960" s="190" t="str">
        <f>IF(Y$946&gt;=MAX(Y958,Y959),"O.K","N.G")</f>
        <v>O.K</v>
      </c>
      <c r="Z960" s="190"/>
      <c r="AA960" s="190"/>
      <c r="AB960" s="190"/>
      <c r="AH960" s="27"/>
      <c r="AI960" s="27"/>
      <c r="AJ960" s="27"/>
      <c r="AK960" s="27"/>
      <c r="AL960" s="27"/>
      <c r="AM960" s="27"/>
      <c r="AQ960" s="29"/>
    </row>
    <row r="961" spans="2:43" ht="19.5" customHeight="1">
      <c r="B961" s="4"/>
      <c r="E961" s="221" t="s">
        <v>94</v>
      </c>
      <c r="F961" s="222"/>
      <c r="G961" s="222"/>
      <c r="H961" s="222"/>
      <c r="I961" s="223"/>
      <c r="J961" s="183" t="s">
        <v>1008</v>
      </c>
      <c r="K961" s="183"/>
      <c r="L961" s="183"/>
      <c r="M961" s="253" t="s">
        <v>325</v>
      </c>
      <c r="N961" s="204"/>
      <c r="O961" s="204"/>
      <c r="P961" s="204"/>
      <c r="Q961" s="190">
        <f>S732</f>
        <v>4.284015215617059</v>
      </c>
      <c r="R961" s="190"/>
      <c r="S961" s="190"/>
      <c r="T961" s="190"/>
      <c r="U961" s="190">
        <f>W732</f>
        <v>-14.495982540723002</v>
      </c>
      <c r="V961" s="190"/>
      <c r="W961" s="190"/>
      <c r="X961" s="190"/>
      <c r="Y961" s="190">
        <f>AA732</f>
        <v>4.284015215617059</v>
      </c>
      <c r="Z961" s="190"/>
      <c r="AA961" s="190"/>
      <c r="AB961" s="190"/>
      <c r="AH961" s="27"/>
      <c r="AI961" s="27"/>
      <c r="AJ961" s="27"/>
      <c r="AK961" s="27"/>
      <c r="AL961" s="27"/>
      <c r="AM961" s="27"/>
      <c r="AQ961" s="29"/>
    </row>
    <row r="962" spans="2:43" ht="19.5" customHeight="1">
      <c r="B962" s="4"/>
      <c r="E962" s="57"/>
      <c r="F962" s="58"/>
      <c r="G962" s="58"/>
      <c r="H962" s="29"/>
      <c r="I962" s="59"/>
      <c r="J962" s="183" t="s">
        <v>1010</v>
      </c>
      <c r="K962" s="183"/>
      <c r="L962" s="183"/>
      <c r="M962" s="253" t="s">
        <v>325</v>
      </c>
      <c r="N962" s="204"/>
      <c r="O962" s="204"/>
      <c r="P962" s="204"/>
      <c r="Q962" s="190">
        <f>S733</f>
        <v>-15.028593999954332</v>
      </c>
      <c r="R962" s="190"/>
      <c r="S962" s="190"/>
      <c r="T962" s="190"/>
      <c r="U962" s="190">
        <f>W733</f>
        <v>3.723245115861018</v>
      </c>
      <c r="V962" s="190"/>
      <c r="W962" s="190"/>
      <c r="X962" s="190"/>
      <c r="Y962" s="190">
        <f>AA733</f>
        <v>-15.028593999954332</v>
      </c>
      <c r="Z962" s="190"/>
      <c r="AA962" s="190"/>
      <c r="AB962" s="190"/>
      <c r="AH962" s="27"/>
      <c r="AI962" s="27"/>
      <c r="AJ962" s="27"/>
      <c r="AK962" s="27"/>
      <c r="AL962" s="27"/>
      <c r="AM962" s="27"/>
      <c r="AQ962" s="29"/>
    </row>
    <row r="963" spans="2:43" ht="19.5" customHeight="1">
      <c r="B963" s="4"/>
      <c r="E963" s="57"/>
      <c r="F963" s="58"/>
      <c r="G963" s="58"/>
      <c r="H963" s="58"/>
      <c r="I963" s="59"/>
      <c r="J963" s="253" t="s">
        <v>718</v>
      </c>
      <c r="K963" s="204"/>
      <c r="L963" s="204"/>
      <c r="M963" s="204" t="s">
        <v>402</v>
      </c>
      <c r="N963" s="204"/>
      <c r="O963" s="204"/>
      <c r="P963" s="204"/>
      <c r="Q963" s="190">
        <f>-$AC$255*Q961/(Q962-Q961)</f>
        <v>84.29341492717185</v>
      </c>
      <c r="R963" s="190"/>
      <c r="S963" s="190"/>
      <c r="T963" s="190"/>
      <c r="U963" s="190">
        <f>-$AC$240*U962/(U961-U962)</f>
        <v>77.65604397154002</v>
      </c>
      <c r="V963" s="190"/>
      <c r="W963" s="190"/>
      <c r="X963" s="190"/>
      <c r="Y963" s="190">
        <f>-$AC$255*Y961/(Y962-Y961)</f>
        <v>84.29341492717185</v>
      </c>
      <c r="Z963" s="190"/>
      <c r="AA963" s="190"/>
      <c r="AB963" s="190"/>
      <c r="AH963" s="27"/>
      <c r="AI963" s="27"/>
      <c r="AJ963" s="27"/>
      <c r="AK963" s="27"/>
      <c r="AL963" s="27"/>
      <c r="AM963" s="27"/>
      <c r="AQ963" s="29"/>
    </row>
    <row r="964" spans="2:43" ht="19.5" customHeight="1">
      <c r="B964" s="4"/>
      <c r="E964" s="57"/>
      <c r="F964" s="58"/>
      <c r="G964" s="58"/>
      <c r="H964" s="58"/>
      <c r="I964" s="59"/>
      <c r="J964" s="283" t="s">
        <v>719</v>
      </c>
      <c r="K964" s="284"/>
      <c r="L964" s="253"/>
      <c r="M964" s="253" t="s">
        <v>325</v>
      </c>
      <c r="N964" s="204"/>
      <c r="O964" s="204"/>
      <c r="P964" s="204"/>
      <c r="Q964" s="377">
        <v>200</v>
      </c>
      <c r="R964" s="378"/>
      <c r="S964" s="378"/>
      <c r="T964" s="379"/>
      <c r="U964" s="190">
        <f>Q964</f>
        <v>200</v>
      </c>
      <c r="V964" s="190"/>
      <c r="W964" s="190"/>
      <c r="X964" s="190"/>
      <c r="Y964" s="190">
        <f>Q964</f>
        <v>200</v>
      </c>
      <c r="Z964" s="190"/>
      <c r="AA964" s="190"/>
      <c r="AB964" s="190"/>
      <c r="AH964" s="27"/>
      <c r="AI964" s="27"/>
      <c r="AJ964" s="27"/>
      <c r="AK964" s="27"/>
      <c r="AL964" s="27"/>
      <c r="AM964" s="27"/>
      <c r="AQ964" s="29"/>
    </row>
    <row r="965" spans="2:43" ht="19.5" customHeight="1">
      <c r="B965" s="4"/>
      <c r="E965" s="57"/>
      <c r="F965" s="58"/>
      <c r="G965" s="58"/>
      <c r="H965" s="58"/>
      <c r="I965" s="59"/>
      <c r="J965" s="253" t="s">
        <v>720</v>
      </c>
      <c r="K965" s="204"/>
      <c r="L965" s="204"/>
      <c r="M965" s="204" t="s">
        <v>721</v>
      </c>
      <c r="N965" s="204"/>
      <c r="O965" s="204"/>
      <c r="P965" s="204"/>
      <c r="Q965" s="190">
        <f>1/2*1000*Q963*Q961/Q964</f>
        <v>902.7856803108157</v>
      </c>
      <c r="R965" s="190"/>
      <c r="S965" s="190"/>
      <c r="T965" s="190"/>
      <c r="U965" s="190">
        <f>1/2*1000*U963*U962/U964</f>
        <v>722.831216085312</v>
      </c>
      <c r="V965" s="190"/>
      <c r="W965" s="190"/>
      <c r="X965" s="190"/>
      <c r="Y965" s="190">
        <f>1/2*1000*Y963*Y961/Y964</f>
        <v>902.7856803108157</v>
      </c>
      <c r="Z965" s="190"/>
      <c r="AA965" s="190"/>
      <c r="AB965" s="190"/>
      <c r="AH965" s="27"/>
      <c r="AI965" s="27"/>
      <c r="AJ965" s="27"/>
      <c r="AK965" s="27"/>
      <c r="AL965" s="27"/>
      <c r="AM965" s="27"/>
      <c r="AQ965" s="29"/>
    </row>
    <row r="966" spans="2:43" ht="19.5" customHeight="1">
      <c r="B966" s="4"/>
      <c r="E966" s="57"/>
      <c r="F966" s="58"/>
      <c r="G966" s="58"/>
      <c r="H966" s="58"/>
      <c r="I966" s="59"/>
      <c r="J966" s="253" t="s">
        <v>722</v>
      </c>
      <c r="K966" s="204"/>
      <c r="L966" s="204"/>
      <c r="M966" s="204" t="s">
        <v>721</v>
      </c>
      <c r="N966" s="204"/>
      <c r="O966" s="204"/>
      <c r="P966" s="204"/>
      <c r="Q966" s="190">
        <f>0.005*1000*Q963</f>
        <v>421.46707463585926</v>
      </c>
      <c r="R966" s="190"/>
      <c r="S966" s="190"/>
      <c r="T966" s="190"/>
      <c r="U966" s="190">
        <f>0.005*1000*U963</f>
        <v>388.2802198577001</v>
      </c>
      <c r="V966" s="190"/>
      <c r="W966" s="190"/>
      <c r="X966" s="190"/>
      <c r="Y966" s="190">
        <f>0.005*1000*Y963</f>
        <v>421.46707463585926</v>
      </c>
      <c r="Z966" s="190"/>
      <c r="AA966" s="190"/>
      <c r="AB966" s="190"/>
      <c r="AH966" s="27"/>
      <c r="AI966" s="27"/>
      <c r="AJ966" s="27"/>
      <c r="AK966" s="27"/>
      <c r="AL966" s="27"/>
      <c r="AM966" s="27"/>
      <c r="AQ966" s="29"/>
    </row>
    <row r="967" spans="2:43" ht="19.5" customHeight="1">
      <c r="B967" s="4"/>
      <c r="E967" s="60"/>
      <c r="F967" s="52"/>
      <c r="G967" s="52"/>
      <c r="H967" s="52"/>
      <c r="I967" s="61"/>
      <c r="J967" s="232" t="s">
        <v>144</v>
      </c>
      <c r="K967" s="232"/>
      <c r="L967" s="232"/>
      <c r="M967" s="232"/>
      <c r="N967" s="232"/>
      <c r="O967" s="232"/>
      <c r="P967" s="233"/>
      <c r="Q967" s="190" t="str">
        <f>IF(Q$946&gt;=MAX(Q965,Q966),"O.K","N.G")</f>
        <v>O.K</v>
      </c>
      <c r="R967" s="190"/>
      <c r="S967" s="190"/>
      <c r="T967" s="190"/>
      <c r="U967" s="190" t="str">
        <f>IF(U$946&gt;=MAX(U965,U966),"O.K","N.G")</f>
        <v>O.K</v>
      </c>
      <c r="V967" s="190"/>
      <c r="W967" s="190"/>
      <c r="X967" s="190"/>
      <c r="Y967" s="190" t="str">
        <f>IF(Y$946&gt;=MAX(Y965,Y966),"O.K","N.G")</f>
        <v>O.K</v>
      </c>
      <c r="Z967" s="190"/>
      <c r="AA967" s="190"/>
      <c r="AB967" s="190"/>
      <c r="AH967" s="27"/>
      <c r="AI967" s="27"/>
      <c r="AJ967" s="27"/>
      <c r="AK967" s="27"/>
      <c r="AL967" s="27"/>
      <c r="AM967" s="27"/>
      <c r="AQ967" s="29"/>
    </row>
    <row r="968" spans="2:43" ht="19.5" customHeight="1">
      <c r="B968" s="4"/>
      <c r="D968" s="4"/>
      <c r="E968" s="4"/>
      <c r="F968" s="4"/>
      <c r="G968" s="4"/>
      <c r="H968" s="4"/>
      <c r="I968" s="4"/>
      <c r="J968" s="4"/>
      <c r="K968" s="4"/>
      <c r="L968" s="4"/>
      <c r="M968" s="4"/>
      <c r="AH968" s="27"/>
      <c r="AQ968" s="29"/>
    </row>
    <row r="969" spans="2:43" ht="19.5" customHeight="1">
      <c r="B969" s="4"/>
      <c r="E969" s="183" t="s">
        <v>917</v>
      </c>
      <c r="F969" s="183"/>
      <c r="G969" s="183"/>
      <c r="H969" s="183"/>
      <c r="I969" s="183"/>
      <c r="J969" s="183"/>
      <c r="K969" s="183"/>
      <c r="L969" s="183"/>
      <c r="M969" s="183"/>
      <c r="N969" s="183"/>
      <c r="O969" s="183"/>
      <c r="P969" s="183"/>
      <c r="Q969" s="204" t="s">
        <v>663</v>
      </c>
      <c r="R969" s="204"/>
      <c r="S969" s="204"/>
      <c r="T969" s="204"/>
      <c r="U969" s="204" t="s">
        <v>664</v>
      </c>
      <c r="V969" s="204"/>
      <c r="W969" s="204"/>
      <c r="X969" s="204"/>
      <c r="Y969" s="204" t="s">
        <v>665</v>
      </c>
      <c r="Z969" s="204"/>
      <c r="AA969" s="204"/>
      <c r="AB969" s="204"/>
      <c r="AH969" s="27"/>
      <c r="AI969" s="27"/>
      <c r="AJ969" s="27"/>
      <c r="AK969" s="27"/>
      <c r="AL969" s="27"/>
      <c r="AM969" s="27"/>
      <c r="AQ969" s="29"/>
    </row>
    <row r="970" spans="2:43" ht="19.5" customHeight="1">
      <c r="B970" s="4"/>
      <c r="E970" s="183" t="s">
        <v>95</v>
      </c>
      <c r="F970" s="183"/>
      <c r="G970" s="183"/>
      <c r="H970" s="183"/>
      <c r="I970" s="183"/>
      <c r="J970" s="183"/>
      <c r="K970" s="183"/>
      <c r="L970" s="183"/>
      <c r="M970" s="204" t="s">
        <v>723</v>
      </c>
      <c r="N970" s="204"/>
      <c r="O970" s="204"/>
      <c r="P970" s="204"/>
      <c r="Q970" s="190">
        <f>$I$255</f>
        <v>2292</v>
      </c>
      <c r="R970" s="190"/>
      <c r="S970" s="190"/>
      <c r="T970" s="190"/>
      <c r="U970" s="190">
        <f>$AI$244</f>
        <v>2292</v>
      </c>
      <c r="V970" s="190"/>
      <c r="W970" s="190"/>
      <c r="X970" s="190"/>
      <c r="Y970" s="190">
        <f>$I$255</f>
        <v>2292</v>
      </c>
      <c r="Z970" s="190"/>
      <c r="AA970" s="190"/>
      <c r="AB970" s="190"/>
      <c r="AH970" s="27"/>
      <c r="AI970" s="27"/>
      <c r="AJ970" s="27"/>
      <c r="AK970" s="27"/>
      <c r="AL970" s="27"/>
      <c r="AM970" s="27"/>
      <c r="AQ970" s="29"/>
    </row>
    <row r="971" spans="2:43" ht="19.5" customHeight="1">
      <c r="B971" s="4"/>
      <c r="E971" s="221" t="s">
        <v>918</v>
      </c>
      <c r="F971" s="222"/>
      <c r="G971" s="222"/>
      <c r="H971" s="222"/>
      <c r="I971" s="223"/>
      <c r="J971" s="233" t="s">
        <v>1008</v>
      </c>
      <c r="K971" s="183"/>
      <c r="L971" s="183"/>
      <c r="M971" s="253" t="s">
        <v>724</v>
      </c>
      <c r="N971" s="204"/>
      <c r="O971" s="204"/>
      <c r="P971" s="204"/>
      <c r="Q971" s="190">
        <f>S772</f>
        <v>4.419576157445313</v>
      </c>
      <c r="R971" s="190"/>
      <c r="S971" s="190"/>
      <c r="T971" s="190"/>
      <c r="U971" s="190">
        <f>W772</f>
        <v>-13.918042719764701</v>
      </c>
      <c r="V971" s="190"/>
      <c r="W971" s="190"/>
      <c r="X971" s="190"/>
      <c r="Y971" s="190">
        <f>AA772</f>
        <v>4.419576157445313</v>
      </c>
      <c r="Z971" s="190"/>
      <c r="AA971" s="190"/>
      <c r="AB971" s="190"/>
      <c r="AH971" s="27"/>
      <c r="AI971" s="27"/>
      <c r="AJ971" s="27"/>
      <c r="AK971" s="27"/>
      <c r="AL971" s="27"/>
      <c r="AM971" s="27"/>
      <c r="AQ971" s="29"/>
    </row>
    <row r="972" spans="2:43" ht="19.5" customHeight="1">
      <c r="B972" s="4"/>
      <c r="E972" s="57"/>
      <c r="F972" s="58"/>
      <c r="G972" s="58"/>
      <c r="H972" s="29"/>
      <c r="I972" s="59"/>
      <c r="J972" s="233" t="s">
        <v>1010</v>
      </c>
      <c r="K972" s="183"/>
      <c r="L972" s="183"/>
      <c r="M972" s="253" t="s">
        <v>724</v>
      </c>
      <c r="N972" s="204"/>
      <c r="O972" s="204"/>
      <c r="P972" s="204"/>
      <c r="Q972" s="190">
        <f>S773</f>
        <v>-15.164154941782586</v>
      </c>
      <c r="R972" s="190"/>
      <c r="S972" s="190"/>
      <c r="T972" s="190"/>
      <c r="U972" s="190">
        <f>W773</f>
        <v>3.140220569698325</v>
      </c>
      <c r="V972" s="190"/>
      <c r="W972" s="190"/>
      <c r="X972" s="190"/>
      <c r="Y972" s="190">
        <f>AA773</f>
        <v>-15.164154941782586</v>
      </c>
      <c r="Z972" s="190"/>
      <c r="AA972" s="190"/>
      <c r="AB972" s="190"/>
      <c r="AH972" s="27"/>
      <c r="AI972" s="27"/>
      <c r="AJ972" s="27"/>
      <c r="AK972" s="27"/>
      <c r="AL972" s="27"/>
      <c r="AM972" s="27"/>
      <c r="AQ972" s="29"/>
    </row>
    <row r="973" spans="2:43" ht="19.5" customHeight="1">
      <c r="B973" s="4"/>
      <c r="E973" s="57"/>
      <c r="F973" s="58"/>
      <c r="G973" s="58"/>
      <c r="H973" s="58"/>
      <c r="I973" s="59"/>
      <c r="J973" s="253" t="s">
        <v>725</v>
      </c>
      <c r="K973" s="204"/>
      <c r="L973" s="204"/>
      <c r="M973" s="204" t="s">
        <v>726</v>
      </c>
      <c r="N973" s="204"/>
      <c r="O973" s="204"/>
      <c r="P973" s="204"/>
      <c r="Q973" s="190">
        <f>-$AC$255*Q971/(Q972-Q971)</f>
        <v>85.75684231568273</v>
      </c>
      <c r="R973" s="190"/>
      <c r="S973" s="190"/>
      <c r="T973" s="190"/>
      <c r="U973" s="190">
        <f>-$AC$240*U972/(U971-U972)</f>
        <v>69.953417662539</v>
      </c>
      <c r="V973" s="190"/>
      <c r="W973" s="190"/>
      <c r="X973" s="190"/>
      <c r="Y973" s="190">
        <f>-$AC$255*Y971/(Y972-Y971)</f>
        <v>85.75684231568273</v>
      </c>
      <c r="Z973" s="190"/>
      <c r="AA973" s="190"/>
      <c r="AB973" s="190"/>
      <c r="AH973" s="27"/>
      <c r="AI973" s="27"/>
      <c r="AJ973" s="27"/>
      <c r="AK973" s="27"/>
      <c r="AL973" s="27"/>
      <c r="AM973" s="27"/>
      <c r="AQ973" s="29"/>
    </row>
    <row r="974" spans="2:43" ht="19.5" customHeight="1">
      <c r="B974" s="4"/>
      <c r="E974" s="57"/>
      <c r="F974" s="58"/>
      <c r="G974" s="58"/>
      <c r="H974" s="58"/>
      <c r="I974" s="59"/>
      <c r="J974" s="283" t="s">
        <v>727</v>
      </c>
      <c r="K974" s="284"/>
      <c r="L974" s="253"/>
      <c r="M974" s="253" t="s">
        <v>724</v>
      </c>
      <c r="N974" s="204"/>
      <c r="O974" s="204"/>
      <c r="P974" s="204"/>
      <c r="Q974" s="190">
        <f>Q950</f>
        <v>140</v>
      </c>
      <c r="R974" s="190"/>
      <c r="S974" s="190"/>
      <c r="T974" s="190"/>
      <c r="U974" s="190">
        <f>Q974</f>
        <v>140</v>
      </c>
      <c r="V974" s="190"/>
      <c r="W974" s="190"/>
      <c r="X974" s="190"/>
      <c r="Y974" s="190">
        <f>Q974</f>
        <v>140</v>
      </c>
      <c r="Z974" s="190"/>
      <c r="AA974" s="190"/>
      <c r="AB974" s="190"/>
      <c r="AH974" s="27"/>
      <c r="AI974" s="27"/>
      <c r="AJ974" s="27"/>
      <c r="AK974" s="27"/>
      <c r="AL974" s="27"/>
      <c r="AM974" s="27"/>
      <c r="AQ974" s="29"/>
    </row>
    <row r="975" spans="2:43" ht="19.5" customHeight="1">
      <c r="B975" s="4"/>
      <c r="E975" s="57"/>
      <c r="F975" s="58"/>
      <c r="G975" s="58"/>
      <c r="H975" s="58"/>
      <c r="I975" s="59"/>
      <c r="J975" s="253" t="s">
        <v>728</v>
      </c>
      <c r="K975" s="204"/>
      <c r="L975" s="204"/>
      <c r="M975" s="204" t="s">
        <v>723</v>
      </c>
      <c r="N975" s="204"/>
      <c r="O975" s="204"/>
      <c r="P975" s="204"/>
      <c r="Q975" s="190">
        <f>1/2*1000*Q973*Q971/Q974</f>
        <v>1353.603198700674</v>
      </c>
      <c r="R975" s="190"/>
      <c r="S975" s="190"/>
      <c r="T975" s="190"/>
      <c r="U975" s="190">
        <f>1/2*1000*U973*U972/U974</f>
        <v>784.5327180878681</v>
      </c>
      <c r="V975" s="190"/>
      <c r="W975" s="190"/>
      <c r="X975" s="190"/>
      <c r="Y975" s="190">
        <f>1/2*1000*Y973*Y971/Y974</f>
        <v>1353.603198700674</v>
      </c>
      <c r="Z975" s="190"/>
      <c r="AA975" s="190"/>
      <c r="AB975" s="190"/>
      <c r="AH975" s="27"/>
      <c r="AI975" s="27"/>
      <c r="AJ975" s="27"/>
      <c r="AK975" s="27"/>
      <c r="AL975" s="27"/>
      <c r="AM975" s="27"/>
      <c r="AQ975" s="29"/>
    </row>
    <row r="976" spans="2:43" ht="19.5" customHeight="1">
      <c r="B976" s="4"/>
      <c r="E976" s="57"/>
      <c r="F976" s="58"/>
      <c r="G976" s="58"/>
      <c r="H976" s="58"/>
      <c r="I976" s="59"/>
      <c r="J976" s="253" t="s">
        <v>729</v>
      </c>
      <c r="K976" s="204"/>
      <c r="L976" s="204"/>
      <c r="M976" s="204" t="s">
        <v>723</v>
      </c>
      <c r="N976" s="204"/>
      <c r="O976" s="204"/>
      <c r="P976" s="204"/>
      <c r="Q976" s="190">
        <f>0.005*1000*Q973</f>
        <v>428.78421157841365</v>
      </c>
      <c r="R976" s="190"/>
      <c r="S976" s="190"/>
      <c r="T976" s="190"/>
      <c r="U976" s="190">
        <f>0.005*1000*U973</f>
        <v>349.76708831269497</v>
      </c>
      <c r="V976" s="190"/>
      <c r="W976" s="190"/>
      <c r="X976" s="190"/>
      <c r="Y976" s="190">
        <f>0.005*1000*Y973</f>
        <v>428.78421157841365</v>
      </c>
      <c r="Z976" s="190"/>
      <c r="AA976" s="190"/>
      <c r="AB976" s="190"/>
      <c r="AH976" s="27"/>
      <c r="AI976" s="27"/>
      <c r="AJ976" s="27"/>
      <c r="AK976" s="27"/>
      <c r="AL976" s="27"/>
      <c r="AM976" s="27"/>
      <c r="AQ976" s="29"/>
    </row>
    <row r="977" spans="2:43" ht="19.5" customHeight="1">
      <c r="B977" s="4"/>
      <c r="E977" s="60"/>
      <c r="F977" s="52"/>
      <c r="G977" s="52"/>
      <c r="H977" s="52"/>
      <c r="I977" s="61"/>
      <c r="J977" s="232" t="s">
        <v>144</v>
      </c>
      <c r="K977" s="232"/>
      <c r="L977" s="232"/>
      <c r="M977" s="232"/>
      <c r="N977" s="232"/>
      <c r="O977" s="232"/>
      <c r="P977" s="233"/>
      <c r="Q977" s="190" t="str">
        <f>IF(Q$946&gt;=MAX(Q975,Q976),"O.K","N.G")</f>
        <v>O.K</v>
      </c>
      <c r="R977" s="190"/>
      <c r="S977" s="190"/>
      <c r="T977" s="190"/>
      <c r="U977" s="190" t="str">
        <f>IF(U$946&gt;=MAX(U975,U976),"O.K","N.G")</f>
        <v>O.K</v>
      </c>
      <c r="V977" s="190"/>
      <c r="W977" s="190"/>
      <c r="X977" s="190"/>
      <c r="Y977" s="190" t="str">
        <f>IF(Y$946&gt;=MAX(Y975,Y976),"O.K","N.G")</f>
        <v>O.K</v>
      </c>
      <c r="Z977" s="190"/>
      <c r="AA977" s="190"/>
      <c r="AB977" s="190"/>
      <c r="AH977" s="27"/>
      <c r="AI977" s="27"/>
      <c r="AJ977" s="27"/>
      <c r="AK977" s="27"/>
      <c r="AL977" s="27"/>
      <c r="AM977" s="27"/>
      <c r="AQ977" s="29"/>
    </row>
    <row r="978" spans="2:43" ht="19.5" customHeight="1">
      <c r="B978" s="4"/>
      <c r="E978" s="221" t="s">
        <v>970</v>
      </c>
      <c r="F978" s="222"/>
      <c r="G978" s="222"/>
      <c r="H978" s="222"/>
      <c r="I978" s="223"/>
      <c r="J978" s="233" t="s">
        <v>1008</v>
      </c>
      <c r="K978" s="183"/>
      <c r="L978" s="183"/>
      <c r="M978" s="253" t="s">
        <v>667</v>
      </c>
      <c r="N978" s="204"/>
      <c r="O978" s="204"/>
      <c r="P978" s="204"/>
      <c r="Q978" s="190">
        <f>IF(S776&gt;=S780,S776,S780)</f>
        <v>4.445510367971629</v>
      </c>
      <c r="R978" s="190"/>
      <c r="S978" s="190"/>
      <c r="T978" s="190"/>
      <c r="U978" s="190">
        <f>IF(U979=W777,W776,W780)</f>
        <v>-13.918042719764701</v>
      </c>
      <c r="V978" s="190"/>
      <c r="W978" s="190"/>
      <c r="X978" s="190"/>
      <c r="Y978" s="190">
        <f>IF(AA776&gt;=AA780,AA776,AA780)</f>
        <v>4.445510367971629</v>
      </c>
      <c r="Z978" s="190"/>
      <c r="AA978" s="190"/>
      <c r="AB978" s="190"/>
      <c r="AH978" s="27"/>
      <c r="AI978" s="27"/>
      <c r="AJ978" s="27"/>
      <c r="AK978" s="27"/>
      <c r="AL978" s="27"/>
      <c r="AM978" s="27"/>
      <c r="AQ978" s="29"/>
    </row>
    <row r="979" spans="2:43" ht="19.5" customHeight="1">
      <c r="B979" s="4"/>
      <c r="E979" s="57"/>
      <c r="F979" s="58"/>
      <c r="G979" s="58"/>
      <c r="H979" s="29"/>
      <c r="I979" s="59"/>
      <c r="J979" s="233" t="s">
        <v>1010</v>
      </c>
      <c r="K979" s="183"/>
      <c r="L979" s="183"/>
      <c r="M979" s="253" t="s">
        <v>667</v>
      </c>
      <c r="N979" s="204"/>
      <c r="O979" s="204"/>
      <c r="P979" s="204"/>
      <c r="Q979" s="190">
        <f>IF(Q978=S776,S777,S781)</f>
        <v>-15.190089152308902</v>
      </c>
      <c r="R979" s="190"/>
      <c r="S979" s="190"/>
      <c r="T979" s="190"/>
      <c r="U979" s="190">
        <f>IF(W777&gt;=W781,W777,W781)</f>
        <v>3.140220569698325</v>
      </c>
      <c r="V979" s="190"/>
      <c r="W979" s="190"/>
      <c r="X979" s="190"/>
      <c r="Y979" s="190">
        <f>IF(Y978=AA776,AA777,AA781)</f>
        <v>-15.190089152308902</v>
      </c>
      <c r="Z979" s="190"/>
      <c r="AA979" s="190"/>
      <c r="AB979" s="190"/>
      <c r="AH979" s="27"/>
      <c r="AI979" s="27"/>
      <c r="AJ979" s="27"/>
      <c r="AK979" s="27"/>
      <c r="AL979" s="27"/>
      <c r="AM979" s="27"/>
      <c r="AQ979" s="29"/>
    </row>
    <row r="980" spans="2:43" ht="19.5" customHeight="1">
      <c r="B980" s="4"/>
      <c r="E980" s="57"/>
      <c r="F980" s="58"/>
      <c r="G980" s="58"/>
      <c r="H980" s="58"/>
      <c r="I980" s="59"/>
      <c r="J980" s="253" t="s">
        <v>715</v>
      </c>
      <c r="K980" s="204"/>
      <c r="L980" s="204"/>
      <c r="M980" s="204" t="s">
        <v>661</v>
      </c>
      <c r="N980" s="204"/>
      <c r="O980" s="204"/>
      <c r="P980" s="204"/>
      <c r="Q980" s="190">
        <f>-$AC$255*Q978/(Q979-Q978)</f>
        <v>86.03220584553277</v>
      </c>
      <c r="R980" s="190"/>
      <c r="S980" s="190"/>
      <c r="T980" s="190"/>
      <c r="U980" s="190">
        <f>-$AC$240*U979/(U978-U979)</f>
        <v>69.953417662539</v>
      </c>
      <c r="V980" s="190"/>
      <c r="W980" s="190"/>
      <c r="X980" s="190"/>
      <c r="Y980" s="190">
        <f>-$AC$255*Y978/(Y979-Y978)</f>
        <v>86.03220584553277</v>
      </c>
      <c r="Z980" s="190"/>
      <c r="AA980" s="190"/>
      <c r="AB980" s="190"/>
      <c r="AH980" s="27"/>
      <c r="AI980" s="27"/>
      <c r="AJ980" s="27"/>
      <c r="AK980" s="27"/>
      <c r="AL980" s="27"/>
      <c r="AM980" s="27"/>
      <c r="AQ980" s="29"/>
    </row>
    <row r="981" spans="2:43" ht="19.5" customHeight="1">
      <c r="B981" s="4"/>
      <c r="E981" s="57"/>
      <c r="F981" s="58"/>
      <c r="G981" s="58"/>
      <c r="H981" s="58"/>
      <c r="I981" s="59"/>
      <c r="J981" s="283" t="s">
        <v>693</v>
      </c>
      <c r="K981" s="284"/>
      <c r="L981" s="253"/>
      <c r="M981" s="253" t="s">
        <v>667</v>
      </c>
      <c r="N981" s="204"/>
      <c r="O981" s="204"/>
      <c r="P981" s="204"/>
      <c r="Q981" s="190">
        <f>Q957</f>
        <v>175</v>
      </c>
      <c r="R981" s="190"/>
      <c r="S981" s="190"/>
      <c r="T981" s="190"/>
      <c r="U981" s="190">
        <f>Q981</f>
        <v>175</v>
      </c>
      <c r="V981" s="190"/>
      <c r="W981" s="190"/>
      <c r="X981" s="190"/>
      <c r="Y981" s="190">
        <f>Q981</f>
        <v>175</v>
      </c>
      <c r="Z981" s="190"/>
      <c r="AA981" s="190"/>
      <c r="AB981" s="190"/>
      <c r="AH981" s="27"/>
      <c r="AI981" s="27"/>
      <c r="AJ981" s="27"/>
      <c r="AK981" s="27"/>
      <c r="AL981" s="27"/>
      <c r="AM981" s="27"/>
      <c r="AQ981" s="29"/>
    </row>
    <row r="982" spans="2:43" ht="19.5" customHeight="1">
      <c r="B982" s="4"/>
      <c r="E982" s="57"/>
      <c r="F982" s="58"/>
      <c r="G982" s="58"/>
      <c r="H982" s="58"/>
      <c r="I982" s="59"/>
      <c r="J982" s="253" t="s">
        <v>689</v>
      </c>
      <c r="K982" s="204"/>
      <c r="L982" s="204"/>
      <c r="M982" s="204" t="s">
        <v>716</v>
      </c>
      <c r="N982" s="204"/>
      <c r="O982" s="204"/>
      <c r="P982" s="204"/>
      <c r="Q982" s="190">
        <f>1/2*1000*Q980*Q978/Q981</f>
        <v>1092.7344659022438</v>
      </c>
      <c r="R982" s="190"/>
      <c r="S982" s="190"/>
      <c r="T982" s="190"/>
      <c r="U982" s="190">
        <f>1/2*1000*U980*U979/U981</f>
        <v>627.6261744702945</v>
      </c>
      <c r="V982" s="190"/>
      <c r="W982" s="190"/>
      <c r="X982" s="190"/>
      <c r="Y982" s="190">
        <f>1/2*1000*Y980*Y978/Y981</f>
        <v>1092.7344659022438</v>
      </c>
      <c r="Z982" s="190"/>
      <c r="AA982" s="190"/>
      <c r="AB982" s="190"/>
      <c r="AH982" s="27"/>
      <c r="AI982" s="27"/>
      <c r="AJ982" s="27"/>
      <c r="AK982" s="27"/>
      <c r="AL982" s="27"/>
      <c r="AM982" s="27"/>
      <c r="AQ982" s="29"/>
    </row>
    <row r="983" spans="2:43" ht="19.5" customHeight="1">
      <c r="B983" s="4"/>
      <c r="E983" s="57"/>
      <c r="F983" s="58"/>
      <c r="G983" s="58"/>
      <c r="H983" s="58"/>
      <c r="I983" s="59"/>
      <c r="J983" s="253" t="s">
        <v>717</v>
      </c>
      <c r="K983" s="204"/>
      <c r="L983" s="204"/>
      <c r="M983" s="204" t="s">
        <v>716</v>
      </c>
      <c r="N983" s="204"/>
      <c r="O983" s="204"/>
      <c r="P983" s="204"/>
      <c r="Q983" s="190">
        <f>0.005*1000*Q980</f>
        <v>430.16102922766385</v>
      </c>
      <c r="R983" s="190"/>
      <c r="S983" s="190"/>
      <c r="T983" s="190"/>
      <c r="U983" s="190">
        <f>0.005*1000*U980</f>
        <v>349.76708831269497</v>
      </c>
      <c r="V983" s="190"/>
      <c r="W983" s="190"/>
      <c r="X983" s="190"/>
      <c r="Y983" s="190">
        <f>0.005*1000*Y980</f>
        <v>430.16102922766385</v>
      </c>
      <c r="Z983" s="190"/>
      <c r="AA983" s="190"/>
      <c r="AB983" s="190"/>
      <c r="AH983" s="27"/>
      <c r="AI983" s="27"/>
      <c r="AJ983" s="27"/>
      <c r="AK983" s="27"/>
      <c r="AL983" s="27"/>
      <c r="AM983" s="27"/>
      <c r="AQ983" s="29"/>
    </row>
    <row r="984" spans="2:43" ht="19.5" customHeight="1">
      <c r="B984" s="4"/>
      <c r="E984" s="60"/>
      <c r="F984" s="52"/>
      <c r="G984" s="52"/>
      <c r="H984" s="52"/>
      <c r="I984" s="61"/>
      <c r="J984" s="232" t="s">
        <v>144</v>
      </c>
      <c r="K984" s="232"/>
      <c r="L984" s="232"/>
      <c r="M984" s="232"/>
      <c r="N984" s="232"/>
      <c r="O984" s="232"/>
      <c r="P984" s="233"/>
      <c r="Q984" s="190" t="str">
        <f>IF(Q$946&gt;=MAX(Q982,Q983),"O.K","N.G")</f>
        <v>O.K</v>
      </c>
      <c r="R984" s="190"/>
      <c r="S984" s="190"/>
      <c r="T984" s="190"/>
      <c r="U984" s="190" t="str">
        <f>IF(U$946&gt;=MAX(U982,U983),"O.K","N.G")</f>
        <v>O.K</v>
      </c>
      <c r="V984" s="190"/>
      <c r="W984" s="190"/>
      <c r="X984" s="190"/>
      <c r="Y984" s="190" t="str">
        <f>IF(Y$946&gt;=MAX(Y982,Y983),"O.K","N.G")</f>
        <v>O.K</v>
      </c>
      <c r="Z984" s="190"/>
      <c r="AA984" s="190"/>
      <c r="AB984" s="190"/>
      <c r="AH984" s="27"/>
      <c r="AI984" s="27"/>
      <c r="AJ984" s="27"/>
      <c r="AK984" s="27"/>
      <c r="AL984" s="27"/>
      <c r="AM984" s="27"/>
      <c r="AQ984" s="29"/>
    </row>
    <row r="985" spans="2:43" ht="19.5" customHeight="1">
      <c r="B985" s="4"/>
      <c r="E985" s="221" t="s">
        <v>94</v>
      </c>
      <c r="F985" s="222"/>
      <c r="G985" s="222"/>
      <c r="H985" s="222"/>
      <c r="I985" s="223"/>
      <c r="J985" s="233" t="s">
        <v>1008</v>
      </c>
      <c r="K985" s="183"/>
      <c r="L985" s="183"/>
      <c r="M985" s="253" t="s">
        <v>325</v>
      </c>
      <c r="N985" s="204"/>
      <c r="O985" s="204"/>
      <c r="P985" s="204"/>
      <c r="Q985" s="190">
        <f>S784</f>
        <v>4.284015215617059</v>
      </c>
      <c r="R985" s="190"/>
      <c r="S985" s="190"/>
      <c r="T985" s="190"/>
      <c r="U985" s="190">
        <f>W784</f>
        <v>-13.918042719764701</v>
      </c>
      <c r="V985" s="190"/>
      <c r="W985" s="190"/>
      <c r="X985" s="190"/>
      <c r="Y985" s="190">
        <f>AA784</f>
        <v>4.284015215617059</v>
      </c>
      <c r="Z985" s="190"/>
      <c r="AA985" s="190"/>
      <c r="AB985" s="190"/>
      <c r="AH985" s="27"/>
      <c r="AI985" s="27"/>
      <c r="AJ985" s="27"/>
      <c r="AK985" s="27"/>
      <c r="AL985" s="27"/>
      <c r="AM985" s="27"/>
      <c r="AQ985" s="29"/>
    </row>
    <row r="986" spans="2:43" ht="19.5" customHeight="1">
      <c r="B986" s="4"/>
      <c r="E986" s="57"/>
      <c r="F986" s="58"/>
      <c r="G986" s="58"/>
      <c r="H986" s="29"/>
      <c r="I986" s="59"/>
      <c r="J986" s="233" t="s">
        <v>1010</v>
      </c>
      <c r="K986" s="183"/>
      <c r="L986" s="183"/>
      <c r="M986" s="253" t="s">
        <v>325</v>
      </c>
      <c r="N986" s="204"/>
      <c r="O986" s="204"/>
      <c r="P986" s="204"/>
      <c r="Q986" s="190">
        <f>S785</f>
        <v>-15.028593999954332</v>
      </c>
      <c r="R986" s="190"/>
      <c r="S986" s="190"/>
      <c r="T986" s="190"/>
      <c r="U986" s="190">
        <f>W785</f>
        <v>3.140220569698325</v>
      </c>
      <c r="V986" s="190"/>
      <c r="W986" s="190"/>
      <c r="X986" s="190"/>
      <c r="Y986" s="190">
        <f>AA785</f>
        <v>-15.028593999954332</v>
      </c>
      <c r="Z986" s="190"/>
      <c r="AA986" s="190"/>
      <c r="AB986" s="190"/>
      <c r="AH986" s="27"/>
      <c r="AI986" s="27"/>
      <c r="AJ986" s="27"/>
      <c r="AK986" s="27"/>
      <c r="AL986" s="27"/>
      <c r="AM986" s="27"/>
      <c r="AQ986" s="29"/>
    </row>
    <row r="987" spans="2:43" ht="19.5" customHeight="1">
      <c r="B987" s="4"/>
      <c r="E987" s="57"/>
      <c r="F987" s="58"/>
      <c r="G987" s="58"/>
      <c r="H987" s="58"/>
      <c r="I987" s="59"/>
      <c r="J987" s="253" t="s">
        <v>718</v>
      </c>
      <c r="K987" s="204"/>
      <c r="L987" s="204"/>
      <c r="M987" s="204" t="s">
        <v>402</v>
      </c>
      <c r="N987" s="204"/>
      <c r="O987" s="204"/>
      <c r="P987" s="204"/>
      <c r="Q987" s="190">
        <f>-$AC$255*Q985/(Q986-Q985)</f>
        <v>84.29341492717185</v>
      </c>
      <c r="R987" s="190"/>
      <c r="S987" s="190"/>
      <c r="T987" s="190"/>
      <c r="U987" s="190">
        <f>-$AC$240*U986/(U985-U986)</f>
        <v>69.953417662539</v>
      </c>
      <c r="V987" s="190"/>
      <c r="W987" s="190"/>
      <c r="X987" s="190"/>
      <c r="Y987" s="190">
        <f>-$AC$255*Y985/(Y986-Y985)</f>
        <v>84.29341492717185</v>
      </c>
      <c r="Z987" s="190"/>
      <c r="AA987" s="190"/>
      <c r="AB987" s="190"/>
      <c r="AH987" s="27"/>
      <c r="AI987" s="27"/>
      <c r="AJ987" s="27"/>
      <c r="AK987" s="27"/>
      <c r="AL987" s="27"/>
      <c r="AM987" s="27"/>
      <c r="AQ987" s="29"/>
    </row>
    <row r="988" spans="2:43" ht="19.5" customHeight="1">
      <c r="B988" s="4"/>
      <c r="E988" s="57"/>
      <c r="F988" s="58"/>
      <c r="G988" s="58"/>
      <c r="H988" s="58"/>
      <c r="I988" s="59"/>
      <c r="J988" s="283" t="s">
        <v>719</v>
      </c>
      <c r="K988" s="284"/>
      <c r="L988" s="253"/>
      <c r="M988" s="253" t="s">
        <v>325</v>
      </c>
      <c r="N988" s="204"/>
      <c r="O988" s="204"/>
      <c r="P988" s="204"/>
      <c r="Q988" s="190">
        <f>Q964</f>
        <v>200</v>
      </c>
      <c r="R988" s="190"/>
      <c r="S988" s="190"/>
      <c r="T988" s="190"/>
      <c r="U988" s="190">
        <f>Q988</f>
        <v>200</v>
      </c>
      <c r="V988" s="190"/>
      <c r="W988" s="190"/>
      <c r="X988" s="190"/>
      <c r="Y988" s="190">
        <f>Q988</f>
        <v>200</v>
      </c>
      <c r="Z988" s="190"/>
      <c r="AA988" s="190"/>
      <c r="AB988" s="190"/>
      <c r="AH988" s="27"/>
      <c r="AI988" s="27"/>
      <c r="AJ988" s="27"/>
      <c r="AK988" s="27"/>
      <c r="AL988" s="27"/>
      <c r="AM988" s="27"/>
      <c r="AQ988" s="29"/>
    </row>
    <row r="989" spans="2:43" ht="19.5" customHeight="1">
      <c r="B989" s="4"/>
      <c r="E989" s="57"/>
      <c r="F989" s="58"/>
      <c r="G989" s="58"/>
      <c r="H989" s="58"/>
      <c r="I989" s="59"/>
      <c r="J989" s="253" t="s">
        <v>720</v>
      </c>
      <c r="K989" s="204"/>
      <c r="L989" s="204"/>
      <c r="M989" s="204" t="s">
        <v>721</v>
      </c>
      <c r="N989" s="204"/>
      <c r="O989" s="204"/>
      <c r="P989" s="204"/>
      <c r="Q989" s="190">
        <f>1/2*1000*Q987*Q985/Q988</f>
        <v>902.7856803108157</v>
      </c>
      <c r="R989" s="190"/>
      <c r="S989" s="190"/>
      <c r="T989" s="190"/>
      <c r="U989" s="190">
        <f>1/2*1000*U987*U986/U988</f>
        <v>549.1729026615077</v>
      </c>
      <c r="V989" s="190"/>
      <c r="W989" s="190"/>
      <c r="X989" s="190"/>
      <c r="Y989" s="190">
        <f>1/2*1000*Y987*Y985/Y988</f>
        <v>902.7856803108157</v>
      </c>
      <c r="Z989" s="190"/>
      <c r="AA989" s="190"/>
      <c r="AB989" s="190"/>
      <c r="AH989" s="27"/>
      <c r="AI989" s="27"/>
      <c r="AJ989" s="27"/>
      <c r="AK989" s="27"/>
      <c r="AL989" s="27"/>
      <c r="AM989" s="27"/>
      <c r="AQ989" s="29"/>
    </row>
    <row r="990" spans="2:43" ht="19.5" customHeight="1">
      <c r="B990" s="4"/>
      <c r="E990" s="57"/>
      <c r="F990" s="58"/>
      <c r="G990" s="58"/>
      <c r="H990" s="58"/>
      <c r="I990" s="59"/>
      <c r="J990" s="253" t="s">
        <v>722</v>
      </c>
      <c r="K990" s="204"/>
      <c r="L990" s="204"/>
      <c r="M990" s="204" t="s">
        <v>721</v>
      </c>
      <c r="N990" s="204"/>
      <c r="O990" s="204"/>
      <c r="P990" s="204"/>
      <c r="Q990" s="190">
        <f>0.005*1000*Q987</f>
        <v>421.46707463585926</v>
      </c>
      <c r="R990" s="190"/>
      <c r="S990" s="190"/>
      <c r="T990" s="190"/>
      <c r="U990" s="190">
        <f>0.005*1000*U987</f>
        <v>349.76708831269497</v>
      </c>
      <c r="V990" s="190"/>
      <c r="W990" s="190"/>
      <c r="X990" s="190"/>
      <c r="Y990" s="190">
        <f>0.005*1000*Y987</f>
        <v>421.46707463585926</v>
      </c>
      <c r="Z990" s="190"/>
      <c r="AA990" s="190"/>
      <c r="AB990" s="190"/>
      <c r="AH990" s="27"/>
      <c r="AI990" s="27"/>
      <c r="AJ990" s="27"/>
      <c r="AK990" s="27"/>
      <c r="AL990" s="27"/>
      <c r="AM990" s="27"/>
      <c r="AQ990" s="29"/>
    </row>
    <row r="991" spans="2:43" ht="19.5" customHeight="1">
      <c r="B991" s="4"/>
      <c r="E991" s="60"/>
      <c r="F991" s="52"/>
      <c r="G991" s="52"/>
      <c r="H991" s="52"/>
      <c r="I991" s="61"/>
      <c r="J991" s="232" t="s">
        <v>144</v>
      </c>
      <c r="K991" s="232"/>
      <c r="L991" s="232"/>
      <c r="M991" s="232"/>
      <c r="N991" s="232"/>
      <c r="O991" s="232"/>
      <c r="P991" s="233"/>
      <c r="Q991" s="190" t="str">
        <f>IF(Q$946&gt;=MAX(Q989,Q990),"O.K","N.G")</f>
        <v>O.K</v>
      </c>
      <c r="R991" s="190"/>
      <c r="S991" s="190"/>
      <c r="T991" s="190"/>
      <c r="U991" s="190" t="str">
        <f>IF(U$946&gt;=MAX(U989,U990),"O.K","N.G")</f>
        <v>O.K</v>
      </c>
      <c r="V991" s="190"/>
      <c r="W991" s="190"/>
      <c r="X991" s="190"/>
      <c r="Y991" s="190" t="str">
        <f>IF(Y$946&gt;=MAX(Y989,Y990),"O.K","N.G")</f>
        <v>O.K</v>
      </c>
      <c r="Z991" s="190"/>
      <c r="AA991" s="190"/>
      <c r="AB991" s="190"/>
      <c r="AH991" s="27"/>
      <c r="AI991" s="27"/>
      <c r="AJ991" s="27"/>
      <c r="AK991" s="27"/>
      <c r="AL991" s="27"/>
      <c r="AM991" s="27"/>
      <c r="AQ991" s="29"/>
    </row>
    <row r="992" spans="2:43" ht="19.5" customHeight="1">
      <c r="B992" s="4"/>
      <c r="D992" s="4"/>
      <c r="E992" s="4"/>
      <c r="F992" s="4"/>
      <c r="G992" s="4"/>
      <c r="H992" s="4"/>
      <c r="I992" s="4"/>
      <c r="J992" s="4"/>
      <c r="K992" s="4"/>
      <c r="L992" s="4"/>
      <c r="M992" s="4"/>
      <c r="AH992" s="27"/>
      <c r="AQ992" s="29"/>
    </row>
    <row r="993" spans="1:76" s="2" customFormat="1" ht="19.5" customHeight="1">
      <c r="A993" s="4"/>
      <c r="B993" s="4" t="s">
        <v>96</v>
      </c>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92" t="s">
        <v>935</v>
      </c>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row>
    <row r="994" spans="1:76" s="2" customFormat="1" ht="19.5" customHeight="1">
      <c r="A994" s="4"/>
      <c r="B994" s="4"/>
      <c r="C994" s="4"/>
      <c r="D994" s="4" t="s">
        <v>97</v>
      </c>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161"/>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row>
    <row r="995" spans="1:76" s="2" customFormat="1" ht="19.5" customHeight="1">
      <c r="A995" s="4"/>
      <c r="B995" s="4"/>
      <c r="C995" s="4" t="s">
        <v>98</v>
      </c>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161"/>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row>
    <row r="996" spans="1:76" s="2" customFormat="1" ht="19.5" customHeight="1">
      <c r="A996" s="4"/>
      <c r="B996" s="4"/>
      <c r="C996" s="4"/>
      <c r="D996" s="30" t="s">
        <v>113</v>
      </c>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row>
    <row r="997" spans="2:43" ht="19.5" customHeight="1">
      <c r="B997" s="4"/>
      <c r="C997" s="4"/>
      <c r="D997" s="4"/>
      <c r="E997" s="4"/>
      <c r="F997" s="4"/>
      <c r="G997" s="4"/>
      <c r="H997" s="4"/>
      <c r="I997" s="4"/>
      <c r="J997" s="4"/>
      <c r="L997" s="47"/>
      <c r="M997" s="47"/>
      <c r="P997" s="251">
        <f>R998-AB242</f>
        <v>182</v>
      </c>
      <c r="Q997" s="251">
        <f>R998-O242</f>
        <v>340</v>
      </c>
      <c r="AH997" s="27"/>
      <c r="AI997" s="27"/>
      <c r="AJ997" s="27"/>
      <c r="AK997" s="27"/>
      <c r="AL997" s="27"/>
      <c r="AM997" s="27"/>
      <c r="AN997" s="27"/>
      <c r="AO997" s="27"/>
      <c r="AQ997" s="29"/>
    </row>
    <row r="998" spans="2:43" ht="19.5" customHeight="1">
      <c r="B998" s="4"/>
      <c r="C998" s="4"/>
      <c r="D998" s="4"/>
      <c r="E998" s="4"/>
      <c r="F998" s="4"/>
      <c r="G998" s="4"/>
      <c r="H998" s="4"/>
      <c r="I998" s="4"/>
      <c r="J998" s="4"/>
      <c r="P998" s="251"/>
      <c r="Q998" s="251"/>
      <c r="R998" s="300">
        <f>AC240</f>
        <v>380</v>
      </c>
      <c r="AH998" s="27"/>
      <c r="AI998" s="27"/>
      <c r="AJ998" s="48" t="s">
        <v>730</v>
      </c>
      <c r="AK998" s="48" t="s">
        <v>731</v>
      </c>
      <c r="AL998" s="27"/>
      <c r="AN998" s="27"/>
      <c r="AO998" s="27"/>
      <c r="AQ998" s="29"/>
    </row>
    <row r="999" spans="2:43" ht="19.5" customHeight="1">
      <c r="B999" s="4"/>
      <c r="C999" s="4"/>
      <c r="D999" s="4"/>
      <c r="E999" s="4"/>
      <c r="F999" s="4"/>
      <c r="G999" s="4"/>
      <c r="H999" s="4"/>
      <c r="I999" s="4"/>
      <c r="J999" s="4"/>
      <c r="P999" s="48" t="s">
        <v>732</v>
      </c>
      <c r="Q999" s="48" t="s">
        <v>733</v>
      </c>
      <c r="R999" s="300"/>
      <c r="AH999" s="27"/>
      <c r="AI999" s="27"/>
      <c r="AJ999" s="27"/>
      <c r="AK999" s="27"/>
      <c r="AL999" s="27"/>
      <c r="AM999" s="27"/>
      <c r="AN999" s="27"/>
      <c r="AO999" s="27"/>
      <c r="AQ999" s="29"/>
    </row>
    <row r="1000" spans="2:43" ht="19.5" customHeight="1">
      <c r="B1000" s="4"/>
      <c r="C1000" s="4"/>
      <c r="D1000" s="4"/>
      <c r="E1000" s="4"/>
      <c r="F1000" s="4"/>
      <c r="G1000" s="4"/>
      <c r="H1000" s="4"/>
      <c r="I1000" s="4"/>
      <c r="Q1000" s="107"/>
      <c r="AH1000" s="27"/>
      <c r="AI1000" s="27"/>
      <c r="AJ1000" s="27"/>
      <c r="AK1000" s="27"/>
      <c r="AL1000" s="27"/>
      <c r="AM1000" s="27"/>
      <c r="AN1000" s="27"/>
      <c r="AO1000" s="27"/>
      <c r="AQ1000" s="29"/>
    </row>
    <row r="1001" spans="2:44" ht="19.5" customHeight="1">
      <c r="B1001" s="4"/>
      <c r="C1001" s="4"/>
      <c r="D1001" s="4"/>
      <c r="E1001" s="4"/>
      <c r="F1001" s="4"/>
      <c r="G1001" s="4"/>
      <c r="H1001" s="4"/>
      <c r="I1001" s="4"/>
      <c r="AH1001" s="27"/>
      <c r="AI1001" s="27"/>
      <c r="AJ1001" s="27"/>
      <c r="AK1001" s="27"/>
      <c r="AL1001" s="27"/>
      <c r="AM1001" s="27"/>
      <c r="AN1001" s="27"/>
      <c r="AO1001" s="27"/>
      <c r="AP1001" s="27"/>
      <c r="AQ1001" s="29"/>
      <c r="AR1001" s="29"/>
    </row>
    <row r="1002" spans="1:76" s="2" customFormat="1" ht="19.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row>
    <row r="1003" spans="1:76" s="2" customFormat="1" ht="19.5" customHeight="1">
      <c r="A1003" s="4"/>
      <c r="B1003" s="4"/>
      <c r="C1003" s="4"/>
      <c r="D1003" s="4" t="s">
        <v>99</v>
      </c>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row>
    <row r="1004" spans="1:76" s="2" customFormat="1" ht="19.5" customHeight="1">
      <c r="A1004" s="4"/>
      <c r="B1004" s="4"/>
      <c r="C1004" s="4"/>
      <c r="D1004" s="4" t="s">
        <v>100</v>
      </c>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row>
    <row r="1005" spans="1:76" s="2" customFormat="1" ht="19.5" customHeight="1">
      <c r="A1005" s="4"/>
      <c r="B1005" s="4"/>
      <c r="C1005" s="4"/>
      <c r="D1005" s="4"/>
      <c r="E1005" s="4" t="s">
        <v>734</v>
      </c>
      <c r="F1005" s="4"/>
      <c r="G1005" s="30" t="s">
        <v>735</v>
      </c>
      <c r="H1005" s="4"/>
      <c r="I1005" s="4"/>
      <c r="J1005" s="4"/>
      <c r="K1005" s="4"/>
      <c r="L1005" s="4" t="s">
        <v>1360</v>
      </c>
      <c r="M1005" s="38">
        <f>AI244</f>
        <v>2292</v>
      </c>
      <c r="N1005" s="38"/>
      <c r="O1005" s="38"/>
      <c r="P1005" s="4" t="s">
        <v>1026</v>
      </c>
      <c r="Q1005" s="330">
        <v>345</v>
      </c>
      <c r="R1005" s="330"/>
      <c r="S1005" s="30" t="s">
        <v>736</v>
      </c>
      <c r="T1005" s="4"/>
      <c r="U1005" s="4"/>
      <c r="V1005" s="4" t="s">
        <v>1360</v>
      </c>
      <c r="W1005" s="244">
        <f>M1005*Q1005/1000</f>
        <v>790.74</v>
      </c>
      <c r="X1005" s="244"/>
      <c r="Y1005" s="244"/>
      <c r="Z1005" s="4" t="s">
        <v>737</v>
      </c>
      <c r="AA1005" s="4"/>
      <c r="AB1005" s="4"/>
      <c r="AC1005" s="4"/>
      <c r="AD1005" s="4"/>
      <c r="AE1005" s="4"/>
      <c r="AF1005" s="4"/>
      <c r="AG1005" s="4"/>
      <c r="AH1005" s="4"/>
      <c r="AI1005" s="4"/>
      <c r="AJ1005" s="4"/>
      <c r="AK1005" s="4"/>
      <c r="AL1005" s="4"/>
      <c r="AM1005" s="4"/>
      <c r="AN1005" s="4"/>
      <c r="AO1005" s="4"/>
      <c r="AP1005" s="4"/>
      <c r="AQ1005" s="4"/>
      <c r="AR1005" s="43"/>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row>
    <row r="1006" spans="1:76" s="2" customFormat="1" ht="19.5" customHeight="1">
      <c r="A1006" s="4"/>
      <c r="B1006" s="4"/>
      <c r="C1006" s="4"/>
      <c r="D1006" s="4"/>
      <c r="E1006" s="4" t="s">
        <v>738</v>
      </c>
      <c r="F1006" s="4"/>
      <c r="G1006" s="30" t="s">
        <v>739</v>
      </c>
      <c r="H1006" s="4"/>
      <c r="I1006" s="4"/>
      <c r="J1006" s="4"/>
      <c r="K1006" s="4"/>
      <c r="L1006" s="4"/>
      <c r="M1006" s="4"/>
      <c r="N1006" s="4"/>
      <c r="O1006" s="4" t="s">
        <v>1360</v>
      </c>
      <c r="P1006" s="38">
        <f>AG241</f>
        <v>2503.2</v>
      </c>
      <c r="Q1006" s="38"/>
      <c r="R1006" s="38"/>
      <c r="S1006" s="4" t="s">
        <v>1026</v>
      </c>
      <c r="T1006" s="245">
        <v>0.93</v>
      </c>
      <c r="U1006" s="245"/>
      <c r="V1006" s="245"/>
      <c r="W1006" s="4" t="s">
        <v>1026</v>
      </c>
      <c r="X1006" s="330">
        <v>1831</v>
      </c>
      <c r="Y1006" s="330"/>
      <c r="Z1006" s="330"/>
      <c r="AA1006" s="30" t="s">
        <v>736</v>
      </c>
      <c r="AB1006" s="4"/>
      <c r="AC1006" s="4"/>
      <c r="AD1006" s="4" t="s">
        <v>1360</v>
      </c>
      <c r="AE1006" s="244">
        <f>P1006*T1006*X1006/1000</f>
        <v>4262.524056</v>
      </c>
      <c r="AF1006" s="244"/>
      <c r="AG1006" s="244"/>
      <c r="AH1006" s="4" t="s">
        <v>737</v>
      </c>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row>
    <row r="1007" spans="1:76" s="2" customFormat="1" ht="19.5" customHeight="1">
      <c r="A1007" s="4"/>
      <c r="B1007" s="4"/>
      <c r="C1007" s="4"/>
      <c r="D1007" s="4" t="s">
        <v>101</v>
      </c>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row>
    <row r="1008" spans="1:76" s="2" customFormat="1" ht="19.5" customHeight="1">
      <c r="A1008" s="4"/>
      <c r="B1008" s="4"/>
      <c r="C1008" s="4"/>
      <c r="D1008" s="4"/>
      <c r="E1008" s="4" t="s">
        <v>740</v>
      </c>
      <c r="F1008" s="4"/>
      <c r="G1008" s="4" t="s">
        <v>1356</v>
      </c>
      <c r="H1008" s="4" t="s">
        <v>741</v>
      </c>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row>
    <row r="1009" spans="1:76" s="2" customFormat="1" ht="19.5" customHeight="1">
      <c r="A1009" s="4"/>
      <c r="B1009" s="4"/>
      <c r="C1009" s="4"/>
      <c r="D1009" s="4"/>
      <c r="E1009" s="4"/>
      <c r="F1009" s="4"/>
      <c r="G1009" s="4" t="s">
        <v>1356</v>
      </c>
      <c r="H1009" s="245">
        <v>0.85</v>
      </c>
      <c r="I1009" s="245"/>
      <c r="J1009" s="245"/>
      <c r="K1009" s="4" t="s">
        <v>654</v>
      </c>
      <c r="L1009" s="252">
        <f>T677</f>
        <v>40</v>
      </c>
      <c r="M1009" s="252"/>
      <c r="N1009" s="4" t="s">
        <v>654</v>
      </c>
      <c r="O1009" s="318">
        <f>IF(L1009&lt;=50,0.8,IF(L1009&gt;=60,0.72,0.8-(L1009-50)*0.008))</f>
        <v>0.8</v>
      </c>
      <c r="P1009" s="318"/>
      <c r="Q1009" s="318"/>
      <c r="R1009" s="4" t="s">
        <v>742</v>
      </c>
      <c r="S1009" s="4" t="s">
        <v>1356</v>
      </c>
      <c r="T1009" s="50">
        <f>H1009*L1009*O1009</f>
        <v>27.200000000000003</v>
      </c>
      <c r="U1009" s="50"/>
      <c r="V1009" s="50"/>
      <c r="W1009" s="4" t="s">
        <v>742</v>
      </c>
      <c r="X1009" s="4"/>
      <c r="Y1009" s="4" t="s">
        <v>743</v>
      </c>
      <c r="Z1009" s="4"/>
      <c r="AA1009" s="4"/>
      <c r="AB1009" s="4"/>
      <c r="AC1009" s="4"/>
      <c r="AD1009" s="4"/>
      <c r="AE1009" s="4"/>
      <c r="AF1009" s="4"/>
      <c r="AG1009" s="4"/>
      <c r="AH1009" s="4"/>
      <c r="AI1009" s="4"/>
      <c r="AJ1009" s="4"/>
      <c r="AK1009" s="4"/>
      <c r="AL1009" s="4"/>
      <c r="AM1009" s="4"/>
      <c r="AN1009" s="4"/>
      <c r="AO1009" s="4"/>
      <c r="AP1009" s="4"/>
      <c r="AQ1009" s="4"/>
      <c r="AR1009" s="51"/>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row>
    <row r="1010" spans="1:76" s="2" customFormat="1" ht="19.5" customHeight="1">
      <c r="A1010" s="4"/>
      <c r="B1010" s="4"/>
      <c r="C1010" s="4"/>
      <c r="D1010" s="4" t="s">
        <v>744</v>
      </c>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51"/>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row>
    <row r="1011" spans="1:76" s="2" customFormat="1" ht="19.5" customHeight="1">
      <c r="A1011" s="4"/>
      <c r="B1011" s="4"/>
      <c r="C1011" s="4"/>
      <c r="D1011" s="4"/>
      <c r="E1011" s="235" t="s">
        <v>740</v>
      </c>
      <c r="F1011" s="235"/>
      <c r="G1011" s="235"/>
      <c r="H1011" s="235"/>
      <c r="I1011" s="4" t="s">
        <v>1356</v>
      </c>
      <c r="J1011" s="4" t="s">
        <v>745</v>
      </c>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51"/>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row>
    <row r="1012" spans="1:76" s="2" customFormat="1" ht="19.5" customHeight="1">
      <c r="A1012" s="4"/>
      <c r="B1012" s="4"/>
      <c r="C1012" s="4"/>
      <c r="D1012" s="4"/>
      <c r="E1012" s="50">
        <f>T1009</f>
        <v>27.200000000000003</v>
      </c>
      <c r="F1012" s="50"/>
      <c r="G1012" s="50"/>
      <c r="H1012" s="4" t="s">
        <v>742</v>
      </c>
      <c r="I1012" s="4" t="s">
        <v>1356</v>
      </c>
      <c r="J1012" s="244">
        <f>W1005</f>
        <v>790.74</v>
      </c>
      <c r="K1012" s="244"/>
      <c r="L1012" s="244"/>
      <c r="M1012" s="4" t="s">
        <v>746</v>
      </c>
      <c r="N1012" s="244">
        <f>AE1006</f>
        <v>4262.524056</v>
      </c>
      <c r="O1012" s="244"/>
      <c r="P1012" s="244"/>
      <c r="Q1012" s="4" t="s">
        <v>1356</v>
      </c>
      <c r="R1012" s="244">
        <f>J1012+N1012</f>
        <v>5053.264056</v>
      </c>
      <c r="S1012" s="244"/>
      <c r="T1012" s="244"/>
      <c r="U1012" s="4" t="s">
        <v>743</v>
      </c>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row>
    <row r="1013" spans="1:76" s="2" customFormat="1" ht="19.5" customHeight="1">
      <c r="A1013" s="4"/>
      <c r="B1013" s="4"/>
      <c r="C1013" s="4"/>
      <c r="D1013" s="4"/>
      <c r="E1013" s="4"/>
      <c r="F1013" s="4" t="s">
        <v>742</v>
      </c>
      <c r="G1013" s="4"/>
      <c r="H1013" s="4"/>
      <c r="I1013" s="4" t="s">
        <v>1356</v>
      </c>
      <c r="J1013" s="244">
        <f>R1012/E1012</f>
        <v>185.78176676470585</v>
      </c>
      <c r="K1013" s="244"/>
      <c r="L1013" s="244"/>
      <c r="M1013" s="4" t="s">
        <v>747</v>
      </c>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row>
    <row r="1014" spans="1:76" s="2" customFormat="1" ht="19.5" customHeight="1">
      <c r="A1014" s="4"/>
      <c r="B1014" s="4"/>
      <c r="C1014" s="4"/>
      <c r="D1014" s="4" t="s">
        <v>102</v>
      </c>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row>
    <row r="1015" spans="1:76" s="2" customFormat="1" ht="19.5" customHeight="1">
      <c r="A1015" s="4"/>
      <c r="B1015" s="4"/>
      <c r="C1015" s="4"/>
      <c r="D1015" s="4"/>
      <c r="E1015" s="225" t="s">
        <v>748</v>
      </c>
      <c r="F1015" s="225"/>
      <c r="G1015" s="235" t="s">
        <v>256</v>
      </c>
      <c r="H1015" s="225" t="s">
        <v>749</v>
      </c>
      <c r="I1015" s="225"/>
      <c r="J1015" s="225"/>
      <c r="K1015" s="225"/>
      <c r="L1015" s="235" t="s">
        <v>256</v>
      </c>
      <c r="M1015" s="53"/>
      <c r="N1015" s="225" t="s">
        <v>750</v>
      </c>
      <c r="O1015" s="225"/>
      <c r="P1015" s="53"/>
      <c r="Q1015" s="4"/>
      <c r="R1015" s="249" t="s">
        <v>103</v>
      </c>
      <c r="S1015" s="249"/>
      <c r="T1015" s="249"/>
      <c r="U1015" s="249"/>
      <c r="V1015" s="249"/>
      <c r="W1015" s="249"/>
      <c r="X1015" s="249"/>
      <c r="Y1015" s="249"/>
      <c r="Z1015" s="249"/>
      <c r="AA1015" s="249"/>
      <c r="AB1015" s="249"/>
      <c r="AC1015" s="249"/>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row>
    <row r="1016" spans="1:76" s="2" customFormat="1" ht="19.5" customHeight="1">
      <c r="A1016" s="4"/>
      <c r="B1016" s="4"/>
      <c r="C1016" s="4"/>
      <c r="D1016" s="4"/>
      <c r="E1016" s="235" t="s">
        <v>725</v>
      </c>
      <c r="F1016" s="235"/>
      <c r="G1016" s="235"/>
      <c r="H1016" s="235" t="s">
        <v>751</v>
      </c>
      <c r="I1016" s="235"/>
      <c r="J1016" s="235"/>
      <c r="K1016" s="235"/>
      <c r="L1016" s="235"/>
      <c r="M1016" s="235" t="s">
        <v>752</v>
      </c>
      <c r="N1016" s="235"/>
      <c r="O1016" s="235"/>
      <c r="P1016" s="235"/>
      <c r="Q1016" s="4"/>
      <c r="R1016" s="249"/>
      <c r="S1016" s="249"/>
      <c r="T1016" s="249"/>
      <c r="U1016" s="249"/>
      <c r="V1016" s="249"/>
      <c r="W1016" s="249"/>
      <c r="X1016" s="249"/>
      <c r="Y1016" s="249"/>
      <c r="Z1016" s="249"/>
      <c r="AA1016" s="249"/>
      <c r="AB1016" s="249"/>
      <c r="AC1016" s="249"/>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row>
    <row r="1017" spans="1:76" s="2" customFormat="1" ht="19.5" customHeight="1">
      <c r="A1017" s="4"/>
      <c r="B1017" s="4"/>
      <c r="C1017" s="4"/>
      <c r="D1017" s="4"/>
      <c r="E1017" s="4" t="s">
        <v>753</v>
      </c>
      <c r="F1017" s="4"/>
      <c r="G1017" s="4" t="s">
        <v>1360</v>
      </c>
      <c r="H1017" s="4" t="s">
        <v>754</v>
      </c>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51"/>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row>
    <row r="1018" spans="1:76" s="2" customFormat="1" ht="19.5" customHeight="1">
      <c r="A1018" s="4"/>
      <c r="B1018" s="4"/>
      <c r="C1018" s="4"/>
      <c r="D1018" s="4"/>
      <c r="E1018" s="4"/>
      <c r="F1018" s="4"/>
      <c r="G1018" s="4" t="s">
        <v>1360</v>
      </c>
      <c r="H1018" s="247">
        <f>IF(L1009&lt;=50,0.0035,IF(L1009&gt;=60,0.0025,0.0035-(L1009-50)*0.0001))</f>
        <v>0.0035</v>
      </c>
      <c r="I1018" s="247"/>
      <c r="J1018" s="247"/>
      <c r="K1018" s="30" t="s">
        <v>755</v>
      </c>
      <c r="L1018" s="244">
        <f>J1013</f>
        <v>185.78176676470585</v>
      </c>
      <c r="M1018" s="244"/>
      <c r="N1018" s="244"/>
      <c r="O1018" s="4" t="s">
        <v>1026</v>
      </c>
      <c r="P1018" s="4" t="s">
        <v>1359</v>
      </c>
      <c r="Q1018" s="244">
        <f>Q997</f>
        <v>340</v>
      </c>
      <c r="R1018" s="244"/>
      <c r="S1018" s="244"/>
      <c r="T1018" s="4" t="s">
        <v>1387</v>
      </c>
      <c r="U1018" s="244">
        <f>J1013</f>
        <v>185.78176676470585</v>
      </c>
      <c r="V1018" s="244"/>
      <c r="W1018" s="244"/>
      <c r="X1018" s="4" t="s">
        <v>489</v>
      </c>
      <c r="Y1018" s="4"/>
      <c r="Z1018" s="4"/>
      <c r="AA1018" s="4"/>
      <c r="AB1018" s="4"/>
      <c r="AC1018" s="4"/>
      <c r="AD1018" s="4"/>
      <c r="AE1018" s="4"/>
      <c r="AF1018" s="4"/>
      <c r="AG1018" s="4"/>
      <c r="AH1018" s="4"/>
      <c r="AI1018" s="4"/>
      <c r="AJ1018" s="4"/>
      <c r="AK1018" s="4"/>
      <c r="AL1018" s="4"/>
      <c r="AM1018" s="4"/>
      <c r="AN1018" s="4"/>
      <c r="AO1018" s="4"/>
      <c r="AP1018" s="4"/>
      <c r="AQ1018" s="4"/>
      <c r="AR1018" s="51"/>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row>
    <row r="1019" spans="1:76" s="2" customFormat="1" ht="19.5" customHeight="1">
      <c r="A1019" s="4"/>
      <c r="B1019" s="4"/>
      <c r="C1019" s="4"/>
      <c r="D1019" s="4"/>
      <c r="E1019" s="4"/>
      <c r="F1019" s="4"/>
      <c r="G1019" s="4" t="s">
        <v>1360</v>
      </c>
      <c r="H1019" s="248">
        <f>H1018/L1018*(Q1018-U1018)</f>
        <v>0.002905364857505876</v>
      </c>
      <c r="I1019" s="248"/>
      <c r="J1019" s="248"/>
      <c r="K1019" s="4"/>
      <c r="L1019" s="4" t="str">
        <f>IF(H1019&gt;=AF1019,"&gt;","&lt;")</f>
        <v>&gt;</v>
      </c>
      <c r="M1019" s="4"/>
      <c r="N1019" s="4" t="s">
        <v>756</v>
      </c>
      <c r="O1019" s="4"/>
      <c r="P1019" s="4" t="s">
        <v>1360</v>
      </c>
      <c r="Q1019" s="4" t="s">
        <v>757</v>
      </c>
      <c r="R1019" s="4"/>
      <c r="S1019" s="4"/>
      <c r="T1019" s="4"/>
      <c r="U1019" s="4" t="s">
        <v>1360</v>
      </c>
      <c r="V1019" s="40">
        <f>Q1005</f>
        <v>345</v>
      </c>
      <c r="W1019" s="40"/>
      <c r="X1019" s="30" t="s">
        <v>755</v>
      </c>
      <c r="Y1019" s="250">
        <f>U509</f>
        <v>2</v>
      </c>
      <c r="Z1019" s="250"/>
      <c r="AA1019" s="250"/>
      <c r="AB1019" s="27" t="s">
        <v>1026</v>
      </c>
      <c r="AC1019" s="39" t="s">
        <v>412</v>
      </c>
      <c r="AD1019" s="29"/>
      <c r="AE1019" s="4" t="s">
        <v>1360</v>
      </c>
      <c r="AF1019" s="248">
        <f>V1019/Y1019/100000</f>
        <v>0.001725</v>
      </c>
      <c r="AG1019" s="248"/>
      <c r="AH1019" s="248"/>
      <c r="AI1019" s="4"/>
      <c r="AJ1019" s="4" t="str">
        <f>IF(H1019&gt;=AF1019,"→ 降伏","→ 降伏しない")</f>
        <v>→ 降伏</v>
      </c>
      <c r="AK1019" s="4"/>
      <c r="AL1019" s="4"/>
      <c r="AM1019" s="4"/>
      <c r="AN1019" s="4"/>
      <c r="AO1019" s="4"/>
      <c r="AP1019" s="4"/>
      <c r="AQ1019" s="4"/>
      <c r="AR1019" s="51"/>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row>
    <row r="1020" spans="1:76" s="2" customFormat="1" ht="19.5" customHeight="1">
      <c r="A1020" s="4"/>
      <c r="B1020" s="4"/>
      <c r="C1020" s="4"/>
      <c r="D1020" s="4"/>
      <c r="E1020" s="4" t="s">
        <v>758</v>
      </c>
      <c r="F1020" s="4"/>
      <c r="G1020" s="4" t="s">
        <v>1360</v>
      </c>
      <c r="H1020" s="4" t="s">
        <v>759</v>
      </c>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row>
    <row r="1021" spans="1:76" s="2" customFormat="1" ht="19.5" customHeight="1">
      <c r="A1021" s="4"/>
      <c r="B1021" s="4"/>
      <c r="C1021" s="4"/>
      <c r="D1021" s="4"/>
      <c r="E1021" s="4"/>
      <c r="F1021" s="4"/>
      <c r="G1021" s="4" t="s">
        <v>1360</v>
      </c>
      <c r="H1021" s="247">
        <f>H1018</f>
        <v>0.0035</v>
      </c>
      <c r="I1021" s="247"/>
      <c r="J1021" s="247"/>
      <c r="K1021" s="30" t="s">
        <v>755</v>
      </c>
      <c r="L1021" s="244">
        <f>J1013</f>
        <v>185.78176676470585</v>
      </c>
      <c r="M1021" s="244"/>
      <c r="N1021" s="244"/>
      <c r="O1021" s="4" t="s">
        <v>1026</v>
      </c>
      <c r="P1021" s="4" t="s">
        <v>1359</v>
      </c>
      <c r="Q1021" s="244">
        <f>P997</f>
        <v>182</v>
      </c>
      <c r="R1021" s="244"/>
      <c r="S1021" s="244"/>
      <c r="T1021" s="4" t="s">
        <v>1387</v>
      </c>
      <c r="U1021" s="244">
        <f>U1018</f>
        <v>185.78176676470585</v>
      </c>
      <c r="V1021" s="244"/>
      <c r="W1021" s="244"/>
      <c r="X1021" s="4" t="s">
        <v>489</v>
      </c>
      <c r="Y1021" s="4" t="s">
        <v>1027</v>
      </c>
      <c r="Z1021" s="244">
        <f>R892</f>
        <v>1038.5812711711762</v>
      </c>
      <c r="AA1021" s="244"/>
      <c r="AB1021" s="244"/>
      <c r="AC1021" s="30" t="s">
        <v>755</v>
      </c>
      <c r="AD1021" s="250">
        <f>Y1019</f>
        <v>2</v>
      </c>
      <c r="AE1021" s="250"/>
      <c r="AF1021" s="250"/>
      <c r="AG1021" s="27" t="s">
        <v>1026</v>
      </c>
      <c r="AH1021" s="39" t="s">
        <v>412</v>
      </c>
      <c r="AI1021" s="29"/>
      <c r="AJ1021" s="4"/>
      <c r="AK1021" s="4"/>
      <c r="AL1021" s="4"/>
      <c r="AM1021" s="4"/>
      <c r="AN1021" s="4"/>
      <c r="AO1021" s="4"/>
      <c r="AP1021" s="4"/>
      <c r="AQ1021" s="4"/>
      <c r="AR1021" s="43"/>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row>
    <row r="1022" spans="1:76" s="2" customFormat="1" ht="19.5" customHeight="1">
      <c r="A1022" s="4"/>
      <c r="B1022" s="4"/>
      <c r="C1022" s="4"/>
      <c r="D1022" s="4"/>
      <c r="E1022" s="4"/>
      <c r="F1022" s="4"/>
      <c r="G1022" s="4" t="s">
        <v>1360</v>
      </c>
      <c r="H1022" s="248">
        <f>H1021/L1021*(Q1021-U1021)+Z1021/AD1021/100000</f>
        <v>0.005121660485461968</v>
      </c>
      <c r="I1022" s="248"/>
      <c r="J1022" s="248"/>
      <c r="K1022" s="4"/>
      <c r="L1022" s="4" t="str">
        <f>IF(H1022&gt;=N1022,"&gt;","&lt;")</f>
        <v>&lt;</v>
      </c>
      <c r="M1022" s="4"/>
      <c r="N1022" s="248">
        <v>0.015</v>
      </c>
      <c r="O1022" s="248"/>
      <c r="P1022" s="248"/>
      <c r="Q1022" s="4"/>
      <c r="R1022" s="4" t="str">
        <f>IF(H1022&gt;=N1022,"→ 降伏","→ 降伏しない")</f>
        <v>→ 降伏しない</v>
      </c>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row>
    <row r="1023" spans="1:76" s="2" customFormat="1" ht="19.5" customHeight="1">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row>
    <row r="1024" spans="1:76" s="2" customFormat="1" ht="19.5" customHeight="1">
      <c r="A1024" s="4" t="s">
        <v>1366</v>
      </c>
      <c r="B1024" s="4"/>
      <c r="C1024" s="4"/>
      <c r="D1024" s="4" t="s">
        <v>1388</v>
      </c>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row>
    <row r="1025" spans="1:76" s="2" customFormat="1" ht="19.5" customHeight="1">
      <c r="A1025" s="4"/>
      <c r="B1025" s="4"/>
      <c r="C1025" s="4"/>
      <c r="D1025" s="4" t="s">
        <v>104</v>
      </c>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row>
    <row r="1026" spans="1:76" s="2" customFormat="1" ht="19.5" customHeight="1">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row>
    <row r="1027" spans="1:76" s="2" customFormat="1" ht="19.5" customHeight="1">
      <c r="A1027" s="4"/>
      <c r="B1027" s="4"/>
      <c r="C1027" s="4"/>
      <c r="D1027" s="4"/>
      <c r="E1027" s="4"/>
      <c r="F1027" s="4"/>
      <c r="G1027" s="4"/>
      <c r="H1027" s="4"/>
      <c r="I1027" s="4"/>
      <c r="J1027" s="4"/>
      <c r="K1027" s="4"/>
      <c r="L1027" s="4"/>
      <c r="M1027" s="4"/>
      <c r="N1027" s="4"/>
      <c r="O1027" s="4" t="str">
        <f>"σ ="&amp;ROUND(H1029,1)&amp;"+("&amp;ROUND(H1028,1)&amp;"-"&amp;ROUND(H1029,1)&amp;")/(0.015-0.00756)×(εp-0.00756)"</f>
        <v>σ =1538+(1702.8-1538)/(0.015-0.00756)×(εp-0.00756)</v>
      </c>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row>
    <row r="1028" spans="1:76" s="2" customFormat="1" ht="19.5" customHeight="1">
      <c r="A1028" s="4"/>
      <c r="B1028" s="4"/>
      <c r="C1028" s="4"/>
      <c r="D1028" s="4" t="s">
        <v>760</v>
      </c>
      <c r="E1028" s="4"/>
      <c r="F1028" s="4"/>
      <c r="G1028" s="4"/>
      <c r="H1028" s="244">
        <f>X1006*0.93</f>
        <v>1702.8300000000002</v>
      </c>
      <c r="I1028" s="244"/>
      <c r="J1028" s="244"/>
      <c r="K1028" s="4" t="s">
        <v>670</v>
      </c>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row>
    <row r="1029" spans="1:76" s="2" customFormat="1" ht="19.5" customHeight="1">
      <c r="A1029" s="4"/>
      <c r="B1029" s="4"/>
      <c r="C1029" s="4"/>
      <c r="D1029" s="4" t="s">
        <v>761</v>
      </c>
      <c r="E1029" s="4"/>
      <c r="F1029" s="4"/>
      <c r="G1029" s="4"/>
      <c r="H1029" s="244">
        <f>X1006*0.84</f>
        <v>1538.04</v>
      </c>
      <c r="I1029" s="244"/>
      <c r="J1029" s="244"/>
      <c r="K1029" s="4" t="s">
        <v>670</v>
      </c>
      <c r="L1029" s="4"/>
      <c r="M1029" s="4"/>
      <c r="N1029" s="4"/>
      <c r="O1029" s="4"/>
      <c r="P1029" s="4"/>
      <c r="Q1029" s="4"/>
      <c r="R1029" s="4"/>
      <c r="S1029" s="4"/>
      <c r="T1029" s="4"/>
      <c r="U1029" s="4"/>
      <c r="V1029" s="4"/>
      <c r="W1029" s="4"/>
      <c r="X1029" s="4"/>
      <c r="Y1029" s="4"/>
      <c r="Z1029" s="4"/>
      <c r="AA1029" s="4"/>
      <c r="AB1029" s="4"/>
      <c r="AC1029" s="4" t="s">
        <v>762</v>
      </c>
      <c r="AD1029" s="4"/>
      <c r="AE1029" s="4"/>
      <c r="AF1029" s="4"/>
      <c r="AG1029" s="244">
        <f>H1028</f>
        <v>1702.8300000000002</v>
      </c>
      <c r="AH1029" s="244"/>
      <c r="AI1029" s="244"/>
      <c r="AJ1029" s="4" t="s">
        <v>1389</v>
      </c>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row>
    <row r="1030" spans="1:76" s="2" customFormat="1" ht="19.5" customHeight="1">
      <c r="A1030" s="4"/>
      <c r="B1030" s="4"/>
      <c r="C1030" s="4"/>
      <c r="D1030" s="4"/>
      <c r="E1030" s="4"/>
      <c r="F1030" s="4"/>
      <c r="G1030" s="4"/>
      <c r="H1030" s="4"/>
      <c r="I1030" s="4"/>
      <c r="J1030" s="4"/>
      <c r="K1030" s="4"/>
      <c r="L1030" s="4"/>
      <c r="M1030" s="4"/>
      <c r="N1030" s="4"/>
      <c r="O1030" s="4"/>
      <c r="P1030" s="4"/>
      <c r="Q1030" s="4"/>
      <c r="R1030" s="4"/>
      <c r="S1030" s="4"/>
      <c r="T1030" s="4"/>
      <c r="U1030" s="4" t="s">
        <v>763</v>
      </c>
      <c r="V1030" s="4"/>
      <c r="W1030" s="4"/>
      <c r="X1030" s="4"/>
      <c r="Y1030" s="244">
        <f>H1029</f>
        <v>1538.04</v>
      </c>
      <c r="Z1030" s="244"/>
      <c r="AA1030" s="244"/>
      <c r="AB1030" s="4" t="s">
        <v>1389</v>
      </c>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row>
    <row r="1031" spans="1:76" s="2" customFormat="1" ht="19.5" customHeight="1">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row>
    <row r="1032" spans="1:76" s="2" customFormat="1" ht="19.5" customHeight="1">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row>
    <row r="1033" spans="1:76" s="2" customFormat="1" ht="19.5" customHeight="1">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row>
    <row r="1034" spans="1:76" s="2" customFormat="1" ht="19.5" customHeight="1">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row>
    <row r="1035" spans="1:76" s="2" customFormat="1" ht="19.5" customHeight="1">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row>
    <row r="1036" spans="1:76" s="2" customFormat="1" ht="19.5" customHeight="1">
      <c r="A1036" s="4"/>
      <c r="B1036" s="4"/>
      <c r="C1036" s="4"/>
      <c r="D1036" s="4"/>
      <c r="E1036" s="4"/>
      <c r="F1036" s="4"/>
      <c r="G1036" s="4"/>
      <c r="H1036" s="4"/>
      <c r="I1036" s="4"/>
      <c r="J1036" s="4"/>
      <c r="K1036" s="4"/>
      <c r="L1036" s="4"/>
      <c r="M1036" s="4"/>
      <c r="N1036" s="4"/>
      <c r="O1036" s="4"/>
      <c r="P1036" s="4"/>
      <c r="Q1036" s="4"/>
      <c r="R1036" s="55" t="s">
        <v>1405</v>
      </c>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row>
    <row r="1037" spans="1:76" s="2" customFormat="1" ht="19.5" customHeight="1">
      <c r="A1037" s="4"/>
      <c r="B1037" s="4"/>
      <c r="C1037" s="4"/>
      <c r="D1037" s="4"/>
      <c r="E1037" s="4" t="s">
        <v>764</v>
      </c>
      <c r="F1037" s="4"/>
      <c r="G1037" s="4" t="s">
        <v>290</v>
      </c>
      <c r="H1037" s="244">
        <f>H1029</f>
        <v>1538.04</v>
      </c>
      <c r="I1037" s="244"/>
      <c r="J1037" s="244"/>
      <c r="K1037" s="4" t="s">
        <v>344</v>
      </c>
      <c r="L1037" s="4" t="s">
        <v>1357</v>
      </c>
      <c r="M1037" s="244">
        <f>H1028</f>
        <v>1702.8300000000002</v>
      </c>
      <c r="N1037" s="244"/>
      <c r="O1037" s="244"/>
      <c r="P1037" s="4" t="s">
        <v>765</v>
      </c>
      <c r="Q1037" s="244">
        <f>H1029</f>
        <v>1538.04</v>
      </c>
      <c r="R1037" s="244"/>
      <c r="S1037" s="244"/>
      <c r="T1037" s="4" t="s">
        <v>766</v>
      </c>
      <c r="U1037" s="4"/>
      <c r="V1037" s="4"/>
      <c r="W1037" s="4"/>
      <c r="X1037" s="4"/>
      <c r="Y1037" s="4"/>
      <c r="Z1037" s="4"/>
      <c r="AA1037" s="4"/>
      <c r="AB1037" s="4" t="s">
        <v>767</v>
      </c>
      <c r="AC1037" s="4"/>
      <c r="AD1037" s="4"/>
      <c r="AE1037" s="4"/>
      <c r="AF1037" s="30" t="s">
        <v>768</v>
      </c>
      <c r="AG1037" s="4"/>
      <c r="AH1037" s="4"/>
      <c r="AI1037" s="4"/>
      <c r="AJ1037" s="4"/>
      <c r="AK1037" s="30" t="s">
        <v>769</v>
      </c>
      <c r="AL1037" s="4"/>
      <c r="AM1037" s="4"/>
      <c r="AN1037" s="4"/>
      <c r="AO1037" s="4"/>
      <c r="AP1037" s="4"/>
      <c r="AQ1037" s="4"/>
      <c r="AR1037" s="4"/>
      <c r="AS1037" s="4"/>
      <c r="AT1037" s="4"/>
      <c r="AU1037" s="244"/>
      <c r="AV1037" s="244"/>
      <c r="AW1037" s="244"/>
      <c r="AX1037" s="244"/>
      <c r="AY1037" s="4"/>
      <c r="AZ1037" s="4"/>
      <c r="BA1037" s="4"/>
      <c r="BB1037" s="244"/>
      <c r="BC1037" s="244"/>
      <c r="BD1037" s="244"/>
      <c r="BE1037" s="244"/>
      <c r="BF1037" s="43"/>
      <c r="BG1037" s="4"/>
      <c r="BH1037" s="4"/>
      <c r="BI1037" s="4"/>
      <c r="BJ1037" s="4"/>
      <c r="BK1037" s="4"/>
      <c r="BL1037" s="4"/>
      <c r="BM1037" s="4"/>
      <c r="BN1037" s="4"/>
      <c r="BO1037" s="4"/>
      <c r="BP1037" s="4"/>
      <c r="BQ1037" s="4"/>
      <c r="BR1037" s="30"/>
      <c r="BS1037" s="4"/>
      <c r="BT1037" s="4"/>
      <c r="BU1037" s="4"/>
      <c r="BV1037" s="4"/>
      <c r="BW1037" s="4"/>
      <c r="BX1037" s="4"/>
    </row>
    <row r="1038" spans="1:76" s="2" customFormat="1" ht="19.5" customHeight="1">
      <c r="A1038" s="4"/>
      <c r="B1038" s="4"/>
      <c r="C1038" s="4"/>
      <c r="D1038" s="4"/>
      <c r="E1038" s="4" t="s">
        <v>770</v>
      </c>
      <c r="F1038" s="4"/>
      <c r="G1038" s="4" t="s">
        <v>290</v>
      </c>
      <c r="H1038" s="247">
        <f>H1021</f>
        <v>0.0035</v>
      </c>
      <c r="I1038" s="247"/>
      <c r="J1038" s="247"/>
      <c r="K1038" s="30" t="s">
        <v>348</v>
      </c>
      <c r="L1038" s="4" t="s">
        <v>771</v>
      </c>
      <c r="M1038" s="4" t="s">
        <v>349</v>
      </c>
      <c r="N1038" s="4" t="s">
        <v>1357</v>
      </c>
      <c r="O1038" s="244">
        <f>Q1021</f>
        <v>182</v>
      </c>
      <c r="P1038" s="244"/>
      <c r="Q1038" s="244"/>
      <c r="R1038" s="4" t="s">
        <v>765</v>
      </c>
      <c r="S1038" s="4" t="s">
        <v>771</v>
      </c>
      <c r="T1038" s="4" t="s">
        <v>1120</v>
      </c>
      <c r="U1038" s="4" t="s">
        <v>344</v>
      </c>
      <c r="V1038" s="246">
        <f>Z1021/AD1021/100000</f>
        <v>0.005192906355855881</v>
      </c>
      <c r="W1038" s="246"/>
      <c r="X1038" s="246"/>
      <c r="Y1038" s="246"/>
      <c r="Z1038" s="4"/>
      <c r="AA1038" s="30" t="s">
        <v>772</v>
      </c>
      <c r="AB1038" s="4"/>
      <c r="AC1038" s="4"/>
      <c r="AD1038" s="4"/>
      <c r="AE1038" s="4"/>
      <c r="AF1038" s="4"/>
      <c r="AG1038" s="4"/>
      <c r="AH1038" s="4"/>
      <c r="AI1038" s="4"/>
      <c r="AJ1038" s="4"/>
      <c r="AK1038" s="4"/>
      <c r="AL1038" s="4"/>
      <c r="AM1038" s="4"/>
      <c r="AN1038" s="4"/>
      <c r="AO1038" s="4"/>
      <c r="AP1038" s="4"/>
      <c r="AQ1038" s="4"/>
      <c r="AR1038" s="4"/>
      <c r="AS1038" s="4"/>
      <c r="AT1038" s="4"/>
      <c r="AU1038" s="4"/>
      <c r="AV1038" s="244"/>
      <c r="AW1038" s="244"/>
      <c r="AX1038" s="244"/>
      <c r="AY1038" s="244"/>
      <c r="AZ1038" s="4"/>
      <c r="BA1038" s="244"/>
      <c r="BB1038" s="244"/>
      <c r="BC1038" s="244"/>
      <c r="BD1038" s="244"/>
      <c r="BE1038" s="4"/>
      <c r="BF1038" s="4"/>
      <c r="BG1038" s="4"/>
      <c r="BH1038" s="4"/>
      <c r="BI1038" s="4"/>
      <c r="BJ1038" s="244"/>
      <c r="BK1038" s="244"/>
      <c r="BL1038" s="244"/>
      <c r="BM1038" s="244"/>
      <c r="BN1038" s="30"/>
      <c r="BO1038" s="4"/>
      <c r="BP1038" s="4"/>
      <c r="BQ1038" s="43"/>
      <c r="BR1038" s="4"/>
      <c r="BS1038" s="4"/>
      <c r="BT1038" s="4"/>
      <c r="BU1038" s="4"/>
      <c r="BV1038" s="4"/>
      <c r="BW1038" s="4"/>
      <c r="BX1038" s="4"/>
    </row>
    <row r="1039" spans="1:76" s="2" customFormat="1" ht="19.5" customHeight="1">
      <c r="A1039" s="4" t="s">
        <v>592</v>
      </c>
      <c r="B1039" s="4"/>
      <c r="C1039" s="4"/>
      <c r="D1039" s="4" t="s">
        <v>773</v>
      </c>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50"/>
      <c r="AS1039" s="50"/>
      <c r="AT1039" s="50"/>
      <c r="AU1039" s="4"/>
      <c r="AV1039" s="4"/>
      <c r="AW1039" s="4"/>
      <c r="AX1039" s="244"/>
      <c r="AY1039" s="244"/>
      <c r="AZ1039" s="244"/>
      <c r="BA1039" s="244"/>
      <c r="BB1039" s="244"/>
      <c r="BC1039" s="4"/>
      <c r="BD1039" s="244"/>
      <c r="BE1039" s="244"/>
      <c r="BF1039" s="244"/>
      <c r="BG1039" s="244"/>
      <c r="BH1039" s="4"/>
      <c r="BI1039" s="4"/>
      <c r="BJ1039" s="4"/>
      <c r="BK1039" s="4"/>
      <c r="BL1039" s="4"/>
      <c r="BM1039" s="244"/>
      <c r="BN1039" s="244"/>
      <c r="BO1039" s="244"/>
      <c r="BP1039" s="244"/>
      <c r="BQ1039" s="43"/>
      <c r="BR1039" s="4"/>
      <c r="BS1039" s="4"/>
      <c r="BT1039" s="4"/>
      <c r="BU1039" s="4"/>
      <c r="BV1039" s="4"/>
      <c r="BW1039" s="4"/>
      <c r="BX1039" s="4"/>
    </row>
    <row r="1040" spans="1:76" s="2" customFormat="1" ht="19.5" customHeight="1">
      <c r="A1040" s="4"/>
      <c r="B1040" s="4"/>
      <c r="C1040" s="4"/>
      <c r="D1040" s="4"/>
      <c r="E1040" s="235" t="s">
        <v>774</v>
      </c>
      <c r="F1040" s="235"/>
      <c r="G1040" s="235"/>
      <c r="H1040" s="235"/>
      <c r="I1040" s="4" t="s">
        <v>290</v>
      </c>
      <c r="J1040" s="4" t="s">
        <v>775</v>
      </c>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50"/>
      <c r="AS1040" s="50"/>
      <c r="AT1040" s="50"/>
      <c r="AU1040" s="4"/>
      <c r="AV1040" s="4"/>
      <c r="AW1040" s="244"/>
      <c r="AX1040" s="244"/>
      <c r="AY1040" s="244"/>
      <c r="AZ1040" s="244"/>
      <c r="BA1040" s="244"/>
      <c r="BB1040" s="4"/>
      <c r="BC1040" s="4"/>
      <c r="BD1040" s="244"/>
      <c r="BE1040" s="244"/>
      <c r="BF1040" s="244"/>
      <c r="BG1040" s="244"/>
      <c r="BH1040" s="244"/>
      <c r="BI1040" s="4"/>
      <c r="BJ1040" s="4"/>
      <c r="BK1040" s="4"/>
      <c r="BL1040" s="4"/>
      <c r="BM1040" s="4"/>
      <c r="BN1040" s="4"/>
      <c r="BO1040" s="4"/>
      <c r="BP1040" s="4"/>
      <c r="BQ1040" s="4"/>
      <c r="BR1040" s="4"/>
      <c r="BS1040" s="4"/>
      <c r="BT1040" s="4"/>
      <c r="BU1040" s="4"/>
      <c r="BV1040" s="4"/>
      <c r="BW1040" s="4"/>
      <c r="BX1040" s="4"/>
    </row>
    <row r="1041" spans="1:76" s="2" customFormat="1" ht="19.5" customHeight="1">
      <c r="A1041" s="4"/>
      <c r="B1041" s="4"/>
      <c r="C1041" s="4"/>
      <c r="D1041" s="4"/>
      <c r="E1041" s="50">
        <f>E1012</f>
        <v>27.200000000000003</v>
      </c>
      <c r="F1041" s="50"/>
      <c r="G1041" s="50"/>
      <c r="H1041" s="4" t="s">
        <v>771</v>
      </c>
      <c r="I1041" s="4" t="s">
        <v>290</v>
      </c>
      <c r="J1041" s="244">
        <f>J1012</f>
        <v>790.74</v>
      </c>
      <c r="K1041" s="244"/>
      <c r="L1041" s="244"/>
      <c r="M1041" s="4" t="s">
        <v>344</v>
      </c>
      <c r="N1041" s="56" t="s">
        <v>776</v>
      </c>
      <c r="O1041" s="56"/>
      <c r="P1041" s="56"/>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3"/>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row>
    <row r="1042" spans="1:76" s="2" customFormat="1" ht="19.5" customHeight="1">
      <c r="A1042" s="4"/>
      <c r="B1042" s="4"/>
      <c r="C1042" s="4"/>
      <c r="D1042" s="4"/>
      <c r="E1042" s="4"/>
      <c r="F1042" s="4"/>
      <c r="G1042" s="4"/>
      <c r="H1042" s="4"/>
      <c r="I1042" s="4" t="s">
        <v>290</v>
      </c>
      <c r="J1042" s="244">
        <f>J1041</f>
        <v>790.74</v>
      </c>
      <c r="K1042" s="244"/>
      <c r="L1042" s="244"/>
      <c r="M1042" s="4" t="s">
        <v>344</v>
      </c>
      <c r="N1042" s="38">
        <f>P1006</f>
        <v>2503.2</v>
      </c>
      <c r="O1042" s="38"/>
      <c r="P1042" s="38"/>
      <c r="Q1042" s="4" t="s">
        <v>349</v>
      </c>
      <c r="R1042" s="4" t="s">
        <v>777</v>
      </c>
      <c r="S1042" s="4"/>
      <c r="T1042" s="30" t="s">
        <v>778</v>
      </c>
      <c r="U1042" s="4"/>
      <c r="V1042" s="4"/>
      <c r="W1042" s="30" t="s">
        <v>779</v>
      </c>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235"/>
      <c r="AU1042" s="235"/>
      <c r="AV1042" s="235"/>
      <c r="AW1042" s="4"/>
      <c r="AX1042" s="4"/>
      <c r="AY1042" s="4"/>
      <c r="AZ1042" s="4"/>
      <c r="BA1042" s="4"/>
      <c r="BB1042" s="4"/>
      <c r="BC1042" s="4"/>
      <c r="BD1042" s="4"/>
      <c r="BE1042" s="235"/>
      <c r="BF1042" s="235"/>
      <c r="BG1042" s="235"/>
      <c r="BH1042" s="4"/>
      <c r="BI1042" s="43"/>
      <c r="BJ1042" s="4"/>
      <c r="BK1042" s="4"/>
      <c r="BL1042" s="4"/>
      <c r="BM1042" s="4"/>
      <c r="BN1042" s="4"/>
      <c r="BO1042" s="4"/>
      <c r="BP1042" s="4"/>
      <c r="BQ1042" s="4"/>
      <c r="BR1042" s="4"/>
      <c r="BS1042" s="4"/>
      <c r="BT1042" s="4"/>
      <c r="BU1042" s="4"/>
      <c r="BV1042" s="4"/>
      <c r="BW1042" s="4"/>
      <c r="BX1042" s="4"/>
    </row>
    <row r="1043" spans="1:76" s="2" customFormat="1" ht="19.5" customHeight="1">
      <c r="A1043" s="4"/>
      <c r="B1043" s="4"/>
      <c r="C1043" s="4"/>
      <c r="D1043" s="4"/>
      <c r="E1043" s="4" t="s">
        <v>105</v>
      </c>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row>
    <row r="1044" spans="1:76" s="2" customFormat="1" ht="19.5" customHeight="1">
      <c r="A1044" s="4"/>
      <c r="B1044" s="4"/>
      <c r="C1044" s="4"/>
      <c r="D1044" s="4"/>
      <c r="E1044" s="4"/>
      <c r="F1044" s="4" t="s">
        <v>780</v>
      </c>
      <c r="G1044" s="4"/>
      <c r="H1044" s="245">
        <f>(-((M1037-Q1037)/0.00744*H1038*N1042/1000-(((M1037-Q1037)/0.00744*V1038+(H1037-(M1037-Q1037)/0.00744*0.00756))*N1042/1000+J1042))+SQRT(((M1037-Q1037)/0.00744*H1038*N1042/1000-(((M1037-Q1037)/0.00744*V1038+(H1037-(M1037-Q1037)/0.00744*0.00756))*N1042/1000+J1042))^2-4*E1041*(-(M1037-Q1037)/0.00744*H1038*O1038*N1042/1000)))/(2*E1041)</f>
        <v>166.45736361284204</v>
      </c>
      <c r="I1044" s="245"/>
      <c r="J1044" s="245"/>
      <c r="K1044" s="4" t="s">
        <v>994</v>
      </c>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3"/>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row>
    <row r="1045" spans="1:76" s="2" customFormat="1" ht="19.5" customHeight="1">
      <c r="A1045" s="4"/>
      <c r="B1045" s="4"/>
      <c r="C1045" s="4"/>
      <c r="D1045" s="4" t="s">
        <v>106</v>
      </c>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c r="BF1045" s="4"/>
      <c r="BG1045" s="4"/>
      <c r="BH1045" s="4"/>
      <c r="BI1045" s="4"/>
      <c r="BJ1045" s="4"/>
      <c r="BK1045" s="4"/>
      <c r="BL1045" s="4"/>
      <c r="BM1045" s="4"/>
      <c r="BN1045" s="4"/>
      <c r="BO1045" s="4"/>
      <c r="BP1045" s="4"/>
      <c r="BQ1045" s="4"/>
      <c r="BR1045" s="4"/>
      <c r="BS1045" s="4"/>
      <c r="BT1045" s="4"/>
      <c r="BU1045" s="4"/>
      <c r="BV1045" s="4"/>
      <c r="BW1045" s="4"/>
      <c r="BX1045" s="4"/>
    </row>
    <row r="1046" spans="1:76" s="2" customFormat="1" ht="19.5" customHeight="1">
      <c r="A1046" s="4"/>
      <c r="B1046" s="4"/>
      <c r="C1046" s="4"/>
      <c r="D1046" s="4"/>
      <c r="E1046" s="4"/>
      <c r="F1046" s="4" t="s">
        <v>781</v>
      </c>
      <c r="G1046" s="4"/>
      <c r="H1046" s="4" t="s">
        <v>1390</v>
      </c>
      <c r="I1046" s="4" t="s">
        <v>782</v>
      </c>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c r="BF1046" s="4"/>
      <c r="BG1046" s="4"/>
      <c r="BH1046" s="4"/>
      <c r="BI1046" s="4"/>
      <c r="BJ1046" s="4"/>
      <c r="BK1046" s="4"/>
      <c r="BL1046" s="4"/>
      <c r="BM1046" s="4"/>
      <c r="BN1046" s="4"/>
      <c r="BO1046" s="4"/>
      <c r="BP1046" s="4"/>
      <c r="BQ1046" s="4"/>
      <c r="BR1046" s="4"/>
      <c r="BS1046" s="4"/>
      <c r="BT1046" s="4"/>
      <c r="BU1046" s="4"/>
      <c r="BV1046" s="4"/>
      <c r="BW1046" s="4"/>
      <c r="BX1046" s="4"/>
    </row>
    <row r="1047" spans="1:76" s="2" customFormat="1" ht="19.5" customHeight="1">
      <c r="A1047" s="4"/>
      <c r="B1047" s="4"/>
      <c r="C1047" s="4"/>
      <c r="D1047" s="4"/>
      <c r="E1047" s="4"/>
      <c r="F1047" s="4"/>
      <c r="G1047" s="4"/>
      <c r="H1047" s="4" t="s">
        <v>1390</v>
      </c>
      <c r="I1047" s="247">
        <f>H1018</f>
        <v>0.0035</v>
      </c>
      <c r="J1047" s="247"/>
      <c r="K1047" s="247"/>
      <c r="L1047" s="30" t="s">
        <v>1391</v>
      </c>
      <c r="M1047" s="244">
        <f>H1044</f>
        <v>166.45736361284204</v>
      </c>
      <c r="N1047" s="244"/>
      <c r="O1047" s="244"/>
      <c r="P1047" s="4" t="s">
        <v>1392</v>
      </c>
      <c r="Q1047" s="4" t="s">
        <v>1393</v>
      </c>
      <c r="R1047" s="244">
        <f>Q997</f>
        <v>340</v>
      </c>
      <c r="S1047" s="244"/>
      <c r="T1047" s="244"/>
      <c r="U1047" s="4" t="s">
        <v>783</v>
      </c>
      <c r="V1047" s="244">
        <f>H1044</f>
        <v>166.45736361284204</v>
      </c>
      <c r="W1047" s="244"/>
      <c r="X1047" s="244"/>
      <c r="Y1047" s="4" t="s">
        <v>1394</v>
      </c>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row>
    <row r="1048" spans="1:76" s="2" customFormat="1" ht="19.5" customHeight="1">
      <c r="A1048" s="4"/>
      <c r="B1048" s="4"/>
      <c r="C1048" s="4"/>
      <c r="D1048" s="4"/>
      <c r="E1048" s="4"/>
      <c r="F1048" s="4"/>
      <c r="G1048" s="4"/>
      <c r="H1048" s="4" t="s">
        <v>1390</v>
      </c>
      <c r="I1048" s="248">
        <f>I1047/M1047*(R1047-V1047)</f>
        <v>0.0036489778173333545</v>
      </c>
      <c r="J1048" s="248"/>
      <c r="K1048" s="248"/>
      <c r="L1048" s="4"/>
      <c r="M1048" s="4" t="str">
        <f>IF(I1048&gt;=AG1048,"&gt;","&lt;")</f>
        <v>&gt;</v>
      </c>
      <c r="N1048" s="4"/>
      <c r="O1048" s="4" t="s">
        <v>784</v>
      </c>
      <c r="P1048" s="4"/>
      <c r="Q1048" s="4" t="s">
        <v>1390</v>
      </c>
      <c r="R1048" s="4" t="s">
        <v>785</v>
      </c>
      <c r="S1048" s="4"/>
      <c r="T1048" s="4"/>
      <c r="U1048" s="4"/>
      <c r="V1048" s="4" t="s">
        <v>1390</v>
      </c>
      <c r="W1048" s="40">
        <f>Q1005</f>
        <v>345</v>
      </c>
      <c r="X1048" s="40"/>
      <c r="Y1048" s="30" t="s">
        <v>1391</v>
      </c>
      <c r="Z1048" s="250">
        <f>Y1019</f>
        <v>2</v>
      </c>
      <c r="AA1048" s="250"/>
      <c r="AB1048" s="250"/>
      <c r="AC1048" s="27" t="s">
        <v>1392</v>
      </c>
      <c r="AD1048" s="39" t="s">
        <v>1395</v>
      </c>
      <c r="AE1048" s="29"/>
      <c r="AF1048" s="4" t="s">
        <v>1390</v>
      </c>
      <c r="AG1048" s="248">
        <f>W1048/Z1048/100000</f>
        <v>0.001725</v>
      </c>
      <c r="AH1048" s="248"/>
      <c r="AI1048" s="248"/>
      <c r="AJ1048" s="4"/>
      <c r="AK1048" s="4" t="str">
        <f>IF(I1048&gt;=AG1048,"→ 降伏","→ 降伏しない")</f>
        <v>→ 降伏</v>
      </c>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row>
    <row r="1049" spans="1:76" s="2" customFormat="1" ht="19.5" customHeight="1">
      <c r="A1049" s="4"/>
      <c r="B1049" s="4"/>
      <c r="C1049" s="4"/>
      <c r="D1049" s="4"/>
      <c r="E1049" s="4"/>
      <c r="F1049" s="4" t="s">
        <v>786</v>
      </c>
      <c r="G1049" s="4"/>
      <c r="H1049" s="4" t="s">
        <v>1390</v>
      </c>
      <c r="I1049" s="4" t="s">
        <v>787</v>
      </c>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row>
    <row r="1050" spans="1:76" s="2" customFormat="1" ht="19.5" customHeight="1">
      <c r="A1050" s="4"/>
      <c r="B1050" s="4"/>
      <c r="C1050" s="4"/>
      <c r="D1050" s="4"/>
      <c r="E1050" s="4"/>
      <c r="F1050" s="4"/>
      <c r="G1050" s="4"/>
      <c r="H1050" s="4" t="s">
        <v>1390</v>
      </c>
      <c r="I1050" s="4" t="s">
        <v>1390</v>
      </c>
      <c r="J1050" s="247">
        <f>I1047</f>
        <v>0.0035</v>
      </c>
      <c r="K1050" s="247"/>
      <c r="L1050" s="247"/>
      <c r="M1050" s="30" t="s">
        <v>1391</v>
      </c>
      <c r="N1050" s="244">
        <f>H1044</f>
        <v>166.45736361284204</v>
      </c>
      <c r="O1050" s="244"/>
      <c r="P1050" s="244"/>
      <c r="Q1050" s="4" t="s">
        <v>1392</v>
      </c>
      <c r="R1050" s="4" t="s">
        <v>1393</v>
      </c>
      <c r="S1050" s="244">
        <f>P997</f>
        <v>182</v>
      </c>
      <c r="T1050" s="244"/>
      <c r="U1050" s="244"/>
      <c r="V1050" s="4" t="s">
        <v>783</v>
      </c>
      <c r="W1050" s="244">
        <f>H1044</f>
        <v>166.45736361284204</v>
      </c>
      <c r="X1050" s="244"/>
      <c r="Y1050" s="244"/>
      <c r="Z1050" s="4" t="s">
        <v>1394</v>
      </c>
      <c r="AA1050" s="4" t="s">
        <v>1396</v>
      </c>
      <c r="AB1050" s="244">
        <f>Z1021</f>
        <v>1038.5812711711762</v>
      </c>
      <c r="AC1050" s="244"/>
      <c r="AD1050" s="244"/>
      <c r="AE1050" s="30" t="s">
        <v>1391</v>
      </c>
      <c r="AF1050" s="250">
        <f>Z1048</f>
        <v>2</v>
      </c>
      <c r="AG1050" s="250"/>
      <c r="AH1050" s="250"/>
      <c r="AI1050" s="27" t="s">
        <v>1392</v>
      </c>
      <c r="AJ1050" s="39" t="s">
        <v>1395</v>
      </c>
      <c r="AK1050" s="29"/>
      <c r="AL1050" s="4"/>
      <c r="AM1050" s="4"/>
      <c r="AN1050" s="4"/>
      <c r="AO1050" s="4"/>
      <c r="AP1050" s="4"/>
      <c r="AQ1050" s="4"/>
      <c r="AR1050" s="4"/>
      <c r="AS1050" s="4"/>
      <c r="AT1050" s="4"/>
      <c r="AU1050" s="4"/>
      <c r="AV1050" s="4"/>
      <c r="AW1050" s="4"/>
      <c r="AX1050" s="4"/>
      <c r="AY1050" s="4"/>
      <c r="AZ1050" s="4"/>
      <c r="BA1050" s="4"/>
      <c r="BB1050" s="4"/>
      <c r="BC1050" s="4"/>
      <c r="BD1050" s="4"/>
      <c r="BE1050" s="4"/>
      <c r="BF1050" s="4"/>
      <c r="BG1050" s="4"/>
      <c r="BH1050" s="4"/>
      <c r="BI1050" s="4"/>
      <c r="BJ1050" s="4"/>
      <c r="BK1050" s="4"/>
      <c r="BL1050" s="4"/>
      <c r="BM1050" s="4"/>
      <c r="BN1050" s="4"/>
      <c r="BO1050" s="4"/>
      <c r="BP1050" s="4"/>
      <c r="BQ1050" s="4"/>
      <c r="BR1050" s="4"/>
      <c r="BS1050" s="4"/>
      <c r="BT1050" s="4"/>
      <c r="BU1050" s="4"/>
      <c r="BV1050" s="4"/>
      <c r="BW1050" s="4"/>
      <c r="BX1050" s="4"/>
    </row>
    <row r="1051" spans="1:76" s="2" customFormat="1" ht="19.5" customHeight="1">
      <c r="A1051" s="4"/>
      <c r="B1051" s="4"/>
      <c r="C1051" s="4"/>
      <c r="D1051" s="4"/>
      <c r="E1051" s="4"/>
      <c r="F1051" s="4"/>
      <c r="G1051" s="4"/>
      <c r="H1051" s="4"/>
      <c r="I1051" s="4" t="s">
        <v>1390</v>
      </c>
      <c r="J1051" s="248">
        <f>J1050/N1050*(S1050-W1050)+AB1050/AF1050/100000</f>
        <v>0.0055197121286637355</v>
      </c>
      <c r="K1051" s="248"/>
      <c r="L1051" s="248"/>
      <c r="M1051" s="4"/>
      <c r="N1051" s="4" t="str">
        <f>IF(J1051&gt;=P1051,"&gt;","&lt;")</f>
        <v>&lt;</v>
      </c>
      <c r="O1051" s="4"/>
      <c r="P1051" s="319">
        <v>0.015</v>
      </c>
      <c r="Q1051" s="319"/>
      <c r="R1051" s="319"/>
      <c r="S1051" s="319"/>
      <c r="T1051" s="4" t="str">
        <f>IF(J1051&gt;=P1051,"→ 降伏","→ 降伏しない")</f>
        <v>→ 降伏しない</v>
      </c>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c r="BF1051" s="4"/>
      <c r="BG1051" s="4"/>
      <c r="BH1051" s="4"/>
      <c r="BI1051" s="4"/>
      <c r="BJ1051" s="4"/>
      <c r="BK1051" s="4"/>
      <c r="BL1051" s="4"/>
      <c r="BM1051" s="4"/>
      <c r="BN1051" s="4"/>
      <c r="BO1051" s="4"/>
      <c r="BP1051" s="4"/>
      <c r="BQ1051" s="4"/>
      <c r="BR1051" s="4"/>
      <c r="BS1051" s="4"/>
      <c r="BT1051" s="4"/>
      <c r="BU1051" s="4"/>
      <c r="BV1051" s="4"/>
      <c r="BW1051" s="4"/>
      <c r="BX1051" s="4"/>
    </row>
    <row r="1052" spans="1:76" s="2" customFormat="1" ht="19.5" customHeight="1">
      <c r="A1052" s="4"/>
      <c r="B1052" s="4"/>
      <c r="C1052" s="4"/>
      <c r="D1052" s="4"/>
      <c r="E1052" s="4"/>
      <c r="F1052" s="4"/>
      <c r="G1052" s="4"/>
      <c r="H1052" s="4"/>
      <c r="I1052" s="4"/>
      <c r="J1052" s="4"/>
      <c r="K1052" s="4"/>
      <c r="L1052" s="4"/>
      <c r="M1052" s="4"/>
      <c r="N1052" s="4" t="str">
        <f>IF(J1051&gt;=P1052,"&gt;","&lt;")</f>
        <v>&lt;</v>
      </c>
      <c r="O1052" s="4"/>
      <c r="P1052" s="319">
        <v>0.00756</v>
      </c>
      <c r="Q1052" s="319"/>
      <c r="R1052" s="319"/>
      <c r="S1052" s="319"/>
      <c r="T1052" s="4" t="str">
        <f>IF(J1051&gt;=P1052,"→ 範囲Ⅱ","→ 範囲Ⅰ")</f>
        <v>→ 範囲Ⅰ</v>
      </c>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row>
    <row r="1053" s="4" customFormat="1" ht="19.5" customHeight="1">
      <c r="D1053" s="30" t="s">
        <v>788</v>
      </c>
    </row>
    <row r="1054" spans="2:43" ht="19.5" customHeight="1">
      <c r="B1054" s="4"/>
      <c r="C1054" s="4"/>
      <c r="D1054" s="4"/>
      <c r="E1054" s="4"/>
      <c r="F1054" s="4"/>
      <c r="G1054" s="4"/>
      <c r="H1054" s="4"/>
      <c r="I1054" s="4"/>
      <c r="J1054" s="4"/>
      <c r="L1054" s="47"/>
      <c r="M1054" s="47"/>
      <c r="AH1054" s="27"/>
      <c r="AI1054" s="27"/>
      <c r="AJ1054" s="27"/>
      <c r="AK1054" s="27"/>
      <c r="AL1054" s="27"/>
      <c r="AM1054" s="27"/>
      <c r="AN1054" s="27"/>
      <c r="AO1054" s="27"/>
      <c r="AQ1054" s="29"/>
    </row>
    <row r="1055" spans="2:43" ht="19.5" customHeight="1">
      <c r="B1055" s="4"/>
      <c r="C1055" s="4"/>
      <c r="D1055" s="4"/>
      <c r="E1055" s="4"/>
      <c r="F1055" s="4"/>
      <c r="G1055" s="4"/>
      <c r="H1055" s="4"/>
      <c r="I1055" s="4"/>
      <c r="J1055" s="4"/>
      <c r="P1055" s="251">
        <f>R1055-AA255</f>
        <v>182</v>
      </c>
      <c r="Q1055" s="251">
        <f>R1055-O255</f>
        <v>340</v>
      </c>
      <c r="R1055" s="300">
        <f>AC255</f>
        <v>380</v>
      </c>
      <c r="AH1055" s="27"/>
      <c r="AI1055" s="27"/>
      <c r="AJ1055" s="27"/>
      <c r="AK1055" s="27"/>
      <c r="AL1055" s="27"/>
      <c r="AN1055" s="27"/>
      <c r="AO1055" s="27"/>
      <c r="AQ1055" s="29"/>
    </row>
    <row r="1056" spans="2:43" ht="19.5" customHeight="1">
      <c r="B1056" s="4"/>
      <c r="C1056" s="4"/>
      <c r="D1056" s="4"/>
      <c r="E1056" s="4"/>
      <c r="F1056" s="4"/>
      <c r="G1056" s="4"/>
      <c r="H1056" s="4"/>
      <c r="I1056" s="4"/>
      <c r="J1056" s="4"/>
      <c r="P1056" s="251"/>
      <c r="Q1056" s="251"/>
      <c r="R1056" s="300"/>
      <c r="AH1056" s="27"/>
      <c r="AI1056" s="27"/>
      <c r="AJ1056" s="27"/>
      <c r="AK1056" s="27"/>
      <c r="AL1056" s="27"/>
      <c r="AM1056" s="27"/>
      <c r="AN1056" s="27"/>
      <c r="AO1056" s="27"/>
      <c r="AQ1056" s="29"/>
    </row>
    <row r="1057" spans="2:43" ht="19.5" customHeight="1">
      <c r="B1057" s="4"/>
      <c r="C1057" s="4"/>
      <c r="D1057" s="4"/>
      <c r="E1057" s="4"/>
      <c r="F1057" s="4"/>
      <c r="G1057" s="4"/>
      <c r="H1057" s="4"/>
      <c r="I1057" s="4"/>
      <c r="P1057" s="48" t="s">
        <v>789</v>
      </c>
      <c r="Q1057" s="48" t="s">
        <v>790</v>
      </c>
      <c r="AH1057" s="27"/>
      <c r="AI1057" s="27"/>
      <c r="AJ1057" s="48" t="s">
        <v>791</v>
      </c>
      <c r="AK1057" s="48" t="s">
        <v>792</v>
      </c>
      <c r="AL1057" s="27"/>
      <c r="AM1057" s="27"/>
      <c r="AN1057" s="27"/>
      <c r="AO1057" s="27"/>
      <c r="AQ1057" s="29"/>
    </row>
    <row r="1058" spans="2:44" ht="19.5" customHeight="1">
      <c r="B1058" s="4"/>
      <c r="C1058" s="4"/>
      <c r="D1058" s="4"/>
      <c r="E1058" s="4"/>
      <c r="F1058" s="4"/>
      <c r="G1058" s="4"/>
      <c r="H1058" s="4"/>
      <c r="I1058" s="4"/>
      <c r="AH1058" s="27"/>
      <c r="AI1058" s="27"/>
      <c r="AJ1058" s="27"/>
      <c r="AK1058" s="27"/>
      <c r="AL1058" s="27"/>
      <c r="AM1058" s="27"/>
      <c r="AN1058" s="27"/>
      <c r="AO1058" s="27"/>
      <c r="AP1058" s="27"/>
      <c r="AQ1058" s="29"/>
      <c r="AR1058" s="29"/>
    </row>
    <row r="1059" s="4" customFormat="1" ht="19.5" customHeight="1"/>
    <row r="1060" s="4" customFormat="1" ht="19.5" customHeight="1">
      <c r="D1060" s="4" t="s">
        <v>107</v>
      </c>
    </row>
    <row r="1061" s="4" customFormat="1" ht="19.5" customHeight="1">
      <c r="D1061" s="4" t="s">
        <v>108</v>
      </c>
    </row>
    <row r="1062" spans="5:44" s="4" customFormat="1" ht="19.5" customHeight="1">
      <c r="E1062" s="4" t="s">
        <v>793</v>
      </c>
      <c r="G1062" s="30" t="s">
        <v>794</v>
      </c>
      <c r="L1062" s="4" t="s">
        <v>1037</v>
      </c>
      <c r="M1062" s="38">
        <f>I255</f>
        <v>2292</v>
      </c>
      <c r="N1062" s="38"/>
      <c r="O1062" s="38"/>
      <c r="P1062" s="4" t="s">
        <v>1040</v>
      </c>
      <c r="Q1062" s="40">
        <f>Q1005</f>
        <v>345</v>
      </c>
      <c r="R1062" s="40"/>
      <c r="S1062" s="30" t="s">
        <v>795</v>
      </c>
      <c r="V1062" s="4" t="s">
        <v>1037</v>
      </c>
      <c r="W1062" s="244">
        <f>M1062*Q1062/1000</f>
        <v>790.74</v>
      </c>
      <c r="X1062" s="244"/>
      <c r="Y1062" s="244"/>
      <c r="Z1062" s="4" t="s">
        <v>1397</v>
      </c>
      <c r="AR1062" s="43"/>
    </row>
    <row r="1063" spans="5:34" s="4" customFormat="1" ht="19.5" customHeight="1">
      <c r="E1063" s="4" t="s">
        <v>796</v>
      </c>
      <c r="G1063" s="30" t="s">
        <v>797</v>
      </c>
      <c r="O1063" s="4" t="s">
        <v>1037</v>
      </c>
      <c r="P1063" s="38">
        <f>AG256</f>
        <v>2503.2</v>
      </c>
      <c r="Q1063" s="38"/>
      <c r="R1063" s="38"/>
      <c r="S1063" s="4" t="s">
        <v>1040</v>
      </c>
      <c r="T1063" s="245">
        <v>0.93</v>
      </c>
      <c r="U1063" s="245"/>
      <c r="V1063" s="245"/>
      <c r="W1063" s="4" t="s">
        <v>1040</v>
      </c>
      <c r="X1063" s="40">
        <f>X1006</f>
        <v>1831</v>
      </c>
      <c r="Y1063" s="40"/>
      <c r="Z1063" s="40"/>
      <c r="AA1063" s="30" t="s">
        <v>795</v>
      </c>
      <c r="AD1063" s="4" t="s">
        <v>1037</v>
      </c>
      <c r="AE1063" s="244">
        <f>P1063*T1063*X1063/1000</f>
        <v>4262.524056</v>
      </c>
      <c r="AF1063" s="244"/>
      <c r="AG1063" s="244"/>
      <c r="AH1063" s="4" t="s">
        <v>1397</v>
      </c>
    </row>
    <row r="1064" s="4" customFormat="1" ht="19.5" customHeight="1">
      <c r="D1064" s="4" t="s">
        <v>101</v>
      </c>
    </row>
    <row r="1065" spans="5:8" s="4" customFormat="1" ht="19.5" customHeight="1">
      <c r="E1065" s="4" t="s">
        <v>740</v>
      </c>
      <c r="G1065" s="4" t="s">
        <v>1356</v>
      </c>
      <c r="H1065" s="4" t="s">
        <v>741</v>
      </c>
    </row>
    <row r="1066" spans="7:44" s="4" customFormat="1" ht="19.5" customHeight="1">
      <c r="G1066" s="4" t="s">
        <v>1356</v>
      </c>
      <c r="H1066" s="245">
        <v>0.85</v>
      </c>
      <c r="I1066" s="245"/>
      <c r="J1066" s="245"/>
      <c r="K1066" s="4" t="s">
        <v>654</v>
      </c>
      <c r="L1066" s="252">
        <f>T677</f>
        <v>40</v>
      </c>
      <c r="M1066" s="252"/>
      <c r="N1066" s="4" t="s">
        <v>654</v>
      </c>
      <c r="O1066" s="318">
        <f>IF(L1066&lt;=50,0.8,IF(L1066&gt;=60,0.72,0.8-(L1066-50)*0.008))</f>
        <v>0.8</v>
      </c>
      <c r="P1066" s="318"/>
      <c r="Q1066" s="318"/>
      <c r="R1066" s="4" t="s">
        <v>742</v>
      </c>
      <c r="S1066" s="4" t="s">
        <v>1356</v>
      </c>
      <c r="T1066" s="50">
        <f>H1066*L1066*O1066</f>
        <v>27.200000000000003</v>
      </c>
      <c r="U1066" s="50"/>
      <c r="V1066" s="50"/>
      <c r="W1066" s="4" t="s">
        <v>742</v>
      </c>
      <c r="Y1066" s="4" t="s">
        <v>743</v>
      </c>
      <c r="AR1066" s="51"/>
    </row>
    <row r="1067" spans="4:44" s="4" customFormat="1" ht="19.5" customHeight="1">
      <c r="D1067" s="4" t="s">
        <v>744</v>
      </c>
      <c r="AR1067" s="51"/>
    </row>
    <row r="1068" spans="5:44" s="4" customFormat="1" ht="19.5" customHeight="1">
      <c r="E1068" s="235" t="s">
        <v>740</v>
      </c>
      <c r="F1068" s="235"/>
      <c r="G1068" s="235"/>
      <c r="H1068" s="235"/>
      <c r="I1068" s="4" t="s">
        <v>1356</v>
      </c>
      <c r="J1068" s="4" t="s">
        <v>745</v>
      </c>
      <c r="AR1068" s="51"/>
    </row>
    <row r="1069" spans="5:21" s="4" customFormat="1" ht="19.5" customHeight="1">
      <c r="E1069" s="50">
        <f>T1066</f>
        <v>27.200000000000003</v>
      </c>
      <c r="F1069" s="50"/>
      <c r="G1069" s="50"/>
      <c r="H1069" s="4" t="s">
        <v>742</v>
      </c>
      <c r="I1069" s="4" t="s">
        <v>1356</v>
      </c>
      <c r="J1069" s="244">
        <f>W1062</f>
        <v>790.74</v>
      </c>
      <c r="K1069" s="244"/>
      <c r="L1069" s="244"/>
      <c r="M1069" s="4" t="s">
        <v>746</v>
      </c>
      <c r="N1069" s="244">
        <f>AE1063</f>
        <v>4262.524056</v>
      </c>
      <c r="O1069" s="244"/>
      <c r="P1069" s="244"/>
      <c r="Q1069" s="4" t="s">
        <v>1356</v>
      </c>
      <c r="R1069" s="244">
        <f>J1069+N1069</f>
        <v>5053.264056</v>
      </c>
      <c r="S1069" s="244"/>
      <c r="T1069" s="244"/>
      <c r="U1069" s="4" t="s">
        <v>743</v>
      </c>
    </row>
    <row r="1070" spans="6:13" s="4" customFormat="1" ht="19.5" customHeight="1">
      <c r="F1070" s="4" t="s">
        <v>742</v>
      </c>
      <c r="I1070" s="4" t="s">
        <v>1356</v>
      </c>
      <c r="J1070" s="244">
        <f>R1069/E1069</f>
        <v>185.78176676470585</v>
      </c>
      <c r="K1070" s="244"/>
      <c r="L1070" s="244"/>
      <c r="M1070" s="4" t="s">
        <v>747</v>
      </c>
    </row>
    <row r="1071" s="4" customFormat="1" ht="19.5" customHeight="1">
      <c r="D1071" s="4" t="s">
        <v>102</v>
      </c>
    </row>
    <row r="1072" spans="5:29" s="4" customFormat="1" ht="19.5" customHeight="1">
      <c r="E1072" s="225" t="s">
        <v>748</v>
      </c>
      <c r="F1072" s="225"/>
      <c r="G1072" s="235" t="s">
        <v>256</v>
      </c>
      <c r="H1072" s="225" t="s">
        <v>749</v>
      </c>
      <c r="I1072" s="225"/>
      <c r="J1072" s="225"/>
      <c r="K1072" s="225"/>
      <c r="L1072" s="235" t="s">
        <v>256</v>
      </c>
      <c r="M1072" s="53"/>
      <c r="N1072" s="225" t="s">
        <v>750</v>
      </c>
      <c r="O1072" s="225"/>
      <c r="P1072" s="53"/>
      <c r="R1072" s="249" t="s">
        <v>103</v>
      </c>
      <c r="S1072" s="249"/>
      <c r="T1072" s="249"/>
      <c r="U1072" s="249"/>
      <c r="V1072" s="249"/>
      <c r="W1072" s="249"/>
      <c r="X1072" s="249"/>
      <c r="Y1072" s="249"/>
      <c r="Z1072" s="249"/>
      <c r="AA1072" s="249"/>
      <c r="AB1072" s="249"/>
      <c r="AC1072" s="249"/>
    </row>
    <row r="1073" spans="5:29" s="4" customFormat="1" ht="19.5" customHeight="1">
      <c r="E1073" s="235" t="s">
        <v>725</v>
      </c>
      <c r="F1073" s="235"/>
      <c r="G1073" s="235"/>
      <c r="H1073" s="235" t="s">
        <v>751</v>
      </c>
      <c r="I1073" s="235"/>
      <c r="J1073" s="235"/>
      <c r="K1073" s="235"/>
      <c r="L1073" s="235"/>
      <c r="M1073" s="235" t="s">
        <v>752</v>
      </c>
      <c r="N1073" s="235"/>
      <c r="O1073" s="235"/>
      <c r="P1073" s="235"/>
      <c r="R1073" s="249"/>
      <c r="S1073" s="249"/>
      <c r="T1073" s="249"/>
      <c r="U1073" s="249"/>
      <c r="V1073" s="249"/>
      <c r="W1073" s="249"/>
      <c r="X1073" s="249"/>
      <c r="Y1073" s="249"/>
      <c r="Z1073" s="249"/>
      <c r="AA1073" s="249"/>
      <c r="AB1073" s="249"/>
      <c r="AC1073" s="249"/>
    </row>
    <row r="1074" spans="5:44" s="4" customFormat="1" ht="19.5" customHeight="1">
      <c r="E1074" s="4" t="s">
        <v>753</v>
      </c>
      <c r="G1074" s="4" t="s">
        <v>1360</v>
      </c>
      <c r="H1074" s="4" t="s">
        <v>754</v>
      </c>
      <c r="AR1074" s="51"/>
    </row>
    <row r="1075" spans="7:44" s="4" customFormat="1" ht="19.5" customHeight="1">
      <c r="G1075" s="4" t="s">
        <v>1360</v>
      </c>
      <c r="H1075" s="247">
        <f>IF(L1066&lt;=50,0.0035,IF(L1066&gt;=60,0.0025,0.0035-(L1066-50)*0.0001))</f>
        <v>0.0035</v>
      </c>
      <c r="I1075" s="247"/>
      <c r="J1075" s="247"/>
      <c r="K1075" s="30" t="s">
        <v>755</v>
      </c>
      <c r="L1075" s="244">
        <f>J1070</f>
        <v>185.78176676470585</v>
      </c>
      <c r="M1075" s="244"/>
      <c r="N1075" s="244"/>
      <c r="O1075" s="4" t="s">
        <v>1026</v>
      </c>
      <c r="P1075" s="4" t="s">
        <v>1359</v>
      </c>
      <c r="Q1075" s="244">
        <f>Q1055</f>
        <v>340</v>
      </c>
      <c r="R1075" s="244"/>
      <c r="S1075" s="244"/>
      <c r="T1075" s="4" t="s">
        <v>1387</v>
      </c>
      <c r="U1075" s="244">
        <f>J1070</f>
        <v>185.78176676470585</v>
      </c>
      <c r="V1075" s="244"/>
      <c r="W1075" s="244"/>
      <c r="X1075" s="4" t="s">
        <v>489</v>
      </c>
      <c r="AR1075" s="51"/>
    </row>
    <row r="1076" spans="7:44" s="4" customFormat="1" ht="19.5" customHeight="1">
      <c r="G1076" s="4" t="s">
        <v>1360</v>
      </c>
      <c r="H1076" s="248">
        <f>H1075/L1075*(Q1075-U1075)</f>
        <v>0.002905364857505876</v>
      </c>
      <c r="I1076" s="248"/>
      <c r="J1076" s="248"/>
      <c r="L1076" s="4" t="str">
        <f>IF(H1076&gt;=AF1076,"&gt;","&lt;")</f>
        <v>&gt;</v>
      </c>
      <c r="N1076" s="4" t="s">
        <v>756</v>
      </c>
      <c r="P1076" s="4" t="s">
        <v>1360</v>
      </c>
      <c r="Q1076" s="4" t="s">
        <v>757</v>
      </c>
      <c r="U1076" s="4" t="s">
        <v>1360</v>
      </c>
      <c r="V1076" s="40">
        <f>Q1062</f>
        <v>345</v>
      </c>
      <c r="W1076" s="40"/>
      <c r="X1076" s="30" t="s">
        <v>755</v>
      </c>
      <c r="Y1076" s="250">
        <f>U509</f>
        <v>2</v>
      </c>
      <c r="Z1076" s="250"/>
      <c r="AA1076" s="250"/>
      <c r="AB1076" s="27" t="s">
        <v>1026</v>
      </c>
      <c r="AC1076" s="39" t="s">
        <v>412</v>
      </c>
      <c r="AD1076" s="29"/>
      <c r="AE1076" s="4" t="s">
        <v>1360</v>
      </c>
      <c r="AF1076" s="248">
        <f>V1076/Y1076/100000</f>
        <v>0.001725</v>
      </c>
      <c r="AG1076" s="248"/>
      <c r="AH1076" s="248"/>
      <c r="AJ1076" s="4" t="str">
        <f>IF(H1076&gt;=AF1076,"→ 降伏","→ 降伏しない")</f>
        <v>→ 降伏</v>
      </c>
      <c r="AR1076" s="51"/>
    </row>
    <row r="1077" spans="5:8" s="4" customFormat="1" ht="19.5" customHeight="1">
      <c r="E1077" s="4" t="s">
        <v>758</v>
      </c>
      <c r="G1077" s="4" t="s">
        <v>1360</v>
      </c>
      <c r="H1077" s="4" t="s">
        <v>759</v>
      </c>
    </row>
    <row r="1078" spans="7:44" s="4" customFormat="1" ht="19.5" customHeight="1">
      <c r="G1078" s="4" t="s">
        <v>1360</v>
      </c>
      <c r="H1078" s="247">
        <f>H1075</f>
        <v>0.0035</v>
      </c>
      <c r="I1078" s="247"/>
      <c r="J1078" s="247"/>
      <c r="K1078" s="30" t="s">
        <v>755</v>
      </c>
      <c r="L1078" s="244">
        <f>J1070</f>
        <v>185.78176676470585</v>
      </c>
      <c r="M1078" s="244"/>
      <c r="N1078" s="244"/>
      <c r="O1078" s="4" t="s">
        <v>1026</v>
      </c>
      <c r="P1078" s="4" t="s">
        <v>1359</v>
      </c>
      <c r="Q1078" s="244">
        <f>P1055</f>
        <v>182</v>
      </c>
      <c r="R1078" s="244"/>
      <c r="S1078" s="244"/>
      <c r="T1078" s="4" t="s">
        <v>1387</v>
      </c>
      <c r="U1078" s="244">
        <f>U1075</f>
        <v>185.78176676470585</v>
      </c>
      <c r="V1078" s="244"/>
      <c r="W1078" s="244"/>
      <c r="X1078" s="4" t="s">
        <v>489</v>
      </c>
      <c r="Y1078" s="4" t="s">
        <v>1027</v>
      </c>
      <c r="Z1078" s="244">
        <f>N892</f>
        <v>1037.3717963667186</v>
      </c>
      <c r="AA1078" s="244"/>
      <c r="AB1078" s="244"/>
      <c r="AC1078" s="30" t="s">
        <v>755</v>
      </c>
      <c r="AD1078" s="250">
        <f>Y1076</f>
        <v>2</v>
      </c>
      <c r="AE1078" s="250"/>
      <c r="AF1078" s="250"/>
      <c r="AG1078" s="27" t="s">
        <v>1026</v>
      </c>
      <c r="AH1078" s="39" t="s">
        <v>412</v>
      </c>
      <c r="AI1078" s="29"/>
      <c r="AR1078" s="43"/>
    </row>
    <row r="1079" spans="7:18" s="4" customFormat="1" ht="19.5" customHeight="1">
      <c r="G1079" s="4" t="s">
        <v>1360</v>
      </c>
      <c r="H1079" s="248">
        <f>H1078/L1078*(Q1078-U1078)+Z1078/AD1078/100000</f>
        <v>0.00511561311143968</v>
      </c>
      <c r="I1079" s="248"/>
      <c r="J1079" s="248"/>
      <c r="L1079" s="4" t="str">
        <f>IF(H1079&gt;=N1079,"&gt;","&lt;")</f>
        <v>&lt;</v>
      </c>
      <c r="N1079" s="248">
        <v>0.015</v>
      </c>
      <c r="O1079" s="248"/>
      <c r="P1079" s="248"/>
      <c r="R1079" s="4" t="str">
        <f>IF(H1079&gt;=N1079,"→ 降伏","→ 降伏しない")</f>
        <v>→ 降伏しない</v>
      </c>
    </row>
    <row r="1080" s="4" customFormat="1" ht="19.5" customHeight="1"/>
    <row r="1081" spans="1:44" s="4" customFormat="1" ht="19.5" customHeight="1">
      <c r="A1081" s="4" t="s">
        <v>1366</v>
      </c>
      <c r="D1081" s="4" t="s">
        <v>109</v>
      </c>
      <c r="AR1081" s="43"/>
    </row>
    <row r="1082" s="4" customFormat="1" ht="19.5" customHeight="1">
      <c r="D1082" s="4" t="s">
        <v>104</v>
      </c>
    </row>
    <row r="1083" s="4" customFormat="1" ht="19.5" customHeight="1"/>
    <row r="1084" s="4" customFormat="1" ht="19.5" customHeight="1">
      <c r="O1084" s="4" t="str">
        <f>"σ ="&amp;ROUND(H1086,1)&amp;"+("&amp;ROUND(H1085,1)&amp;"-"&amp;ROUND(H1086,1)&amp;")/(0.015-0.00756)×(εp-0.00756)"</f>
        <v>σ =1538+(1702.8-1538)/(0.015-0.00756)×(εp-0.00756)</v>
      </c>
    </row>
    <row r="1085" spans="4:11" s="4" customFormat="1" ht="19.5" customHeight="1">
      <c r="D1085" s="4" t="s">
        <v>760</v>
      </c>
      <c r="H1085" s="244">
        <f>X1063*0.93</f>
        <v>1702.8300000000002</v>
      </c>
      <c r="I1085" s="244"/>
      <c r="J1085" s="244"/>
      <c r="K1085" s="4" t="s">
        <v>670</v>
      </c>
    </row>
    <row r="1086" spans="4:36" s="4" customFormat="1" ht="19.5" customHeight="1">
      <c r="D1086" s="4" t="s">
        <v>761</v>
      </c>
      <c r="H1086" s="244">
        <f>X1063*0.84</f>
        <v>1538.04</v>
      </c>
      <c r="I1086" s="244"/>
      <c r="J1086" s="244"/>
      <c r="K1086" s="4" t="s">
        <v>670</v>
      </c>
      <c r="AC1086" s="4" t="s">
        <v>762</v>
      </c>
      <c r="AG1086" s="244">
        <f>H1085</f>
        <v>1702.8300000000002</v>
      </c>
      <c r="AH1086" s="244"/>
      <c r="AI1086" s="244"/>
      <c r="AJ1086" s="4" t="s">
        <v>1389</v>
      </c>
    </row>
    <row r="1087" spans="21:28" s="4" customFormat="1" ht="19.5" customHeight="1">
      <c r="U1087" s="4" t="s">
        <v>763</v>
      </c>
      <c r="Y1087" s="244">
        <f>H1086</f>
        <v>1538.04</v>
      </c>
      <c r="Z1087" s="244"/>
      <c r="AA1087" s="244"/>
      <c r="AB1087" s="4" t="s">
        <v>1389</v>
      </c>
    </row>
    <row r="1088" s="4" customFormat="1" ht="19.5" customHeight="1"/>
    <row r="1089" s="4" customFormat="1" ht="19.5" customHeight="1"/>
    <row r="1090" s="4" customFormat="1" ht="19.5" customHeight="1"/>
    <row r="1091" s="4" customFormat="1" ht="19.5" customHeight="1"/>
    <row r="1092" s="4" customFormat="1" ht="19.5" customHeight="1"/>
    <row r="1093" s="4" customFormat="1" ht="19.5" customHeight="1">
      <c r="R1093" s="55" t="s">
        <v>1405</v>
      </c>
    </row>
    <row r="1094" spans="5:70" s="4" customFormat="1" ht="19.5" customHeight="1">
      <c r="E1094" s="4" t="s">
        <v>764</v>
      </c>
      <c r="G1094" s="4" t="s">
        <v>290</v>
      </c>
      <c r="H1094" s="244">
        <f>H1086</f>
        <v>1538.04</v>
      </c>
      <c r="I1094" s="244"/>
      <c r="J1094" s="244"/>
      <c r="K1094" s="4" t="s">
        <v>344</v>
      </c>
      <c r="L1094" s="4" t="s">
        <v>1357</v>
      </c>
      <c r="M1094" s="244">
        <f>H1085</f>
        <v>1702.8300000000002</v>
      </c>
      <c r="N1094" s="244"/>
      <c r="O1094" s="244"/>
      <c r="P1094" s="4" t="s">
        <v>765</v>
      </c>
      <c r="Q1094" s="244">
        <f>H1086</f>
        <v>1538.04</v>
      </c>
      <c r="R1094" s="244"/>
      <c r="S1094" s="244"/>
      <c r="T1094" s="4" t="s">
        <v>766</v>
      </c>
      <c r="AB1094" s="4" t="s">
        <v>767</v>
      </c>
      <c r="AF1094" s="30" t="s">
        <v>768</v>
      </c>
      <c r="AK1094" s="30" t="s">
        <v>769</v>
      </c>
      <c r="AU1094" s="244"/>
      <c r="AV1094" s="244"/>
      <c r="AW1094" s="244"/>
      <c r="AX1094" s="244"/>
      <c r="BB1094" s="244"/>
      <c r="BC1094" s="244"/>
      <c r="BD1094" s="244"/>
      <c r="BE1094" s="244"/>
      <c r="BF1094" s="43"/>
      <c r="BR1094" s="30"/>
    </row>
    <row r="1095" spans="5:69" s="4" customFormat="1" ht="19.5" customHeight="1">
      <c r="E1095" s="4" t="s">
        <v>770</v>
      </c>
      <c r="G1095" s="4" t="s">
        <v>290</v>
      </c>
      <c r="H1095" s="247">
        <f>H1078</f>
        <v>0.0035</v>
      </c>
      <c r="I1095" s="247"/>
      <c r="J1095" s="247"/>
      <c r="K1095" s="30" t="s">
        <v>348</v>
      </c>
      <c r="L1095" s="4" t="s">
        <v>771</v>
      </c>
      <c r="M1095" s="4" t="s">
        <v>349</v>
      </c>
      <c r="N1095" s="4" t="s">
        <v>1357</v>
      </c>
      <c r="O1095" s="244">
        <f>Q1078</f>
        <v>182</v>
      </c>
      <c r="P1095" s="244"/>
      <c r="Q1095" s="244"/>
      <c r="R1095" s="4" t="s">
        <v>765</v>
      </c>
      <c r="S1095" s="4" t="s">
        <v>771</v>
      </c>
      <c r="T1095" s="4" t="s">
        <v>1120</v>
      </c>
      <c r="U1095" s="4" t="s">
        <v>344</v>
      </c>
      <c r="V1095" s="246">
        <f>Z1078/AD1078/100000</f>
        <v>0.0051868589818335935</v>
      </c>
      <c r="W1095" s="246"/>
      <c r="X1095" s="246"/>
      <c r="Y1095" s="246"/>
      <c r="AA1095" s="30" t="s">
        <v>772</v>
      </c>
      <c r="AV1095" s="244"/>
      <c r="AW1095" s="244"/>
      <c r="AX1095" s="244"/>
      <c r="AY1095" s="244"/>
      <c r="BA1095" s="244"/>
      <c r="BB1095" s="244"/>
      <c r="BC1095" s="244"/>
      <c r="BD1095" s="244"/>
      <c r="BJ1095" s="244"/>
      <c r="BK1095" s="244"/>
      <c r="BL1095" s="244"/>
      <c r="BM1095" s="244"/>
      <c r="BN1095" s="30"/>
      <c r="BQ1095" s="43"/>
    </row>
    <row r="1096" spans="1:69" s="4" customFormat="1" ht="19.5" customHeight="1">
      <c r="A1096" s="4" t="s">
        <v>592</v>
      </c>
      <c r="D1096" s="4" t="s">
        <v>773</v>
      </c>
      <c r="AR1096" s="50"/>
      <c r="AS1096" s="50"/>
      <c r="AT1096" s="50"/>
      <c r="AX1096" s="244"/>
      <c r="AY1096" s="244"/>
      <c r="AZ1096" s="244"/>
      <c r="BA1096" s="244"/>
      <c r="BB1096" s="244"/>
      <c r="BD1096" s="244"/>
      <c r="BE1096" s="244"/>
      <c r="BF1096" s="244"/>
      <c r="BG1096" s="244"/>
      <c r="BM1096" s="244"/>
      <c r="BN1096" s="244"/>
      <c r="BO1096" s="244"/>
      <c r="BP1096" s="244"/>
      <c r="BQ1096" s="43"/>
    </row>
    <row r="1097" spans="5:60" s="4" customFormat="1" ht="19.5" customHeight="1">
      <c r="E1097" s="235" t="s">
        <v>774</v>
      </c>
      <c r="F1097" s="235"/>
      <c r="G1097" s="235"/>
      <c r="H1097" s="235"/>
      <c r="I1097" s="4" t="s">
        <v>290</v>
      </c>
      <c r="J1097" s="4" t="s">
        <v>775</v>
      </c>
      <c r="AR1097" s="50"/>
      <c r="AS1097" s="50"/>
      <c r="AT1097" s="50"/>
      <c r="AW1097" s="244"/>
      <c r="AX1097" s="244"/>
      <c r="AY1097" s="244"/>
      <c r="AZ1097" s="244"/>
      <c r="BA1097" s="244"/>
      <c r="BD1097" s="244"/>
      <c r="BE1097" s="244"/>
      <c r="BF1097" s="244"/>
      <c r="BG1097" s="244"/>
      <c r="BH1097" s="244"/>
    </row>
    <row r="1098" spans="5:44" s="4" customFormat="1" ht="19.5" customHeight="1">
      <c r="E1098" s="50">
        <f>E1069</f>
        <v>27.200000000000003</v>
      </c>
      <c r="F1098" s="50"/>
      <c r="G1098" s="50"/>
      <c r="H1098" s="4" t="s">
        <v>771</v>
      </c>
      <c r="I1098" s="4" t="s">
        <v>290</v>
      </c>
      <c r="J1098" s="244">
        <f>J1069</f>
        <v>790.74</v>
      </c>
      <c r="K1098" s="244"/>
      <c r="L1098" s="244"/>
      <c r="M1098" s="4" t="s">
        <v>344</v>
      </c>
      <c r="N1098" s="56" t="s">
        <v>776</v>
      </c>
      <c r="O1098" s="56"/>
      <c r="P1098" s="56"/>
      <c r="AR1098" s="43"/>
    </row>
    <row r="1099" spans="9:61" s="4" customFormat="1" ht="19.5" customHeight="1">
      <c r="I1099" s="4" t="s">
        <v>290</v>
      </c>
      <c r="J1099" s="244">
        <f>J1098</f>
        <v>790.74</v>
      </c>
      <c r="K1099" s="244"/>
      <c r="L1099" s="244"/>
      <c r="M1099" s="4" t="s">
        <v>344</v>
      </c>
      <c r="N1099" s="38">
        <f>P1063</f>
        <v>2503.2</v>
      </c>
      <c r="O1099" s="38"/>
      <c r="P1099" s="38"/>
      <c r="Q1099" s="4" t="s">
        <v>349</v>
      </c>
      <c r="R1099" s="4" t="s">
        <v>777</v>
      </c>
      <c r="T1099" s="30" t="s">
        <v>778</v>
      </c>
      <c r="W1099" s="30" t="s">
        <v>779</v>
      </c>
      <c r="AT1099" s="235"/>
      <c r="AU1099" s="235"/>
      <c r="AV1099" s="235"/>
      <c r="BE1099" s="235"/>
      <c r="BF1099" s="235"/>
      <c r="BG1099" s="235"/>
      <c r="BI1099" s="43"/>
    </row>
    <row r="1100" s="4" customFormat="1" ht="19.5" customHeight="1">
      <c r="E1100" s="4" t="s">
        <v>995</v>
      </c>
    </row>
    <row r="1101" spans="6:44" s="4" customFormat="1" ht="19.5" customHeight="1">
      <c r="F1101" s="4" t="s">
        <v>780</v>
      </c>
      <c r="H1101" s="245">
        <f>(-((M1094-Q1094)/0.00744*H1095*N1099/1000-(((M1094-Q1094)/0.00744*V1095+(H1094-(M1094-Q1094)/0.00744*0.00756))*N1099/1000+J1099))+SQRT(((M1094-Q1094)/0.00744*H1095*N1099/1000-(((M1094-Q1094)/0.00744*V1095+(H1094-(M1094-Q1094)/0.00744*0.00756))*N1099/1000+J1099))^2-4*E1098*(-(M1094-Q1094)/0.00744*H1095*O1095*N1099/1000)))/(2*E1098)</f>
        <v>166.44558861840122</v>
      </c>
      <c r="I1101" s="245"/>
      <c r="J1101" s="245"/>
      <c r="K1101" s="4" t="s">
        <v>994</v>
      </c>
      <c r="AR1101" s="43"/>
    </row>
    <row r="1102" s="4" customFormat="1" ht="19.5" customHeight="1">
      <c r="D1102" s="4" t="s">
        <v>1406</v>
      </c>
    </row>
    <row r="1103" spans="6:9" s="4" customFormat="1" ht="19.5" customHeight="1">
      <c r="F1103" s="4" t="s">
        <v>781</v>
      </c>
      <c r="H1103" s="4" t="s">
        <v>1390</v>
      </c>
      <c r="I1103" s="4" t="s">
        <v>782</v>
      </c>
    </row>
    <row r="1104" spans="8:25" s="4" customFormat="1" ht="19.5" customHeight="1">
      <c r="H1104" s="4" t="s">
        <v>1390</v>
      </c>
      <c r="I1104" s="247">
        <f>H1075</f>
        <v>0.0035</v>
      </c>
      <c r="J1104" s="247"/>
      <c r="K1104" s="247"/>
      <c r="L1104" s="30" t="s">
        <v>1391</v>
      </c>
      <c r="M1104" s="244">
        <f>H1101</f>
        <v>166.44558861840122</v>
      </c>
      <c r="N1104" s="244"/>
      <c r="O1104" s="244"/>
      <c r="P1104" s="4" t="s">
        <v>1392</v>
      </c>
      <c r="Q1104" s="4" t="s">
        <v>1393</v>
      </c>
      <c r="R1104" s="244">
        <f>Q1055</f>
        <v>340</v>
      </c>
      <c r="S1104" s="244"/>
      <c r="T1104" s="244"/>
      <c r="U1104" s="4" t="s">
        <v>783</v>
      </c>
      <c r="V1104" s="244">
        <f>H1101</f>
        <v>166.44558861840122</v>
      </c>
      <c r="W1104" s="244"/>
      <c r="X1104" s="244"/>
      <c r="Y1104" s="4" t="s">
        <v>1394</v>
      </c>
    </row>
    <row r="1105" spans="8:37" s="4" customFormat="1" ht="19.5" customHeight="1">
      <c r="H1105" s="4" t="s">
        <v>1390</v>
      </c>
      <c r="I1105" s="248">
        <f>I1104/M1104*(R1104-V1104)</f>
        <v>0.0036494835632335933</v>
      </c>
      <c r="J1105" s="248"/>
      <c r="K1105" s="248"/>
      <c r="M1105" s="4" t="str">
        <f>IF(I1105&gt;=AG1105,"&gt;","&lt;")</f>
        <v>&gt;</v>
      </c>
      <c r="O1105" s="4" t="s">
        <v>784</v>
      </c>
      <c r="Q1105" s="4" t="s">
        <v>1390</v>
      </c>
      <c r="R1105" s="4" t="s">
        <v>785</v>
      </c>
      <c r="V1105" s="4" t="s">
        <v>1390</v>
      </c>
      <c r="W1105" s="40">
        <f>Q1062</f>
        <v>345</v>
      </c>
      <c r="X1105" s="40"/>
      <c r="Y1105" s="30" t="s">
        <v>1391</v>
      </c>
      <c r="Z1105" s="250">
        <f>Y1076</f>
        <v>2</v>
      </c>
      <c r="AA1105" s="250"/>
      <c r="AB1105" s="250"/>
      <c r="AC1105" s="27" t="s">
        <v>1392</v>
      </c>
      <c r="AD1105" s="39" t="s">
        <v>1395</v>
      </c>
      <c r="AE1105" s="29"/>
      <c r="AF1105" s="4" t="s">
        <v>1390</v>
      </c>
      <c r="AG1105" s="248">
        <f>W1105/Z1105/100000</f>
        <v>0.001725</v>
      </c>
      <c r="AH1105" s="248"/>
      <c r="AI1105" s="248"/>
      <c r="AK1105" s="4" t="str">
        <f>IF(I1105&gt;=AG1105,"→ 降伏","→ 降伏しない")</f>
        <v>→ 降伏</v>
      </c>
    </row>
    <row r="1106" spans="6:9" s="4" customFormat="1" ht="19.5" customHeight="1">
      <c r="F1106" s="4" t="s">
        <v>786</v>
      </c>
      <c r="H1106" s="4" t="s">
        <v>1390</v>
      </c>
      <c r="I1106" s="4" t="s">
        <v>787</v>
      </c>
    </row>
    <row r="1107" spans="8:37" s="4" customFormat="1" ht="19.5" customHeight="1">
      <c r="H1107" s="4" t="s">
        <v>1390</v>
      </c>
      <c r="I1107" s="4" t="s">
        <v>1390</v>
      </c>
      <c r="J1107" s="247">
        <f>I1104</f>
        <v>0.0035</v>
      </c>
      <c r="K1107" s="247"/>
      <c r="L1107" s="247"/>
      <c r="M1107" s="30" t="s">
        <v>1391</v>
      </c>
      <c r="N1107" s="244">
        <f>H1101</f>
        <v>166.44558861840122</v>
      </c>
      <c r="O1107" s="244"/>
      <c r="P1107" s="244"/>
      <c r="Q1107" s="4" t="s">
        <v>1392</v>
      </c>
      <c r="R1107" s="4" t="s">
        <v>1393</v>
      </c>
      <c r="S1107" s="244">
        <f>P1055</f>
        <v>182</v>
      </c>
      <c r="T1107" s="244"/>
      <c r="U1107" s="244"/>
      <c r="V1107" s="4" t="s">
        <v>783</v>
      </c>
      <c r="W1107" s="244">
        <f>H1101</f>
        <v>166.44558861840122</v>
      </c>
      <c r="X1107" s="244"/>
      <c r="Y1107" s="244"/>
      <c r="Z1107" s="4" t="s">
        <v>1394</v>
      </c>
      <c r="AA1107" s="4" t="s">
        <v>1396</v>
      </c>
      <c r="AB1107" s="244">
        <f>Z1078</f>
        <v>1037.3717963667186</v>
      </c>
      <c r="AC1107" s="244"/>
      <c r="AD1107" s="244"/>
      <c r="AE1107" s="30" t="s">
        <v>1391</v>
      </c>
      <c r="AF1107" s="250">
        <f>Z1105</f>
        <v>2</v>
      </c>
      <c r="AG1107" s="250"/>
      <c r="AH1107" s="250"/>
      <c r="AI1107" s="27" t="s">
        <v>1392</v>
      </c>
      <c r="AJ1107" s="39" t="s">
        <v>1395</v>
      </c>
      <c r="AK1107" s="29"/>
    </row>
    <row r="1108" spans="9:20" s="4" customFormat="1" ht="19.5" customHeight="1">
      <c r="I1108" s="4" t="s">
        <v>1390</v>
      </c>
      <c r="J1108" s="248">
        <f>J1107/N1107*(S1107-W1107)+AB1107/AF1107/100000</f>
        <v>0.00551393547744687</v>
      </c>
      <c r="K1108" s="248"/>
      <c r="L1108" s="248"/>
      <c r="N1108" s="4" t="str">
        <f>IF(J1108&gt;=P1108,"&gt;","&lt;")</f>
        <v>&lt;</v>
      </c>
      <c r="P1108" s="319">
        <v>0.015</v>
      </c>
      <c r="Q1108" s="319"/>
      <c r="R1108" s="319"/>
      <c r="S1108" s="319"/>
      <c r="T1108" s="4" t="str">
        <f>IF(J1108&gt;=P1108,"→ 降伏","→ 降伏しない")</f>
        <v>→ 降伏しない</v>
      </c>
    </row>
    <row r="1109" spans="14:20" s="4" customFormat="1" ht="19.5" customHeight="1">
      <c r="N1109" s="4" t="str">
        <f>IF(J1108&gt;=P1109,"&gt;","&lt;")</f>
        <v>&lt;</v>
      </c>
      <c r="P1109" s="319">
        <v>0.00756</v>
      </c>
      <c r="Q1109" s="319"/>
      <c r="R1109" s="319"/>
      <c r="S1109" s="319"/>
      <c r="T1109" s="4" t="str">
        <f>IF(J1108&gt;=P1109,"→ 範囲Ⅱ","→ 範囲Ⅰ")</f>
        <v>→ 範囲Ⅰ</v>
      </c>
    </row>
    <row r="1110" spans="1:12" ht="19.5" customHeight="1">
      <c r="A1110" s="4"/>
      <c r="B1110" s="4"/>
      <c r="C1110" s="4" t="s">
        <v>110</v>
      </c>
      <c r="D1110" s="4"/>
      <c r="E1110" s="4"/>
      <c r="F1110" s="4"/>
      <c r="G1110" s="4"/>
      <c r="H1110" s="4"/>
      <c r="I1110" s="4"/>
      <c r="J1110" s="4"/>
      <c r="K1110" s="4"/>
      <c r="L1110" s="4"/>
    </row>
    <row r="1111" spans="1:12" ht="19.5" customHeight="1">
      <c r="A1111" s="4"/>
      <c r="B1111" s="4"/>
      <c r="C1111" s="4"/>
      <c r="D1111" s="4" t="s">
        <v>111</v>
      </c>
      <c r="E1111" s="4"/>
      <c r="F1111" s="4"/>
      <c r="G1111" s="4"/>
      <c r="H1111" s="4"/>
      <c r="I1111" s="4"/>
      <c r="J1111" s="4"/>
      <c r="K1111" s="4"/>
      <c r="L1111" s="4"/>
    </row>
    <row r="1112" spans="1:12" ht="19.5" customHeight="1">
      <c r="A1112" s="4"/>
      <c r="B1112" s="4"/>
      <c r="C1112" s="4"/>
      <c r="D1112" s="4"/>
      <c r="E1112" s="4" t="s">
        <v>738</v>
      </c>
      <c r="F1112" s="4"/>
      <c r="G1112" s="4" t="s">
        <v>1360</v>
      </c>
      <c r="H1112" s="244">
        <f>AE1006</f>
        <v>4262.524056</v>
      </c>
      <c r="I1112" s="244"/>
      <c r="J1112" s="244"/>
      <c r="K1112" s="4" t="s">
        <v>737</v>
      </c>
      <c r="L1112" s="4"/>
    </row>
    <row r="1113" spans="1:12" ht="19.5" customHeight="1">
      <c r="A1113" s="4"/>
      <c r="B1113" s="4"/>
      <c r="C1113" s="4"/>
      <c r="D1113" s="4"/>
      <c r="E1113" s="4"/>
      <c r="F1113" s="4"/>
      <c r="G1113" s="4"/>
      <c r="H1113" s="4"/>
      <c r="I1113" s="4"/>
      <c r="J1113" s="4" t="s">
        <v>798</v>
      </c>
      <c r="K1113" s="4"/>
      <c r="L1113" s="4"/>
    </row>
    <row r="1114" spans="1:12" ht="19.5" customHeight="1">
      <c r="A1114" s="4"/>
      <c r="B1114" s="4"/>
      <c r="C1114" s="4"/>
      <c r="D1114" s="4" t="s">
        <v>112</v>
      </c>
      <c r="E1114" s="4"/>
      <c r="F1114" s="4"/>
      <c r="G1114" s="4"/>
      <c r="H1114" s="4"/>
      <c r="I1114" s="4"/>
      <c r="J1114" s="4"/>
      <c r="K1114" s="4"/>
      <c r="L1114" s="4"/>
    </row>
    <row r="1115" spans="1:12" ht="19.5" customHeight="1">
      <c r="A1115" s="4"/>
      <c r="B1115" s="4"/>
      <c r="C1115" s="4"/>
      <c r="D1115" s="30" t="s">
        <v>113</v>
      </c>
      <c r="E1115" s="4"/>
      <c r="F1115" s="4"/>
      <c r="G1115" s="4"/>
      <c r="H1115" s="4"/>
      <c r="I1115" s="4"/>
      <c r="J1115" s="4"/>
      <c r="K1115" s="4"/>
      <c r="L1115" s="4"/>
    </row>
    <row r="1116" spans="1:28" ht="19.5" customHeight="1">
      <c r="A1116" s="4"/>
      <c r="B1116" s="4"/>
      <c r="C1116" s="4"/>
      <c r="D1116" s="4"/>
      <c r="E1116" s="4" t="s">
        <v>799</v>
      </c>
      <c r="F1116" s="4"/>
      <c r="G1116" s="4" t="s">
        <v>1037</v>
      </c>
      <c r="H1116" s="4" t="s">
        <v>800</v>
      </c>
      <c r="I1116" s="4"/>
      <c r="J1116" s="4"/>
      <c r="K1116" s="4"/>
      <c r="L1116" s="4"/>
      <c r="M1116" s="243">
        <f>O1009/2</f>
        <v>0.4</v>
      </c>
      <c r="N1116" s="243"/>
      <c r="O1116" s="243"/>
      <c r="P1116" s="27" t="s">
        <v>731</v>
      </c>
      <c r="Q1116" s="27" t="s">
        <v>1398</v>
      </c>
      <c r="R1116" s="27" t="s">
        <v>432</v>
      </c>
      <c r="S1116" s="4" t="s">
        <v>801</v>
      </c>
      <c r="X1116" s="243">
        <f>M1116</f>
        <v>0.4</v>
      </c>
      <c r="Y1116" s="243"/>
      <c r="Z1116" s="243"/>
      <c r="AA1116" s="27" t="s">
        <v>731</v>
      </c>
      <c r="AB1116" s="27" t="s">
        <v>1398</v>
      </c>
    </row>
    <row r="1117" spans="1:42" ht="19.5" customHeight="1">
      <c r="A1117" s="4"/>
      <c r="B1117" s="4"/>
      <c r="C1117" s="4"/>
      <c r="D1117" s="4"/>
      <c r="E1117" s="4"/>
      <c r="F1117" s="4"/>
      <c r="G1117" s="4" t="s">
        <v>1037</v>
      </c>
      <c r="H1117" s="244">
        <f>W1005</f>
        <v>790.74</v>
      </c>
      <c r="I1117" s="244"/>
      <c r="J1117" s="244"/>
      <c r="K1117" s="4" t="s">
        <v>1040</v>
      </c>
      <c r="L1117" s="4" t="s">
        <v>1039</v>
      </c>
      <c r="M1117" s="266">
        <f>Q997/1000</f>
        <v>0.34</v>
      </c>
      <c r="N1117" s="266"/>
      <c r="O1117" s="266"/>
      <c r="P1117" s="4" t="s">
        <v>1038</v>
      </c>
      <c r="Q1117" s="243">
        <f>M1116</f>
        <v>0.4</v>
      </c>
      <c r="R1117" s="243"/>
      <c r="S1117" s="243"/>
      <c r="T1117" s="4" t="s">
        <v>1040</v>
      </c>
      <c r="U1117" s="248">
        <f>IF(H1022&lt;N1022,H1044/1000,J1013/1000)</f>
        <v>0.16645736361284205</v>
      </c>
      <c r="V1117" s="248"/>
      <c r="W1117" s="248"/>
      <c r="X1117" s="4" t="s">
        <v>1398</v>
      </c>
      <c r="Y1117" s="27" t="s">
        <v>432</v>
      </c>
      <c r="Z1117" s="244">
        <f>H1112</f>
        <v>4262.524056</v>
      </c>
      <c r="AA1117" s="244"/>
      <c r="AB1117" s="244"/>
      <c r="AC1117" s="4" t="s">
        <v>1040</v>
      </c>
      <c r="AD1117" s="4" t="s">
        <v>1039</v>
      </c>
      <c r="AE1117" s="266">
        <f>P997/1000</f>
        <v>0.182</v>
      </c>
      <c r="AF1117" s="266"/>
      <c r="AG1117" s="266"/>
      <c r="AH1117" s="4" t="s">
        <v>1038</v>
      </c>
      <c r="AI1117" s="243">
        <f>X1116</f>
        <v>0.4</v>
      </c>
      <c r="AJ1117" s="243"/>
      <c r="AK1117" s="243"/>
      <c r="AL1117" s="4" t="s">
        <v>1040</v>
      </c>
      <c r="AM1117" s="248">
        <f>U1117</f>
        <v>0.16645736361284205</v>
      </c>
      <c r="AN1117" s="248"/>
      <c r="AO1117" s="248"/>
      <c r="AP1117" s="4" t="s">
        <v>1398</v>
      </c>
    </row>
    <row r="1118" spans="1:13" ht="19.5" customHeight="1">
      <c r="A1118" s="4"/>
      <c r="B1118" s="4"/>
      <c r="C1118" s="4"/>
      <c r="D1118" s="4"/>
      <c r="E1118" s="4"/>
      <c r="F1118" s="4"/>
      <c r="G1118" s="4" t="s">
        <v>1037</v>
      </c>
      <c r="H1118" s="244">
        <f>H1117*(M1117-Q1117*U1117)+Z1117*(AE1117-AI1117*AM1117)</f>
        <v>708.1697732314813</v>
      </c>
      <c r="I1118" s="244"/>
      <c r="J1118" s="244"/>
      <c r="K1118" s="4" t="s">
        <v>875</v>
      </c>
      <c r="L1118" s="4"/>
      <c r="M1118" s="4" t="s">
        <v>986</v>
      </c>
    </row>
    <row r="1119" spans="1:12" ht="19.5" customHeight="1">
      <c r="A1119" s="4"/>
      <c r="B1119" s="4"/>
      <c r="C1119" s="4"/>
      <c r="D1119" s="30" t="s">
        <v>981</v>
      </c>
      <c r="E1119" s="4"/>
      <c r="F1119" s="4"/>
      <c r="G1119" s="4"/>
      <c r="H1119" s="4"/>
      <c r="I1119" s="4"/>
      <c r="J1119" s="4"/>
      <c r="K1119" s="4"/>
      <c r="L1119" s="4"/>
    </row>
    <row r="1120" spans="1:28" ht="19.5" customHeight="1">
      <c r="A1120" s="4"/>
      <c r="B1120" s="4"/>
      <c r="C1120" s="4"/>
      <c r="D1120" s="4"/>
      <c r="E1120" s="4" t="s">
        <v>799</v>
      </c>
      <c r="F1120" s="4"/>
      <c r="G1120" s="4" t="s">
        <v>1037</v>
      </c>
      <c r="H1120" s="4" t="s">
        <v>800</v>
      </c>
      <c r="I1120" s="4"/>
      <c r="J1120" s="4"/>
      <c r="K1120" s="4"/>
      <c r="L1120" s="4"/>
      <c r="M1120" s="243">
        <f>O1066/2</f>
        <v>0.4</v>
      </c>
      <c r="N1120" s="243"/>
      <c r="O1120" s="243"/>
      <c r="P1120" s="27" t="s">
        <v>731</v>
      </c>
      <c r="Q1120" s="27" t="s">
        <v>1398</v>
      </c>
      <c r="R1120" s="27" t="s">
        <v>432</v>
      </c>
      <c r="S1120" s="4" t="s">
        <v>801</v>
      </c>
      <c r="X1120" s="243">
        <f>M1120</f>
        <v>0.4</v>
      </c>
      <c r="Y1120" s="243"/>
      <c r="Z1120" s="243"/>
      <c r="AA1120" s="27" t="s">
        <v>731</v>
      </c>
      <c r="AB1120" s="27" t="s">
        <v>1398</v>
      </c>
    </row>
    <row r="1121" spans="1:42" ht="19.5" customHeight="1">
      <c r="A1121" s="4"/>
      <c r="B1121" s="4"/>
      <c r="C1121" s="4"/>
      <c r="D1121" s="4"/>
      <c r="E1121" s="4"/>
      <c r="F1121" s="4"/>
      <c r="G1121" s="4" t="s">
        <v>1037</v>
      </c>
      <c r="H1121" s="244">
        <f>W1062</f>
        <v>790.74</v>
      </c>
      <c r="I1121" s="244"/>
      <c r="J1121" s="244"/>
      <c r="K1121" s="4" t="s">
        <v>1040</v>
      </c>
      <c r="L1121" s="4" t="s">
        <v>1039</v>
      </c>
      <c r="M1121" s="266">
        <f>Q1055/1000</f>
        <v>0.34</v>
      </c>
      <c r="N1121" s="266"/>
      <c r="O1121" s="266"/>
      <c r="P1121" s="4" t="s">
        <v>1038</v>
      </c>
      <c r="Q1121" s="243">
        <f>M1120</f>
        <v>0.4</v>
      </c>
      <c r="R1121" s="243"/>
      <c r="S1121" s="243"/>
      <c r="T1121" s="4" t="s">
        <v>1040</v>
      </c>
      <c r="U1121" s="248">
        <f>IF(H1079&lt;N1079,H1101/1000,J1070/1000)</f>
        <v>0.16644558861840122</v>
      </c>
      <c r="V1121" s="248"/>
      <c r="W1121" s="248"/>
      <c r="X1121" s="4" t="s">
        <v>1398</v>
      </c>
      <c r="Y1121" s="27" t="s">
        <v>432</v>
      </c>
      <c r="Z1121" s="244">
        <f>H1112</f>
        <v>4262.524056</v>
      </c>
      <c r="AA1121" s="244"/>
      <c r="AB1121" s="244"/>
      <c r="AC1121" s="4" t="s">
        <v>1040</v>
      </c>
      <c r="AD1121" s="4" t="s">
        <v>1039</v>
      </c>
      <c r="AE1121" s="266">
        <f>P1055/1000</f>
        <v>0.182</v>
      </c>
      <c r="AF1121" s="266"/>
      <c r="AG1121" s="266"/>
      <c r="AH1121" s="4" t="s">
        <v>1038</v>
      </c>
      <c r="AI1121" s="243">
        <f>X1120</f>
        <v>0.4</v>
      </c>
      <c r="AJ1121" s="243"/>
      <c r="AK1121" s="243"/>
      <c r="AL1121" s="4" t="s">
        <v>1040</v>
      </c>
      <c r="AM1121" s="248">
        <f>U1121</f>
        <v>0.16644558861840122</v>
      </c>
      <c r="AN1121" s="248"/>
      <c r="AO1121" s="248"/>
      <c r="AP1121" s="4" t="s">
        <v>1398</v>
      </c>
    </row>
    <row r="1122" spans="1:13" ht="19.5" customHeight="1">
      <c r="A1122" s="4"/>
      <c r="B1122" s="4"/>
      <c r="C1122" s="4"/>
      <c r="D1122" s="4"/>
      <c r="E1122" s="4"/>
      <c r="F1122" s="4"/>
      <c r="G1122" s="4" t="s">
        <v>1037</v>
      </c>
      <c r="H1122" s="244">
        <f>H1121*(M1121-Q1121*U1121)+Z1121*(AE1121-AI1121*AM1121)</f>
        <v>708.1935740939482</v>
      </c>
      <c r="I1122" s="244"/>
      <c r="J1122" s="244"/>
      <c r="K1122" s="4" t="s">
        <v>875</v>
      </c>
      <c r="L1122" s="4"/>
      <c r="M1122" s="4" t="s">
        <v>986</v>
      </c>
    </row>
    <row r="1123" spans="1:13" ht="19.5" customHeight="1">
      <c r="A1123" s="4"/>
      <c r="B1123" s="4"/>
      <c r="C1123" s="4"/>
      <c r="D1123" s="4"/>
      <c r="E1123" s="4"/>
      <c r="F1123" s="4"/>
      <c r="G1123" s="4"/>
      <c r="H1123" s="78"/>
      <c r="I1123" s="78"/>
      <c r="J1123" s="78"/>
      <c r="K1123" s="4"/>
      <c r="L1123" s="4"/>
      <c r="M1123" s="4"/>
    </row>
    <row r="1124" spans="1:34" ht="19.5" customHeight="1">
      <c r="A1124" s="4"/>
      <c r="C1124" s="4" t="s">
        <v>114</v>
      </c>
      <c r="D1124" s="4"/>
      <c r="E1124" s="4"/>
      <c r="F1124" s="4"/>
      <c r="G1124" s="4"/>
      <c r="H1124" s="4"/>
      <c r="I1124" s="4"/>
      <c r="J1124" s="4"/>
      <c r="K1124" s="4"/>
      <c r="L1124" s="4"/>
      <c r="AH1124" s="92" t="s">
        <v>936</v>
      </c>
    </row>
    <row r="1125" spans="1:12" ht="19.5" customHeight="1">
      <c r="A1125" s="4"/>
      <c r="C1125" s="4"/>
      <c r="D1125" s="4" t="s">
        <v>115</v>
      </c>
      <c r="E1125" s="4"/>
      <c r="F1125" s="4"/>
      <c r="G1125" s="4"/>
      <c r="H1125" s="4"/>
      <c r="I1125" s="4"/>
      <c r="J1125" s="4"/>
      <c r="K1125" s="4"/>
      <c r="L1125" s="4"/>
    </row>
    <row r="1126" spans="1:35" ht="19.5" customHeight="1">
      <c r="A1126" s="4"/>
      <c r="B1126" s="4"/>
      <c r="C1126" s="4"/>
      <c r="D1126" s="4"/>
      <c r="E1126" s="4" t="s">
        <v>802</v>
      </c>
      <c r="F1126" s="4"/>
      <c r="G1126" s="4" t="s">
        <v>993</v>
      </c>
      <c r="H1126" s="4" t="s">
        <v>803</v>
      </c>
      <c r="I1126" s="4"/>
      <c r="J1126" s="4"/>
      <c r="K1126" s="4"/>
      <c r="L1126" s="4"/>
      <c r="P1126" s="27" t="s">
        <v>993</v>
      </c>
      <c r="Q1126" s="237">
        <v>1.3</v>
      </c>
      <c r="R1126" s="237"/>
      <c r="S1126" s="4" t="s">
        <v>1353</v>
      </c>
      <c r="T1126" s="243">
        <f>X213</f>
        <v>14.883</v>
      </c>
      <c r="U1126" s="243"/>
      <c r="V1126" s="243"/>
      <c r="W1126" s="27" t="s">
        <v>1029</v>
      </c>
      <c r="X1126" s="237">
        <v>2.5</v>
      </c>
      <c r="Y1126" s="237"/>
      <c r="Z1126" s="4" t="s">
        <v>1353</v>
      </c>
      <c r="AA1126" s="243">
        <f>X209</f>
        <v>155.909</v>
      </c>
      <c r="AB1126" s="243"/>
      <c r="AC1126" s="243"/>
      <c r="AD1126" s="27" t="s">
        <v>993</v>
      </c>
      <c r="AE1126" s="237">
        <f>Q1126*T1126+X1126*AA1126</f>
        <v>409.12039999999996</v>
      </c>
      <c r="AF1126" s="237"/>
      <c r="AG1126" s="237"/>
      <c r="AI1126" s="29" t="s">
        <v>804</v>
      </c>
    </row>
    <row r="1127" spans="1:35" ht="19.5" customHeight="1">
      <c r="A1127" s="4"/>
      <c r="B1127" s="4"/>
      <c r="C1127" s="4"/>
      <c r="D1127" s="4"/>
      <c r="E1127" s="4" t="s">
        <v>805</v>
      </c>
      <c r="F1127" s="4"/>
      <c r="G1127" s="4" t="s">
        <v>993</v>
      </c>
      <c r="H1127" s="4" t="s">
        <v>806</v>
      </c>
      <c r="I1127" s="4"/>
      <c r="J1127" s="4"/>
      <c r="K1127" s="4"/>
      <c r="L1127" s="4"/>
      <c r="P1127" s="27" t="s">
        <v>993</v>
      </c>
      <c r="Q1127" s="237">
        <v>1</v>
      </c>
      <c r="R1127" s="237"/>
      <c r="S1127" s="4" t="s">
        <v>1353</v>
      </c>
      <c r="T1127" s="243">
        <f>T1126</f>
        <v>14.883</v>
      </c>
      <c r="U1127" s="243"/>
      <c r="V1127" s="243"/>
      <c r="W1127" s="27" t="s">
        <v>1029</v>
      </c>
      <c r="X1127" s="237">
        <v>2.5</v>
      </c>
      <c r="Y1127" s="237"/>
      <c r="Z1127" s="4" t="s">
        <v>1353</v>
      </c>
      <c r="AA1127" s="243">
        <f>AA1126</f>
        <v>155.909</v>
      </c>
      <c r="AB1127" s="243"/>
      <c r="AC1127" s="243"/>
      <c r="AD1127" s="27" t="s">
        <v>993</v>
      </c>
      <c r="AE1127" s="237">
        <f>Q1127*T1127+X1127*AA1127</f>
        <v>404.65549999999996</v>
      </c>
      <c r="AF1127" s="237"/>
      <c r="AG1127" s="237"/>
      <c r="AI1127" s="29" t="s">
        <v>875</v>
      </c>
    </row>
    <row r="1128" spans="1:35" ht="19.5" customHeight="1">
      <c r="A1128" s="4"/>
      <c r="B1128" s="4"/>
      <c r="C1128" s="4"/>
      <c r="D1128" s="4"/>
      <c r="E1128" s="4" t="s">
        <v>805</v>
      </c>
      <c r="F1128" s="4"/>
      <c r="G1128" s="4" t="s">
        <v>993</v>
      </c>
      <c r="H1128" s="4" t="s">
        <v>807</v>
      </c>
      <c r="I1128" s="4"/>
      <c r="J1128" s="4"/>
      <c r="K1128" s="4"/>
      <c r="L1128" s="4"/>
      <c r="P1128" s="27" t="s">
        <v>993</v>
      </c>
      <c r="Q1128" s="237">
        <v>1.7</v>
      </c>
      <c r="R1128" s="237"/>
      <c r="S1128" s="4" t="s">
        <v>1353</v>
      </c>
      <c r="T1128" s="243">
        <f>T1127</f>
        <v>14.883</v>
      </c>
      <c r="U1128" s="243"/>
      <c r="V1128" s="243"/>
      <c r="W1128" s="27" t="s">
        <v>1029</v>
      </c>
      <c r="X1128" s="237">
        <v>1.7</v>
      </c>
      <c r="Y1128" s="237"/>
      <c r="Z1128" s="4" t="s">
        <v>1353</v>
      </c>
      <c r="AA1128" s="243">
        <f>AA1127</f>
        <v>155.909</v>
      </c>
      <c r="AB1128" s="243"/>
      <c r="AC1128" s="243"/>
      <c r="AD1128" s="27" t="s">
        <v>993</v>
      </c>
      <c r="AE1128" s="237">
        <f>Q1128*T1128+X1128*AA1128</f>
        <v>290.3464</v>
      </c>
      <c r="AF1128" s="237"/>
      <c r="AG1128" s="237"/>
      <c r="AI1128" s="29" t="s">
        <v>875</v>
      </c>
    </row>
    <row r="1129" spans="1:33" ht="19.5" customHeight="1">
      <c r="A1129" s="4"/>
      <c r="B1129" s="4"/>
      <c r="C1129" s="4"/>
      <c r="D1129" s="4"/>
      <c r="E1129" s="4"/>
      <c r="F1129" s="4"/>
      <c r="G1129" s="4"/>
      <c r="H1129" s="4"/>
      <c r="I1129" s="4"/>
      <c r="J1129" s="4"/>
      <c r="K1129" s="4"/>
      <c r="L1129" s="4"/>
      <c r="Q1129" s="44"/>
      <c r="R1129" s="44"/>
      <c r="S1129" s="4"/>
      <c r="T1129" s="102"/>
      <c r="U1129" s="102"/>
      <c r="V1129" s="102"/>
      <c r="X1129" s="44"/>
      <c r="Y1129" s="44"/>
      <c r="Z1129" s="4"/>
      <c r="AA1129" s="102"/>
      <c r="AB1129" s="102"/>
      <c r="AC1129" s="102"/>
      <c r="AE1129" s="44"/>
      <c r="AF1129" s="44"/>
      <c r="AG1129" s="44"/>
    </row>
    <row r="1130" spans="1:12" ht="19.5" customHeight="1">
      <c r="A1130" s="4"/>
      <c r="B1130" s="4"/>
      <c r="C1130" s="4"/>
      <c r="D1130" s="4" t="s">
        <v>116</v>
      </c>
      <c r="E1130" s="4"/>
      <c r="F1130" s="4"/>
      <c r="G1130" s="4"/>
      <c r="H1130" s="4"/>
      <c r="I1130" s="4"/>
      <c r="J1130" s="4"/>
      <c r="K1130" s="4"/>
      <c r="L1130" s="4"/>
    </row>
    <row r="1131" spans="1:31" ht="19.5" customHeight="1">
      <c r="A1131" s="4"/>
      <c r="B1131" s="4"/>
      <c r="E1131" s="4" t="s">
        <v>808</v>
      </c>
      <c r="F1131" s="4"/>
      <c r="G1131" s="4" t="s">
        <v>1356</v>
      </c>
      <c r="H1131" s="4" t="s">
        <v>809</v>
      </c>
      <c r="I1131" s="4"/>
      <c r="J1131" s="4"/>
      <c r="K1131" s="4"/>
      <c r="L1131" s="4" t="s">
        <v>1356</v>
      </c>
      <c r="M1131" s="237">
        <f>H1118</f>
        <v>708.1697732314813</v>
      </c>
      <c r="N1131" s="237"/>
      <c r="O1131" s="237"/>
      <c r="P1131" s="39" t="s">
        <v>1386</v>
      </c>
      <c r="Q1131" s="237">
        <f>AE1126</f>
        <v>409.12039999999996</v>
      </c>
      <c r="R1131" s="237"/>
      <c r="S1131" s="237"/>
      <c r="T1131" s="27" t="s">
        <v>1356</v>
      </c>
      <c r="U1131" s="250">
        <f>M1131/Q1131</f>
        <v>1.7309568851406123</v>
      </c>
      <c r="V1131" s="250"/>
      <c r="W1131" s="250"/>
      <c r="Y1131" s="4" t="str">
        <f>IF(U1131&gt;=AA1131,"&gt;","&lt;")</f>
        <v>&gt;</v>
      </c>
      <c r="Z1131" s="4"/>
      <c r="AA1131" s="237">
        <v>1</v>
      </c>
      <c r="AB1131" s="237"/>
      <c r="AD1131" s="4"/>
      <c r="AE1131" s="4" t="str">
        <f>IF(U1131&gt;=AA1131,"O.K.","N.G.")</f>
        <v>O.K.</v>
      </c>
    </row>
    <row r="1132" spans="1:31" ht="19.5" customHeight="1">
      <c r="A1132" s="4"/>
      <c r="B1132" s="4"/>
      <c r="C1132" s="4"/>
      <c r="D1132" s="4"/>
      <c r="E1132" s="4" t="s">
        <v>810</v>
      </c>
      <c r="F1132" s="4"/>
      <c r="G1132" s="4" t="s">
        <v>1356</v>
      </c>
      <c r="H1132" s="4" t="s">
        <v>811</v>
      </c>
      <c r="I1132" s="4"/>
      <c r="J1132" s="4"/>
      <c r="K1132" s="4"/>
      <c r="L1132" s="4" t="s">
        <v>1356</v>
      </c>
      <c r="M1132" s="237">
        <f>H1118</f>
        <v>708.1697732314813</v>
      </c>
      <c r="N1132" s="237"/>
      <c r="O1132" s="237"/>
      <c r="P1132" s="39" t="s">
        <v>1386</v>
      </c>
      <c r="Q1132" s="237">
        <f>AE1127</f>
        <v>404.65549999999996</v>
      </c>
      <c r="R1132" s="237"/>
      <c r="S1132" s="237"/>
      <c r="T1132" s="27" t="s">
        <v>1356</v>
      </c>
      <c r="U1132" s="250">
        <f>M1132/Q1132</f>
        <v>1.7500559691675543</v>
      </c>
      <c r="V1132" s="250"/>
      <c r="W1132" s="250"/>
      <c r="Y1132" s="4" t="str">
        <f>IF(U1132&gt;=AA1132,"&gt;","&lt;")</f>
        <v>&gt;</v>
      </c>
      <c r="Z1132" s="4"/>
      <c r="AA1132" s="237">
        <v>1</v>
      </c>
      <c r="AB1132" s="237"/>
      <c r="AD1132" s="4"/>
      <c r="AE1132" s="4" t="str">
        <f>IF(U1132&gt;=AA1132,"O.K.","N.G.")</f>
        <v>O.K.</v>
      </c>
    </row>
    <row r="1133" spans="1:31" ht="19.5" customHeight="1">
      <c r="A1133" s="4" t="s">
        <v>568</v>
      </c>
      <c r="B1133" s="4"/>
      <c r="C1133" s="4"/>
      <c r="D1133" s="4"/>
      <c r="E1133" s="4" t="s">
        <v>812</v>
      </c>
      <c r="F1133" s="4"/>
      <c r="G1133" s="4" t="s">
        <v>1356</v>
      </c>
      <c r="H1133" s="4" t="s">
        <v>813</v>
      </c>
      <c r="I1133" s="4"/>
      <c r="J1133" s="4"/>
      <c r="K1133" s="4"/>
      <c r="L1133" s="4" t="s">
        <v>1356</v>
      </c>
      <c r="M1133" s="237">
        <f>H1118</f>
        <v>708.1697732314813</v>
      </c>
      <c r="N1133" s="237"/>
      <c r="O1133" s="237"/>
      <c r="P1133" s="39" t="s">
        <v>1386</v>
      </c>
      <c r="Q1133" s="237">
        <f>AE1128</f>
        <v>290.3464</v>
      </c>
      <c r="R1133" s="237"/>
      <c r="S1133" s="237"/>
      <c r="T1133" s="27" t="s">
        <v>1356</v>
      </c>
      <c r="U1133" s="250">
        <f>M1133/Q1133</f>
        <v>2.439051330519274</v>
      </c>
      <c r="V1133" s="250"/>
      <c r="W1133" s="250"/>
      <c r="Y1133" s="4" t="str">
        <f>IF(U1133&gt;=AA1133,"&gt;","&lt;")</f>
        <v>&gt;</v>
      </c>
      <c r="Z1133" s="4"/>
      <c r="AA1133" s="237">
        <v>1</v>
      </c>
      <c r="AB1133" s="237"/>
      <c r="AD1133" s="4"/>
      <c r="AE1133" s="4" t="str">
        <f>IF(U1133&gt;=AA1133,"O.K.","N.G.")</f>
        <v>O.K.</v>
      </c>
    </row>
    <row r="1134" spans="1:31" ht="19.5" customHeight="1">
      <c r="A1134" s="4"/>
      <c r="B1134" s="4"/>
      <c r="C1134" s="4"/>
      <c r="D1134" s="4"/>
      <c r="E1134" s="4"/>
      <c r="F1134" s="4"/>
      <c r="G1134" s="4"/>
      <c r="H1134" s="4"/>
      <c r="I1134" s="4"/>
      <c r="J1134" s="4"/>
      <c r="K1134" s="4"/>
      <c r="L1134" s="4"/>
      <c r="M1134" s="44"/>
      <c r="N1134" s="44"/>
      <c r="O1134" s="44"/>
      <c r="P1134" s="39"/>
      <c r="Q1134" s="44"/>
      <c r="R1134" s="44"/>
      <c r="S1134" s="44"/>
      <c r="U1134" s="54"/>
      <c r="V1134" s="54"/>
      <c r="W1134" s="54"/>
      <c r="Y1134" s="4"/>
      <c r="Z1134" s="4"/>
      <c r="AA1134" s="44"/>
      <c r="AB1134" s="44"/>
      <c r="AD1134" s="4"/>
      <c r="AE1134" s="4"/>
    </row>
    <row r="1135" spans="1:37" ht="19.5" customHeight="1">
      <c r="A1135" s="4"/>
      <c r="B1135" s="4"/>
      <c r="D1135" s="4" t="s">
        <v>117</v>
      </c>
      <c r="E1135" s="4"/>
      <c r="F1135" s="4"/>
      <c r="G1135" s="4"/>
      <c r="H1135" s="4"/>
      <c r="I1135" s="4"/>
      <c r="J1135" s="4"/>
      <c r="K1135" s="4"/>
      <c r="L1135" s="4"/>
      <c r="AF1135" s="4"/>
      <c r="AG1135" s="4"/>
      <c r="AH1135" s="4"/>
      <c r="AI1135" s="4"/>
      <c r="AJ1135" s="4"/>
      <c r="AK1135" s="4"/>
    </row>
    <row r="1136" spans="1:89" s="27" customFormat="1" ht="19.5" customHeight="1">
      <c r="A1136" s="4"/>
      <c r="B1136" s="4"/>
      <c r="C1136" s="4"/>
      <c r="D1136" s="4"/>
      <c r="E1136" s="183" t="s">
        <v>1021</v>
      </c>
      <c r="F1136" s="183"/>
      <c r="G1136" s="183"/>
      <c r="H1136" s="183"/>
      <c r="I1136" s="183"/>
      <c r="J1136" s="183"/>
      <c r="K1136" s="183"/>
      <c r="L1136" s="204" t="s">
        <v>437</v>
      </c>
      <c r="M1136" s="204"/>
      <c r="N1136" s="204"/>
      <c r="O1136" s="204"/>
      <c r="P1136" s="204" t="s">
        <v>438</v>
      </c>
      <c r="Q1136" s="204"/>
      <c r="R1136" s="204"/>
      <c r="S1136" s="204"/>
      <c r="T1136" s="204" t="s">
        <v>439</v>
      </c>
      <c r="U1136" s="204"/>
      <c r="V1136" s="204"/>
      <c r="W1136" s="204"/>
      <c r="AG1136" s="29"/>
      <c r="AH1136" s="29"/>
      <c r="AI1136" s="29"/>
      <c r="AJ1136" s="29"/>
      <c r="AK1136" s="29"/>
      <c r="AL1136" s="29"/>
      <c r="AM1136" s="29"/>
      <c r="AN1136" s="29"/>
      <c r="AO1136" s="29"/>
      <c r="BY1136" s="20"/>
      <c r="BZ1136" s="20"/>
      <c r="CA1136" s="20"/>
      <c r="CB1136" s="20"/>
      <c r="CC1136" s="20"/>
      <c r="CD1136" s="20"/>
      <c r="CE1136" s="20"/>
      <c r="CF1136" s="20"/>
      <c r="CG1136" s="20"/>
      <c r="CH1136" s="20"/>
      <c r="CI1136" s="20"/>
      <c r="CJ1136" s="20"/>
      <c r="CK1136" s="20"/>
    </row>
    <row r="1137" spans="1:42" ht="19.5" customHeight="1">
      <c r="A1137" s="4"/>
      <c r="B1137" s="4"/>
      <c r="C1137" s="4"/>
      <c r="D1137" s="4"/>
      <c r="E1137" s="183" t="s">
        <v>1399</v>
      </c>
      <c r="F1137" s="183"/>
      <c r="G1137" s="183"/>
      <c r="H1137" s="204" t="s">
        <v>814</v>
      </c>
      <c r="I1137" s="204"/>
      <c r="J1137" s="204"/>
      <c r="K1137" s="204"/>
      <c r="L1137" s="190">
        <f>$I$255*$Q$1005/1000</f>
        <v>790.74</v>
      </c>
      <c r="M1137" s="190"/>
      <c r="N1137" s="190"/>
      <c r="O1137" s="190"/>
      <c r="P1137" s="190">
        <f>$AI$244*$Q$1005/1000</f>
        <v>790.74</v>
      </c>
      <c r="Q1137" s="190"/>
      <c r="R1137" s="190"/>
      <c r="S1137" s="190"/>
      <c r="T1137" s="190">
        <f>$I$255*$Q$1005/1000</f>
        <v>790.74</v>
      </c>
      <c r="U1137" s="190"/>
      <c r="V1137" s="190"/>
      <c r="W1137" s="190"/>
      <c r="AG1137" s="29"/>
      <c r="AP1137" s="27"/>
    </row>
    <row r="1138" spans="1:42" ht="19.5" customHeight="1">
      <c r="A1138" s="4"/>
      <c r="B1138" s="4"/>
      <c r="C1138" s="4"/>
      <c r="D1138" s="4"/>
      <c r="E1138" s="183" t="s">
        <v>1400</v>
      </c>
      <c r="F1138" s="183"/>
      <c r="G1138" s="183"/>
      <c r="H1138" s="204" t="s">
        <v>814</v>
      </c>
      <c r="I1138" s="204"/>
      <c r="J1138" s="204"/>
      <c r="K1138" s="204"/>
      <c r="L1138" s="190">
        <f>$AG$256*$T$1006*$X$1006/1000</f>
        <v>4262.524056</v>
      </c>
      <c r="M1138" s="190"/>
      <c r="N1138" s="190"/>
      <c r="O1138" s="190"/>
      <c r="P1138" s="190">
        <f>$AG$241*$T$1006*$X$1006/1000</f>
        <v>4262.524056</v>
      </c>
      <c r="Q1138" s="190"/>
      <c r="R1138" s="190"/>
      <c r="S1138" s="190"/>
      <c r="T1138" s="190">
        <f>$AG$256*$T$1006*$X$1006/1000</f>
        <v>4262.524056</v>
      </c>
      <c r="U1138" s="190"/>
      <c r="V1138" s="190"/>
      <c r="W1138" s="190"/>
      <c r="AG1138" s="29"/>
      <c r="AP1138" s="27"/>
    </row>
    <row r="1139" spans="1:42" ht="19.5" customHeight="1">
      <c r="A1139" s="4"/>
      <c r="B1139" s="4"/>
      <c r="C1139" s="4"/>
      <c r="D1139" s="4"/>
      <c r="E1139" s="183" t="s">
        <v>711</v>
      </c>
      <c r="F1139" s="183"/>
      <c r="G1139" s="183"/>
      <c r="H1139" s="204" t="s">
        <v>441</v>
      </c>
      <c r="I1139" s="204"/>
      <c r="J1139" s="204"/>
      <c r="K1139" s="204"/>
      <c r="L1139" s="290">
        <f>IF(H1079&lt;N1079,(-((M1094-Q1094)/0.00744*H1095*N1099/1000-(((M1094-Q1094)/0.00744*L615/AD1078/100000+(H1094-(M1094-Q1094)/0.00744*0.00756))*N1099/1000+J1099))+SQRT(((M1094-Q1094)/0.00744*H1095*N1099/1000-(((M1094-Q1094)/0.00744*L615/AD1078/100000+(H1094-(M1094-Q1094)/0.00744*0.00756))*N1099/1000+J1099))^2-4*E1098*(-(M1094-Q1094)/0.00744*H1095*O1095*N1099/1000)))/(2*E1098),J1070)</f>
        <v>166.44558861840122</v>
      </c>
      <c r="M1139" s="290"/>
      <c r="N1139" s="290"/>
      <c r="O1139" s="290"/>
      <c r="P1139" s="290">
        <f>IF(H1022&lt;N1022,(-((M1037-Q1037)/0.00744*H1038*N1042/1000-(((M1037-Q1037)/0.00744*P615/AD1021/100000+(H1037-(M1037-Q1037)/0.00744*0.00756))*N1042/1000+J1042))+SQRT(((M1037-Q1037)/0.00744*H1038*N1042/1000-(((M1037-Q1037)/0.00744*P615/AD1021/100000+(H1037-(M1037-Q1037)/0.00744*0.00756))*N1042/1000+J1042))^2-4*E1041*(-(M1037-Q1037)/0.00744*H1038*O1038*N1042/1000)))/(2*E1041),J1013)</f>
        <v>166.45736361284204</v>
      </c>
      <c r="Q1139" s="290"/>
      <c r="R1139" s="290"/>
      <c r="S1139" s="290"/>
      <c r="T1139" s="290">
        <f>IF(H1079&lt;N1079,(-((M1094-Q1094)/0.00744*H1095*N1099/1000-(((M1094-Q1094)/0.00744*T615/AD1078/100000+(H1094-(M1094-Q1094)/0.00744*0.00756))*N1099/1000+J1099))+SQRT(((M1094-Q1094)/0.00744*H1095*N1099/1000-(((M1094-Q1094)/0.00744*T615/AD1078/100000+(H1094-(M1094-Q1094)/0.00744*0.00756))*N1099/1000+J1099))^2-4*E1098*(-(M1094-Q1094)/0.00744*H1095*O1095*N1099/1000)))/(2*E1098),J1070)</f>
        <v>166.44558861840122</v>
      </c>
      <c r="U1139" s="290"/>
      <c r="V1139" s="290"/>
      <c r="W1139" s="290"/>
      <c r="AG1139" s="29"/>
      <c r="AP1139" s="27"/>
    </row>
    <row r="1140" spans="1:42" ht="19.5" customHeight="1">
      <c r="A1140" s="4"/>
      <c r="B1140" s="4"/>
      <c r="C1140" s="4"/>
      <c r="D1140" s="4"/>
      <c r="E1140" s="183" t="s">
        <v>815</v>
      </c>
      <c r="F1140" s="183"/>
      <c r="G1140" s="183"/>
      <c r="H1140" s="204" t="s">
        <v>441</v>
      </c>
      <c r="I1140" s="204"/>
      <c r="J1140" s="204"/>
      <c r="K1140" s="204"/>
      <c r="L1140" s="190">
        <f>$Q$1055</f>
        <v>340</v>
      </c>
      <c r="M1140" s="190"/>
      <c r="N1140" s="190"/>
      <c r="O1140" s="190"/>
      <c r="P1140" s="190">
        <f>$Q$997</f>
        <v>340</v>
      </c>
      <c r="Q1140" s="190"/>
      <c r="R1140" s="190"/>
      <c r="S1140" s="190"/>
      <c r="T1140" s="190">
        <f>$Q$1055</f>
        <v>340</v>
      </c>
      <c r="U1140" s="190"/>
      <c r="V1140" s="190"/>
      <c r="W1140" s="190"/>
      <c r="AG1140" s="29"/>
      <c r="AP1140" s="27"/>
    </row>
    <row r="1141" spans="1:42" ht="19.5" customHeight="1">
      <c r="A1141" s="4"/>
      <c r="B1141" s="4"/>
      <c r="C1141" s="4"/>
      <c r="D1141" s="4"/>
      <c r="E1141" s="183" t="s">
        <v>816</v>
      </c>
      <c r="F1141" s="183"/>
      <c r="G1141" s="183"/>
      <c r="H1141" s="204" t="s">
        <v>441</v>
      </c>
      <c r="I1141" s="204"/>
      <c r="J1141" s="204"/>
      <c r="K1141" s="204"/>
      <c r="L1141" s="190">
        <f>$P$1055</f>
        <v>182</v>
      </c>
      <c r="M1141" s="190"/>
      <c r="N1141" s="190"/>
      <c r="O1141" s="190"/>
      <c r="P1141" s="190">
        <f>$P$997</f>
        <v>182</v>
      </c>
      <c r="Q1141" s="190"/>
      <c r="R1141" s="190"/>
      <c r="S1141" s="190"/>
      <c r="T1141" s="190">
        <f>$P$1055</f>
        <v>182</v>
      </c>
      <c r="U1141" s="190"/>
      <c r="V1141" s="190"/>
      <c r="W1141" s="190"/>
      <c r="AG1141" s="29"/>
      <c r="AP1141" s="27"/>
    </row>
    <row r="1142" spans="1:42" ht="19.5" customHeight="1">
      <c r="A1142" s="4"/>
      <c r="B1142" s="4"/>
      <c r="C1142" s="4" t="s">
        <v>877</v>
      </c>
      <c r="D1142" s="4"/>
      <c r="E1142" s="183" t="s">
        <v>1019</v>
      </c>
      <c r="F1142" s="183"/>
      <c r="G1142" s="183"/>
      <c r="H1142" s="204" t="s">
        <v>611</v>
      </c>
      <c r="I1142" s="204"/>
      <c r="J1142" s="204"/>
      <c r="K1142" s="204"/>
      <c r="L1142" s="189">
        <f>$H$1075/L1139*(L1140-L1139)</f>
        <v>0.0036494835632335933</v>
      </c>
      <c r="M1142" s="189"/>
      <c r="N1142" s="189"/>
      <c r="O1142" s="189"/>
      <c r="P1142" s="189">
        <f>$H$1018/P1139*(P1140-P1139)</f>
        <v>0.0036489778173333545</v>
      </c>
      <c r="Q1142" s="189"/>
      <c r="R1142" s="189"/>
      <c r="S1142" s="189"/>
      <c r="T1142" s="189">
        <f>$H$1075/T1139*(T1140-T1139)</f>
        <v>0.0036494835632335933</v>
      </c>
      <c r="U1142" s="189"/>
      <c r="V1142" s="189"/>
      <c r="W1142" s="189"/>
      <c r="AG1142" s="29"/>
      <c r="AP1142" s="27"/>
    </row>
    <row r="1143" spans="1:42" ht="19.5" customHeight="1">
      <c r="A1143" s="4"/>
      <c r="B1143" s="4"/>
      <c r="C1143" s="4"/>
      <c r="D1143" s="4"/>
      <c r="E1143" s="183" t="s">
        <v>1020</v>
      </c>
      <c r="F1143" s="183"/>
      <c r="G1143" s="183"/>
      <c r="H1143" s="204" t="s">
        <v>611</v>
      </c>
      <c r="I1143" s="204"/>
      <c r="J1143" s="204"/>
      <c r="K1143" s="204"/>
      <c r="L1143" s="189">
        <f>$H$1078/L1139*(L1141-L1139)+N892/$AD$1078/100000</f>
        <v>0.00551393547744687</v>
      </c>
      <c r="M1143" s="189"/>
      <c r="N1143" s="189"/>
      <c r="O1143" s="189"/>
      <c r="P1143" s="189">
        <f>$H$1021/P1139*(P1141-P1139)+R892/$AD$1021/100000</f>
        <v>0.0055197121286637355</v>
      </c>
      <c r="Q1143" s="189"/>
      <c r="R1143" s="189"/>
      <c r="S1143" s="189"/>
      <c r="T1143" s="189">
        <f>$H$1078/T1139*(T1141-T1139)+V892/$AD$1078/100000</f>
        <v>0.00551393547744687</v>
      </c>
      <c r="U1143" s="189"/>
      <c r="V1143" s="189"/>
      <c r="W1143" s="189"/>
      <c r="AG1143" s="29"/>
      <c r="AP1143" s="27"/>
    </row>
    <row r="1144" spans="1:42" ht="19.5" customHeight="1">
      <c r="A1144" s="4"/>
      <c r="B1144" s="4"/>
      <c r="C1144" s="4"/>
      <c r="D1144" s="4"/>
      <c r="E1144" s="183" t="s">
        <v>817</v>
      </c>
      <c r="F1144" s="183"/>
      <c r="G1144" s="183"/>
      <c r="H1144" s="204" t="s">
        <v>818</v>
      </c>
      <c r="I1144" s="204"/>
      <c r="J1144" s="204"/>
      <c r="K1144" s="204"/>
      <c r="L1144" s="190">
        <f>L1137*(L1140/1000-$M$1120*L1139/1000)+L1138*(L1141/1000-$X$1120*L1139/1000)</f>
        <v>708.1935740939482</v>
      </c>
      <c r="M1144" s="190"/>
      <c r="N1144" s="190"/>
      <c r="O1144" s="190"/>
      <c r="P1144" s="190">
        <f>P1137*(P1140/1000-$M$1116*P1139/1000)+P1138*(P1141/1000-$X$1116*P1139/1000)</f>
        <v>708.1697732314813</v>
      </c>
      <c r="Q1144" s="190"/>
      <c r="R1144" s="190"/>
      <c r="S1144" s="190"/>
      <c r="T1144" s="190">
        <f>T1137*(T1140/1000-$M$1120*T1139/1000)+T1138*(T1141/1000-$X$1120*T1139/1000)</f>
        <v>708.1935740939482</v>
      </c>
      <c r="U1144" s="190"/>
      <c r="V1144" s="190"/>
      <c r="W1144" s="190"/>
      <c r="AG1144" s="29"/>
      <c r="AP1144" s="27"/>
    </row>
    <row r="1145" spans="1:42" ht="19.5" customHeight="1">
      <c r="A1145" s="4"/>
      <c r="B1145" s="4"/>
      <c r="C1145" s="4"/>
      <c r="D1145" s="4"/>
      <c r="E1145" s="183" t="s">
        <v>802</v>
      </c>
      <c r="F1145" s="183"/>
      <c r="G1145" s="183"/>
      <c r="H1145" s="204" t="s">
        <v>818</v>
      </c>
      <c r="I1145" s="204"/>
      <c r="J1145" s="204"/>
      <c r="K1145" s="204"/>
      <c r="L1145" s="190">
        <f>ABS(1.3*T$213+2.5*T$209)</f>
        <v>409.30519</v>
      </c>
      <c r="M1145" s="190"/>
      <c r="N1145" s="190"/>
      <c r="O1145" s="190"/>
      <c r="P1145" s="190">
        <f>ABS(1.3*X$213+2.5*X$209)</f>
        <v>409.12039999999996</v>
      </c>
      <c r="Q1145" s="190"/>
      <c r="R1145" s="190"/>
      <c r="S1145" s="190"/>
      <c r="T1145" s="190">
        <f>ABS(1.3*AB$213+2.5*AB$209)</f>
        <v>409.30519</v>
      </c>
      <c r="U1145" s="190"/>
      <c r="V1145" s="190"/>
      <c r="W1145" s="190"/>
      <c r="AG1145" s="29"/>
      <c r="AP1145" s="27"/>
    </row>
    <row r="1146" spans="1:42" ht="19.5" customHeight="1">
      <c r="A1146" s="4"/>
      <c r="B1146" s="4"/>
      <c r="C1146" s="4"/>
      <c r="D1146" s="4"/>
      <c r="E1146" s="183" t="s">
        <v>805</v>
      </c>
      <c r="F1146" s="183"/>
      <c r="G1146" s="183"/>
      <c r="H1146" s="204" t="s">
        <v>818</v>
      </c>
      <c r="I1146" s="204"/>
      <c r="J1146" s="204"/>
      <c r="K1146" s="204"/>
      <c r="L1146" s="190">
        <f>ABS(1*T$213+2.5*T$209)</f>
        <v>396.72078999999997</v>
      </c>
      <c r="M1146" s="190"/>
      <c r="N1146" s="190"/>
      <c r="O1146" s="190"/>
      <c r="P1146" s="190">
        <f>ABS(1*X$213+2.5*X$209)</f>
        <v>404.65549999999996</v>
      </c>
      <c r="Q1146" s="190"/>
      <c r="R1146" s="190"/>
      <c r="S1146" s="190"/>
      <c r="T1146" s="190">
        <f>ABS(1*AB$213+2.5*AB$209)</f>
        <v>396.72078999999997</v>
      </c>
      <c r="U1146" s="190"/>
      <c r="V1146" s="190"/>
      <c r="W1146" s="190"/>
      <c r="AG1146" s="29"/>
      <c r="AP1146" s="27"/>
    </row>
    <row r="1147" spans="1:42" ht="19.5" customHeight="1">
      <c r="A1147" s="4"/>
      <c r="B1147" s="4"/>
      <c r="C1147" s="4"/>
      <c r="D1147" s="4"/>
      <c r="E1147" s="183" t="s">
        <v>819</v>
      </c>
      <c r="F1147" s="183"/>
      <c r="G1147" s="183"/>
      <c r="H1147" s="204" t="s">
        <v>818</v>
      </c>
      <c r="I1147" s="204"/>
      <c r="J1147" s="204"/>
      <c r="K1147" s="204"/>
      <c r="L1147" s="190">
        <f>ABS(1.7*T$213+1.7*T$209)</f>
        <v>312.55709719999993</v>
      </c>
      <c r="M1147" s="190"/>
      <c r="N1147" s="190"/>
      <c r="O1147" s="190"/>
      <c r="P1147" s="190">
        <f>ABS(1.7*X$213+1.7*X$209)</f>
        <v>290.3464</v>
      </c>
      <c r="Q1147" s="190"/>
      <c r="R1147" s="190"/>
      <c r="S1147" s="190"/>
      <c r="T1147" s="190">
        <f>ABS(1.7*AB$213+1.7*AB$209)</f>
        <v>312.55709719999993</v>
      </c>
      <c r="U1147" s="190"/>
      <c r="V1147" s="190"/>
      <c r="W1147" s="190"/>
      <c r="AG1147" s="29"/>
      <c r="AP1147" s="27"/>
    </row>
    <row r="1148" spans="1:42" ht="19.5" customHeight="1">
      <c r="A1148" s="4"/>
      <c r="B1148" s="4"/>
      <c r="C1148" s="4" t="s">
        <v>877</v>
      </c>
      <c r="D1148" s="4"/>
      <c r="E1148" s="183" t="s">
        <v>820</v>
      </c>
      <c r="F1148" s="183"/>
      <c r="G1148" s="183"/>
      <c r="H1148" s="204" t="s">
        <v>611</v>
      </c>
      <c r="I1148" s="204"/>
      <c r="J1148" s="204"/>
      <c r="K1148" s="204"/>
      <c r="L1148" s="190">
        <f>L$1144/L1145</f>
        <v>1.7302335552939072</v>
      </c>
      <c r="M1148" s="190"/>
      <c r="N1148" s="190"/>
      <c r="O1148" s="190"/>
      <c r="P1148" s="190">
        <f>P$1144/P1145</f>
        <v>1.7309568851406123</v>
      </c>
      <c r="Q1148" s="190"/>
      <c r="R1148" s="190"/>
      <c r="S1148" s="190"/>
      <c r="T1148" s="190">
        <f>T$1144/T1145</f>
        <v>1.7302335552939072</v>
      </c>
      <c r="U1148" s="190"/>
      <c r="V1148" s="190"/>
      <c r="W1148" s="190"/>
      <c r="AG1148" s="29"/>
      <c r="AP1148" s="27"/>
    </row>
    <row r="1149" spans="1:42" ht="19.5" customHeight="1">
      <c r="A1149" s="4"/>
      <c r="B1149" s="4"/>
      <c r="C1149" s="4"/>
      <c r="D1149" s="4"/>
      <c r="E1149" s="183" t="s">
        <v>821</v>
      </c>
      <c r="F1149" s="183"/>
      <c r="G1149" s="183"/>
      <c r="H1149" s="204" t="s">
        <v>611</v>
      </c>
      <c r="I1149" s="204"/>
      <c r="J1149" s="204"/>
      <c r="K1149" s="204"/>
      <c r="L1149" s="190">
        <f>L$1144/L1146</f>
        <v>1.7851183803448976</v>
      </c>
      <c r="M1149" s="190"/>
      <c r="N1149" s="190"/>
      <c r="O1149" s="190"/>
      <c r="P1149" s="190">
        <f>P$1144/P1146</f>
        <v>1.7500559691675543</v>
      </c>
      <c r="Q1149" s="190"/>
      <c r="R1149" s="190"/>
      <c r="S1149" s="190"/>
      <c r="T1149" s="190">
        <f>T$1144/T1146</f>
        <v>1.7851183803448976</v>
      </c>
      <c r="U1149" s="190"/>
      <c r="V1149" s="190"/>
      <c r="W1149" s="190"/>
      <c r="AG1149" s="29"/>
      <c r="AP1149" s="27"/>
    </row>
    <row r="1150" spans="1:42" ht="19.5" customHeight="1">
      <c r="A1150" s="4"/>
      <c r="B1150" s="4"/>
      <c r="C1150" s="4"/>
      <c r="D1150" s="4"/>
      <c r="E1150" s="183" t="s">
        <v>822</v>
      </c>
      <c r="F1150" s="183"/>
      <c r="G1150" s="183"/>
      <c r="H1150" s="204" t="s">
        <v>611</v>
      </c>
      <c r="I1150" s="204"/>
      <c r="J1150" s="204"/>
      <c r="K1150" s="204"/>
      <c r="L1150" s="190">
        <f>L$1144/L1147</f>
        <v>2.2658054494305317</v>
      </c>
      <c r="M1150" s="190"/>
      <c r="N1150" s="190"/>
      <c r="O1150" s="190"/>
      <c r="P1150" s="190">
        <f>P$1144/P1147</f>
        <v>2.439051330519274</v>
      </c>
      <c r="Q1150" s="190"/>
      <c r="R1150" s="190"/>
      <c r="S1150" s="190"/>
      <c r="T1150" s="190">
        <f>T$1144/T1147</f>
        <v>2.2658054494305317</v>
      </c>
      <c r="U1150" s="190"/>
      <c r="V1150" s="190"/>
      <c r="W1150" s="190"/>
      <c r="AG1150" s="29"/>
      <c r="AP1150" s="27"/>
    </row>
    <row r="1151" spans="1:42" ht="19.5" customHeight="1">
      <c r="A1151" s="4"/>
      <c r="B1151" s="4"/>
      <c r="C1151" s="4"/>
      <c r="D1151" s="4"/>
      <c r="E1151" s="231" t="s">
        <v>118</v>
      </c>
      <c r="F1151" s="232"/>
      <c r="G1151" s="232"/>
      <c r="H1151" s="232"/>
      <c r="I1151" s="232"/>
      <c r="J1151" s="232"/>
      <c r="K1151" s="233"/>
      <c r="L1151" s="190" t="str">
        <f>IF(AND(L1148&gt;=1,L1149&gt;=1,L1150&gt;=1),"O.K.","N.G.")</f>
        <v>O.K.</v>
      </c>
      <c r="M1151" s="190"/>
      <c r="N1151" s="190"/>
      <c r="O1151" s="190"/>
      <c r="P1151" s="190" t="str">
        <f>IF(AND(P1148&gt;=1,P1149&gt;=1,P1150&gt;=1),"O.K.","N.G.")</f>
        <v>O.K.</v>
      </c>
      <c r="Q1151" s="190"/>
      <c r="R1151" s="190"/>
      <c r="S1151" s="190"/>
      <c r="T1151" s="190" t="str">
        <f>IF(AND(T1148&gt;=1,T1149&gt;=1,T1150&gt;=1),"O.K.","N.G.")</f>
        <v>O.K.</v>
      </c>
      <c r="U1151" s="190"/>
      <c r="V1151" s="190"/>
      <c r="W1151" s="190"/>
      <c r="AG1151" s="29"/>
      <c r="AP1151" s="27"/>
    </row>
    <row r="1152" spans="1:42" ht="19.5" customHeight="1">
      <c r="A1152" s="4"/>
      <c r="B1152" s="4"/>
      <c r="C1152" s="4"/>
      <c r="D1152" s="4"/>
      <c r="E1152" s="49"/>
      <c r="F1152" s="49"/>
      <c r="G1152" s="49"/>
      <c r="H1152" s="45"/>
      <c r="I1152" s="45"/>
      <c r="J1152" s="45"/>
      <c r="K1152" s="45"/>
      <c r="L1152" s="37"/>
      <c r="M1152" s="37"/>
      <c r="N1152" s="37"/>
      <c r="O1152" s="37"/>
      <c r="P1152" s="37"/>
      <c r="Q1152" s="37"/>
      <c r="R1152" s="37"/>
      <c r="S1152" s="37"/>
      <c r="T1152" s="37"/>
      <c r="U1152" s="37"/>
      <c r="V1152" s="37"/>
      <c r="W1152" s="37"/>
      <c r="AG1152" s="29"/>
      <c r="AP1152" s="27"/>
    </row>
    <row r="1153" spans="1:42" ht="19.5" customHeight="1">
      <c r="A1153" s="4"/>
      <c r="B1153" s="4"/>
      <c r="C1153" s="4"/>
      <c r="D1153" s="4"/>
      <c r="E1153" s="183" t="s">
        <v>917</v>
      </c>
      <c r="F1153" s="183"/>
      <c r="G1153" s="183"/>
      <c r="H1153" s="183"/>
      <c r="I1153" s="183"/>
      <c r="J1153" s="183"/>
      <c r="K1153" s="183"/>
      <c r="L1153" s="204" t="s">
        <v>663</v>
      </c>
      <c r="M1153" s="204"/>
      <c r="N1153" s="204"/>
      <c r="O1153" s="204"/>
      <c r="P1153" s="204" t="s">
        <v>664</v>
      </c>
      <c r="Q1153" s="204"/>
      <c r="R1153" s="204"/>
      <c r="S1153" s="204"/>
      <c r="T1153" s="204" t="s">
        <v>665</v>
      </c>
      <c r="U1153" s="204"/>
      <c r="V1153" s="204"/>
      <c r="W1153" s="204"/>
      <c r="AG1153" s="29"/>
      <c r="AP1153" s="27"/>
    </row>
    <row r="1154" spans="1:42" ht="19.5" customHeight="1">
      <c r="A1154" s="4"/>
      <c r="B1154" s="4"/>
      <c r="C1154" s="4"/>
      <c r="D1154" s="4"/>
      <c r="E1154" s="183" t="s">
        <v>823</v>
      </c>
      <c r="F1154" s="183"/>
      <c r="G1154" s="183"/>
      <c r="H1154" s="204" t="s">
        <v>824</v>
      </c>
      <c r="I1154" s="204"/>
      <c r="J1154" s="204"/>
      <c r="K1154" s="204"/>
      <c r="L1154" s="190">
        <f>$I$255*$Q$1005/1000</f>
        <v>790.74</v>
      </c>
      <c r="M1154" s="190"/>
      <c r="N1154" s="190"/>
      <c r="O1154" s="190"/>
      <c r="P1154" s="190">
        <f>$AI$244*$Q$1005/1000</f>
        <v>790.74</v>
      </c>
      <c r="Q1154" s="190"/>
      <c r="R1154" s="190"/>
      <c r="S1154" s="190"/>
      <c r="T1154" s="190">
        <f>$I$255*$Q$1005/1000</f>
        <v>790.74</v>
      </c>
      <c r="U1154" s="190"/>
      <c r="V1154" s="190"/>
      <c r="W1154" s="190"/>
      <c r="AG1154" s="29"/>
      <c r="AP1154" s="27"/>
    </row>
    <row r="1155" spans="1:42" ht="19.5" customHeight="1">
      <c r="A1155" s="4"/>
      <c r="B1155" s="4"/>
      <c r="C1155" s="4"/>
      <c r="D1155" s="4"/>
      <c r="E1155" s="183" t="s">
        <v>825</v>
      </c>
      <c r="F1155" s="183"/>
      <c r="G1155" s="183"/>
      <c r="H1155" s="204" t="s">
        <v>824</v>
      </c>
      <c r="I1155" s="204"/>
      <c r="J1155" s="204"/>
      <c r="K1155" s="204"/>
      <c r="L1155" s="190">
        <f>$AG$256*$T$1006*$X$1006/1000</f>
        <v>4262.524056</v>
      </c>
      <c r="M1155" s="190"/>
      <c r="N1155" s="190"/>
      <c r="O1155" s="190"/>
      <c r="P1155" s="190">
        <f>$AG$241*$T$1006*$X$1006/1000</f>
        <v>4262.524056</v>
      </c>
      <c r="Q1155" s="190"/>
      <c r="R1155" s="190"/>
      <c r="S1155" s="190"/>
      <c r="T1155" s="190">
        <f>$AG$256*$T$1006*$X$1006/1000</f>
        <v>4262.524056</v>
      </c>
      <c r="U1155" s="190"/>
      <c r="V1155" s="190"/>
      <c r="W1155" s="190"/>
      <c r="AG1155" s="29"/>
      <c r="AP1155" s="27"/>
    </row>
    <row r="1156" spans="1:42" ht="19.5" customHeight="1">
      <c r="A1156" s="4"/>
      <c r="B1156" s="4"/>
      <c r="C1156" s="4"/>
      <c r="D1156" s="4"/>
      <c r="E1156" s="183" t="s">
        <v>715</v>
      </c>
      <c r="F1156" s="183"/>
      <c r="G1156" s="183"/>
      <c r="H1156" s="204" t="s">
        <v>661</v>
      </c>
      <c r="I1156" s="204"/>
      <c r="J1156" s="204"/>
      <c r="K1156" s="204"/>
      <c r="L1156" s="290">
        <f>IF(H1079&lt;N1079,(-((M1094-Q1094)/0.00744*H1095*N1099/1000-(((M1094-Q1094)/0.00744*L622/AD1078/100000+(H1094-(M1094-Q1094)/0.00744*0.00756))*N1099/1000+J1099))+SQRT(((M1094-Q1094)/0.00744*H1095*N1099/1000-(((M1094-Q1094)/0.00744*L622/AD1078/100000+(H1094-(M1094-Q1094)/0.00744*0.00756))*N1099/1000+J1099))^2-4*E1098*(-(M1094-Q1094)/0.00744*H1095*O1095*N1099/1000)))/(2*E1098),J1070)</f>
        <v>166.44558861840122</v>
      </c>
      <c r="M1156" s="290"/>
      <c r="N1156" s="290"/>
      <c r="O1156" s="290"/>
      <c r="P1156" s="290">
        <f>IF(H1022&lt;N1022,(-((M1037-Q1037)/0.00744*H1038*N1042/1000-(((M1037-Q1037)/0.00744*P622/AD1021/100000+(H1037-(M1037-Q1037)/0.00744*0.00756))*N1042/1000+J1042))+SQRT(((M1037-Q1037)/0.00744*H1038*N1042/1000-(((M1037-Q1037)/0.00744*P622/AD1021/100000+(H1037-(M1037-Q1037)/0.00744*0.00756))*N1042/1000+J1042))^2-4*E1041*(-(M1037-Q1037)/0.00744*H1038*O1038*N1042/1000)))/(2*E1041),J1013)</f>
        <v>166.46112104577227</v>
      </c>
      <c r="Q1156" s="290"/>
      <c r="R1156" s="290"/>
      <c r="S1156" s="290"/>
      <c r="T1156" s="290">
        <f>IF(H1079&lt;N1079,(-((M1094-Q1094)/0.00744*H1095*N1099/1000-(((M1094-Q1094)/0.00744*T622/AD1078/100000+(H1094-(M1094-Q1094)/0.00744*0.00756))*N1099/1000+J1099))+SQRT(((M1094-Q1094)/0.00744*H1095*N1099/1000-(((M1094-Q1094)/0.00744*T622/AD1078/100000+(H1094-(M1094-Q1094)/0.00744*0.00756))*N1099/1000+J1099))^2-4*E1098*(-(M1094-Q1094)/0.00744*H1095*O1095*N1099/1000)))/(2*E1098),J1070)</f>
        <v>166.44558861840122</v>
      </c>
      <c r="U1156" s="290"/>
      <c r="V1156" s="290"/>
      <c r="W1156" s="290"/>
      <c r="AG1156" s="29"/>
      <c r="AP1156" s="27"/>
    </row>
    <row r="1157" spans="1:42" ht="19.5" customHeight="1">
      <c r="A1157" s="4"/>
      <c r="B1157" s="4"/>
      <c r="C1157" s="4"/>
      <c r="D1157" s="4"/>
      <c r="E1157" s="183" t="s">
        <v>826</v>
      </c>
      <c r="F1157" s="183"/>
      <c r="G1157" s="183"/>
      <c r="H1157" s="204" t="s">
        <v>661</v>
      </c>
      <c r="I1157" s="204"/>
      <c r="J1157" s="204"/>
      <c r="K1157" s="204"/>
      <c r="L1157" s="190">
        <f>$Q$1055</f>
        <v>340</v>
      </c>
      <c r="M1157" s="190"/>
      <c r="N1157" s="190"/>
      <c r="O1157" s="190"/>
      <c r="P1157" s="190">
        <f>$Q$997</f>
        <v>340</v>
      </c>
      <c r="Q1157" s="190"/>
      <c r="R1157" s="190"/>
      <c r="S1157" s="190"/>
      <c r="T1157" s="190">
        <f>$Q$1055</f>
        <v>340</v>
      </c>
      <c r="U1157" s="190"/>
      <c r="V1157" s="190"/>
      <c r="W1157" s="190"/>
      <c r="AG1157" s="29"/>
      <c r="AP1157" s="27"/>
    </row>
    <row r="1158" spans="1:42" ht="19.5" customHeight="1">
      <c r="A1158" s="4"/>
      <c r="B1158" s="4"/>
      <c r="C1158" s="4"/>
      <c r="D1158" s="4"/>
      <c r="E1158" s="183" t="s">
        <v>827</v>
      </c>
      <c r="F1158" s="183"/>
      <c r="G1158" s="183"/>
      <c r="H1158" s="204" t="s">
        <v>661</v>
      </c>
      <c r="I1158" s="204"/>
      <c r="J1158" s="204"/>
      <c r="K1158" s="204"/>
      <c r="L1158" s="190">
        <f>$P$1055</f>
        <v>182</v>
      </c>
      <c r="M1158" s="190"/>
      <c r="N1158" s="190"/>
      <c r="O1158" s="190"/>
      <c r="P1158" s="190">
        <f>$P$997</f>
        <v>182</v>
      </c>
      <c r="Q1158" s="190"/>
      <c r="R1158" s="190"/>
      <c r="S1158" s="190"/>
      <c r="T1158" s="190">
        <f>$P$1055</f>
        <v>182</v>
      </c>
      <c r="U1158" s="190"/>
      <c r="V1158" s="190"/>
      <c r="W1158" s="190"/>
      <c r="AG1158" s="29"/>
      <c r="AP1158" s="27"/>
    </row>
    <row r="1159" spans="1:42" ht="19.5" customHeight="1">
      <c r="A1159" s="4"/>
      <c r="B1159" s="4"/>
      <c r="C1159" s="4" t="s">
        <v>828</v>
      </c>
      <c r="D1159" s="4"/>
      <c r="E1159" s="183" t="s">
        <v>1019</v>
      </c>
      <c r="F1159" s="183"/>
      <c r="G1159" s="183"/>
      <c r="H1159" s="204" t="s">
        <v>1401</v>
      </c>
      <c r="I1159" s="204"/>
      <c r="J1159" s="204"/>
      <c r="K1159" s="204"/>
      <c r="L1159" s="189">
        <f>$H$1075/L1156*(L1157-L1156)</f>
        <v>0.0036494835632335933</v>
      </c>
      <c r="M1159" s="189"/>
      <c r="N1159" s="189"/>
      <c r="O1159" s="189"/>
      <c r="P1159" s="189">
        <f>$H$1018/P1156*(P1157-P1156)</f>
        <v>0.0036488164474921593</v>
      </c>
      <c r="Q1159" s="189"/>
      <c r="R1159" s="189"/>
      <c r="S1159" s="189"/>
      <c r="T1159" s="189">
        <f>$H$1075/T1156*(T1157-T1156)</f>
        <v>0.0036494835632335933</v>
      </c>
      <c r="U1159" s="189"/>
      <c r="V1159" s="189"/>
      <c r="W1159" s="189"/>
      <c r="AG1159" s="29"/>
      <c r="AP1159" s="27"/>
    </row>
    <row r="1160" spans="1:42" ht="19.5" customHeight="1">
      <c r="A1160" s="4"/>
      <c r="B1160" s="4"/>
      <c r="C1160" s="4"/>
      <c r="D1160" s="4"/>
      <c r="E1160" s="183" t="s">
        <v>1020</v>
      </c>
      <c r="F1160" s="183"/>
      <c r="G1160" s="183"/>
      <c r="H1160" s="204" t="s">
        <v>1401</v>
      </c>
      <c r="I1160" s="204"/>
      <c r="J1160" s="204"/>
      <c r="K1160" s="204"/>
      <c r="L1160" s="189">
        <f>$H$1078/L1156*(L1158-L1156)+N913/$AD$1078/100000</f>
        <v>0.00551393547744687</v>
      </c>
      <c r="M1160" s="189"/>
      <c r="N1160" s="189"/>
      <c r="O1160" s="189"/>
      <c r="P1160" s="189">
        <f>$H$1021/P1156*(P1158-P1156)+R913/$AD$1021/100000</f>
        <v>0.00552155547386597</v>
      </c>
      <c r="Q1160" s="189"/>
      <c r="R1160" s="189"/>
      <c r="S1160" s="189"/>
      <c r="T1160" s="189">
        <f>$H$1078/T1156*(T1158-T1156)+V913/$AD$1078/100000</f>
        <v>0.00551393547744687</v>
      </c>
      <c r="U1160" s="189"/>
      <c r="V1160" s="189"/>
      <c r="W1160" s="189"/>
      <c r="AG1160" s="29"/>
      <c r="AP1160" s="27"/>
    </row>
    <row r="1161" spans="1:42" ht="19.5" customHeight="1">
      <c r="A1161" s="4"/>
      <c r="B1161" s="4"/>
      <c r="C1161" s="4"/>
      <c r="D1161" s="4"/>
      <c r="E1161" s="183" t="s">
        <v>829</v>
      </c>
      <c r="F1161" s="183"/>
      <c r="G1161" s="183"/>
      <c r="H1161" s="204" t="s">
        <v>830</v>
      </c>
      <c r="I1161" s="204"/>
      <c r="J1161" s="204"/>
      <c r="K1161" s="204"/>
      <c r="L1161" s="190">
        <f>L1154*(L1157/1000-$M$1120*L1156/1000)+L1155*(L1158/1000-$X$1120*L1156/1000)</f>
        <v>708.1935740939482</v>
      </c>
      <c r="M1161" s="190"/>
      <c r="N1161" s="190"/>
      <c r="O1161" s="190"/>
      <c r="P1161" s="190">
        <f>P1154*(P1157/1000-$M$1116*P1156/1000)+P1155*(P1158/1000-$X$1116*P1156/1000)</f>
        <v>708.1621783111736</v>
      </c>
      <c r="Q1161" s="190"/>
      <c r="R1161" s="190"/>
      <c r="S1161" s="190"/>
      <c r="T1161" s="190">
        <f>T1154*(T1157/1000-$M$1120*T1156/1000)+T1155*(T1158/1000-$X$1120*T1156/1000)</f>
        <v>708.1935740939482</v>
      </c>
      <c r="U1161" s="190"/>
      <c r="V1161" s="190"/>
      <c r="W1161" s="190"/>
      <c r="AG1161" s="29"/>
      <c r="AP1161" s="27"/>
    </row>
    <row r="1162" spans="1:42" ht="19.5" customHeight="1">
      <c r="A1162" s="4"/>
      <c r="B1162" s="4"/>
      <c r="C1162" s="4"/>
      <c r="D1162" s="4"/>
      <c r="E1162" s="183" t="s">
        <v>831</v>
      </c>
      <c r="F1162" s="183"/>
      <c r="G1162" s="183"/>
      <c r="H1162" s="204" t="s">
        <v>830</v>
      </c>
      <c r="I1162" s="204"/>
      <c r="J1162" s="204"/>
      <c r="K1162" s="204"/>
      <c r="L1162" s="190">
        <f>ABS(1.3*T$228+2.5*T$224)</f>
        <v>409.30519</v>
      </c>
      <c r="M1162" s="190"/>
      <c r="N1162" s="190"/>
      <c r="O1162" s="190"/>
      <c r="P1162" s="190">
        <f>ABS(1.3*X$228+2.5*X$224)</f>
        <v>390.94899999999996</v>
      </c>
      <c r="Q1162" s="190"/>
      <c r="R1162" s="190"/>
      <c r="S1162" s="190"/>
      <c r="T1162" s="190">
        <f>ABS(1.3*AB$228+2.5*AB$224)</f>
        <v>409.30519</v>
      </c>
      <c r="U1162" s="190"/>
      <c r="V1162" s="190"/>
      <c r="W1162" s="190"/>
      <c r="AG1162" s="29"/>
      <c r="AP1162" s="27"/>
    </row>
    <row r="1163" spans="1:42" ht="19.5" customHeight="1">
      <c r="A1163" s="4"/>
      <c r="B1163" s="4"/>
      <c r="C1163" s="4"/>
      <c r="D1163" s="4"/>
      <c r="E1163" s="183" t="s">
        <v>832</v>
      </c>
      <c r="F1163" s="183"/>
      <c r="G1163" s="183"/>
      <c r="H1163" s="204" t="s">
        <v>830</v>
      </c>
      <c r="I1163" s="204"/>
      <c r="J1163" s="204"/>
      <c r="K1163" s="204"/>
      <c r="L1163" s="190">
        <f>ABS(1*T$228+2.5*T$224)</f>
        <v>396.72078999999997</v>
      </c>
      <c r="M1163" s="190"/>
      <c r="N1163" s="190"/>
      <c r="O1163" s="190"/>
      <c r="P1163" s="190">
        <f>ABS(1*X$228+2.5*X$224)</f>
        <v>390.67749999999995</v>
      </c>
      <c r="Q1163" s="190"/>
      <c r="R1163" s="190"/>
      <c r="S1163" s="190"/>
      <c r="T1163" s="190">
        <f>ABS(1*AB$228+2.5*AB$224)</f>
        <v>396.72078999999997</v>
      </c>
      <c r="U1163" s="190"/>
      <c r="V1163" s="190"/>
      <c r="W1163" s="190"/>
      <c r="AG1163" s="29"/>
      <c r="AP1163" s="27"/>
    </row>
    <row r="1164" spans="1:42" ht="19.5" customHeight="1">
      <c r="A1164" s="4"/>
      <c r="B1164" s="4"/>
      <c r="C1164" s="4"/>
      <c r="D1164" s="4"/>
      <c r="E1164" s="183" t="s">
        <v>833</v>
      </c>
      <c r="F1164" s="183"/>
      <c r="G1164" s="183"/>
      <c r="H1164" s="204" t="s">
        <v>830</v>
      </c>
      <c r="I1164" s="204"/>
      <c r="J1164" s="204"/>
      <c r="K1164" s="204"/>
      <c r="L1164" s="190">
        <f>ABS(1.7*T$228+1.7*T$224)</f>
        <v>312.55709719999993</v>
      </c>
      <c r="M1164" s="190"/>
      <c r="N1164" s="190"/>
      <c r="O1164" s="190"/>
      <c r="P1164" s="190">
        <f>ABS(1.7*X$228+1.7*X$224)</f>
        <v>266.5838</v>
      </c>
      <c r="Q1164" s="190"/>
      <c r="R1164" s="190"/>
      <c r="S1164" s="190"/>
      <c r="T1164" s="190">
        <f>ABS(1.7*AB$228+1.7*AB$224)</f>
        <v>312.55709719999993</v>
      </c>
      <c r="U1164" s="190"/>
      <c r="V1164" s="190"/>
      <c r="W1164" s="190"/>
      <c r="AG1164" s="29"/>
      <c r="AP1164" s="27"/>
    </row>
    <row r="1165" spans="1:42" ht="19.5" customHeight="1">
      <c r="A1165" s="4"/>
      <c r="B1165" s="4"/>
      <c r="C1165" s="4" t="s">
        <v>828</v>
      </c>
      <c r="D1165" s="4"/>
      <c r="E1165" s="183" t="s">
        <v>834</v>
      </c>
      <c r="F1165" s="183"/>
      <c r="G1165" s="183"/>
      <c r="H1165" s="204" t="s">
        <v>1401</v>
      </c>
      <c r="I1165" s="204"/>
      <c r="J1165" s="204"/>
      <c r="K1165" s="204"/>
      <c r="L1165" s="190">
        <f>L$1144/L1162</f>
        <v>1.7302335552939072</v>
      </c>
      <c r="M1165" s="190"/>
      <c r="N1165" s="190"/>
      <c r="O1165" s="190"/>
      <c r="P1165" s="190">
        <f>P$1144/P1162</f>
        <v>1.8114121617691343</v>
      </c>
      <c r="Q1165" s="190"/>
      <c r="R1165" s="190"/>
      <c r="S1165" s="190"/>
      <c r="T1165" s="190">
        <f>T$1144/T1162</f>
        <v>1.7302335552939072</v>
      </c>
      <c r="U1165" s="190"/>
      <c r="V1165" s="190"/>
      <c r="W1165" s="190"/>
      <c r="AG1165" s="29"/>
      <c r="AP1165" s="27"/>
    </row>
    <row r="1166" spans="1:42" ht="19.5" customHeight="1">
      <c r="A1166" s="4"/>
      <c r="B1166" s="4"/>
      <c r="C1166" s="4"/>
      <c r="D1166" s="4"/>
      <c r="E1166" s="183" t="s">
        <v>835</v>
      </c>
      <c r="F1166" s="183"/>
      <c r="G1166" s="183"/>
      <c r="H1166" s="204" t="s">
        <v>1401</v>
      </c>
      <c r="I1166" s="204"/>
      <c r="J1166" s="204"/>
      <c r="K1166" s="204"/>
      <c r="L1166" s="190">
        <f>L$1144/L1163</f>
        <v>1.7851183803448976</v>
      </c>
      <c r="M1166" s="190"/>
      <c r="N1166" s="190"/>
      <c r="O1166" s="190"/>
      <c r="P1166" s="190">
        <f>P$1144/P1163</f>
        <v>1.812670996490664</v>
      </c>
      <c r="Q1166" s="190"/>
      <c r="R1166" s="190"/>
      <c r="S1166" s="190"/>
      <c r="T1166" s="190">
        <f>T$1144/T1163</f>
        <v>1.7851183803448976</v>
      </c>
      <c r="U1166" s="190"/>
      <c r="V1166" s="190"/>
      <c r="W1166" s="190"/>
      <c r="AG1166" s="29"/>
      <c r="AP1166" s="27"/>
    </row>
    <row r="1167" spans="1:42" ht="19.5" customHeight="1">
      <c r="A1167" s="4"/>
      <c r="B1167" s="4"/>
      <c r="C1167" s="4"/>
      <c r="D1167" s="4"/>
      <c r="E1167" s="183" t="s">
        <v>836</v>
      </c>
      <c r="F1167" s="183"/>
      <c r="G1167" s="183"/>
      <c r="H1167" s="204" t="s">
        <v>1401</v>
      </c>
      <c r="I1167" s="204"/>
      <c r="J1167" s="204"/>
      <c r="K1167" s="204"/>
      <c r="L1167" s="190">
        <f>L$1144/L1164</f>
        <v>2.2658054494305317</v>
      </c>
      <c r="M1167" s="190"/>
      <c r="N1167" s="190"/>
      <c r="O1167" s="190"/>
      <c r="P1167" s="190">
        <f>P$1144/P1164</f>
        <v>2.656462145229685</v>
      </c>
      <c r="Q1167" s="190"/>
      <c r="R1167" s="190"/>
      <c r="S1167" s="190"/>
      <c r="T1167" s="190">
        <f>T$1144/T1164</f>
        <v>2.2658054494305317</v>
      </c>
      <c r="U1167" s="190"/>
      <c r="V1167" s="190"/>
      <c r="W1167" s="190"/>
      <c r="AG1167" s="29"/>
      <c r="AP1167" s="27"/>
    </row>
    <row r="1168" spans="1:42" ht="19.5" customHeight="1">
      <c r="A1168" s="4"/>
      <c r="B1168" s="4"/>
      <c r="C1168" s="4"/>
      <c r="D1168" s="4"/>
      <c r="E1168" s="231" t="s">
        <v>118</v>
      </c>
      <c r="F1168" s="232"/>
      <c r="G1168" s="232"/>
      <c r="H1168" s="232"/>
      <c r="I1168" s="232"/>
      <c r="J1168" s="232"/>
      <c r="K1168" s="233"/>
      <c r="L1168" s="190" t="str">
        <f>IF(AND(L1165&gt;=1,L1166&gt;=1,L1167&gt;=1),"O.K.","N.G.")</f>
        <v>O.K.</v>
      </c>
      <c r="M1168" s="190"/>
      <c r="N1168" s="190"/>
      <c r="O1168" s="190"/>
      <c r="P1168" s="190" t="str">
        <f>IF(AND(P1165&gt;=1,P1166&gt;=1,P1167&gt;=1),"O.K.","N.G.")</f>
        <v>O.K.</v>
      </c>
      <c r="Q1168" s="190"/>
      <c r="R1168" s="190"/>
      <c r="S1168" s="190"/>
      <c r="T1168" s="190" t="str">
        <f>IF(AND(T1165&gt;=1,T1166&gt;=1,T1167&gt;=1),"O.K.","N.G.")</f>
        <v>O.K.</v>
      </c>
      <c r="U1168" s="190"/>
      <c r="V1168" s="190"/>
      <c r="W1168" s="190"/>
      <c r="AG1168" s="29"/>
      <c r="AP1168" s="27"/>
    </row>
    <row r="1169" spans="1:42" ht="19.5" customHeight="1">
      <c r="A1169" s="4"/>
      <c r="B1169" s="4"/>
      <c r="C1169" s="4"/>
      <c r="D1169" s="4"/>
      <c r="E1169" s="49"/>
      <c r="F1169" s="49"/>
      <c r="G1169" s="49"/>
      <c r="H1169" s="45"/>
      <c r="I1169" s="45"/>
      <c r="J1169" s="45"/>
      <c r="K1169" s="45"/>
      <c r="L1169" s="37"/>
      <c r="M1169" s="37"/>
      <c r="N1169" s="37"/>
      <c r="O1169" s="37"/>
      <c r="P1169" s="37"/>
      <c r="Q1169" s="37"/>
      <c r="R1169" s="37"/>
      <c r="S1169" s="37"/>
      <c r="T1169" s="37"/>
      <c r="U1169" s="37"/>
      <c r="V1169" s="37"/>
      <c r="W1169" s="37"/>
      <c r="AG1169" s="29"/>
      <c r="AP1169" s="27"/>
    </row>
    <row r="1170" spans="2:12" ht="19.5" customHeight="1">
      <c r="B1170" s="341" t="s">
        <v>867</v>
      </c>
      <c r="C1170" s="4"/>
      <c r="D1170" s="4"/>
      <c r="E1170" s="4"/>
      <c r="F1170" s="4"/>
      <c r="G1170" s="4"/>
      <c r="H1170" s="4"/>
      <c r="I1170" s="4"/>
      <c r="J1170" s="4"/>
      <c r="K1170" s="4"/>
      <c r="L1170" s="4"/>
    </row>
    <row r="1171" spans="1:12" ht="19.5" customHeight="1">
      <c r="A1171" s="4"/>
      <c r="C1171" s="4" t="s">
        <v>119</v>
      </c>
      <c r="D1171" s="4"/>
      <c r="E1171" s="4"/>
      <c r="F1171" s="4"/>
      <c r="G1171" s="4"/>
      <c r="H1171" s="4"/>
      <c r="I1171" s="4"/>
      <c r="J1171" s="4"/>
      <c r="K1171" s="4"/>
      <c r="L1171" s="4"/>
    </row>
    <row r="1172" spans="1:12" ht="19.5" customHeight="1">
      <c r="A1172" s="4"/>
      <c r="B1172" s="4"/>
      <c r="C1172" s="4"/>
      <c r="D1172" s="4"/>
      <c r="E1172" s="4"/>
      <c r="F1172" s="4"/>
      <c r="G1172" s="4"/>
      <c r="H1172" s="4"/>
      <c r="I1172" s="4"/>
      <c r="J1172" s="4"/>
      <c r="K1172" s="4"/>
      <c r="L1172" s="4"/>
    </row>
    <row r="1173" spans="2:43" ht="19.5" customHeight="1">
      <c r="B1173" s="4"/>
      <c r="C1173" s="4" t="s">
        <v>1125</v>
      </c>
      <c r="D1173" s="4"/>
      <c r="E1173" s="4"/>
      <c r="F1173" s="4"/>
      <c r="G1173" s="4"/>
      <c r="H1173" s="4"/>
      <c r="I1173" s="4"/>
      <c r="J1173" s="4"/>
      <c r="K1173" s="4"/>
      <c r="L1173" s="4"/>
      <c r="M1173" s="4"/>
      <c r="AH1173" s="92" t="s">
        <v>933</v>
      </c>
      <c r="AQ1173" s="29"/>
    </row>
    <row r="1174" spans="2:43" ht="19.5" customHeight="1">
      <c r="B1174" s="4"/>
      <c r="D1174" s="4" t="s">
        <v>1126</v>
      </c>
      <c r="E1174" s="4"/>
      <c r="F1174" s="4"/>
      <c r="G1174" s="4"/>
      <c r="H1174" s="4"/>
      <c r="I1174" s="4"/>
      <c r="J1174" s="4"/>
      <c r="K1174" s="4"/>
      <c r="L1174" s="4"/>
      <c r="M1174" s="4"/>
      <c r="AH1174" s="27"/>
      <c r="AQ1174" s="29"/>
    </row>
    <row r="1175" spans="2:43" ht="19.5" customHeight="1">
      <c r="B1175" s="4"/>
      <c r="C1175" s="4"/>
      <c r="E1175" s="4" t="s">
        <v>120</v>
      </c>
      <c r="F1175" s="4"/>
      <c r="G1175" s="4"/>
      <c r="H1175" s="4"/>
      <c r="I1175" s="4"/>
      <c r="J1175" s="4"/>
      <c r="K1175" s="4" t="s">
        <v>876</v>
      </c>
      <c r="L1175" s="4" t="s">
        <v>993</v>
      </c>
      <c r="M1175" s="160">
        <f>Y196</f>
        <v>5</v>
      </c>
      <c r="N1175" s="160"/>
      <c r="O1175" s="160"/>
      <c r="P1175" s="27" t="s">
        <v>208</v>
      </c>
      <c r="T1175" s="6"/>
      <c r="AH1175" s="27"/>
      <c r="AQ1175" s="29"/>
    </row>
    <row r="1176" spans="2:43" ht="19.5" customHeight="1">
      <c r="B1176" s="4"/>
      <c r="C1176" s="4" t="s">
        <v>877</v>
      </c>
      <c r="E1176" s="27" t="s">
        <v>838</v>
      </c>
      <c r="F1176" s="27" t="s">
        <v>993</v>
      </c>
      <c r="G1176" s="27" t="str">
        <f>IF(K185="B","( 0.10L + 0.04 ) P",IF(K185="A","0.80·( 0.10L + 0.04 ) P","ERROR"))</f>
        <v>( 0.10L + 0.04 ) P</v>
      </c>
      <c r="AH1176" s="27"/>
      <c r="AQ1176" s="29"/>
    </row>
    <row r="1177" spans="2:43" ht="19.5" customHeight="1">
      <c r="B1177" s="4"/>
      <c r="C1177" s="4"/>
      <c r="F1177" s="27" t="s">
        <v>993</v>
      </c>
      <c r="G1177" s="27" t="str">
        <f>IF(K185="B","( 0.10 × "&amp;ROUND(M1175,3)&amp;" + 0.04 ) × "&amp;X185,IF(K185="A","0.80 × ( 0.10 × "&amp;ROUND(M1175,3)&amp;" + 0.04 ) × "&amp;X185,"ERROR"))</f>
        <v>( 0.10 × 5 + 0.04 ) × 100</v>
      </c>
      <c r="AH1177" s="27"/>
      <c r="AQ1177" s="29"/>
    </row>
    <row r="1178" spans="2:43" ht="19.5" customHeight="1">
      <c r="B1178" s="4"/>
      <c r="C1178" s="4"/>
      <c r="F1178" s="27" t="s">
        <v>993</v>
      </c>
      <c r="G1178" s="237">
        <f>IF(K185="B",(0.1*M1175+0.04)*X185,IF(K185="A",0.8*(0.1*M1175+0.04)*X185,"ERROR"))</f>
        <v>54</v>
      </c>
      <c r="H1178" s="237"/>
      <c r="I1178" s="237"/>
      <c r="J1178" s="4" t="s">
        <v>230</v>
      </c>
      <c r="K1178" s="4"/>
      <c r="L1178" s="4"/>
      <c r="Q1178" s="54"/>
      <c r="R1178" s="54"/>
      <c r="S1178" s="54"/>
      <c r="U1178" s="54"/>
      <c r="V1178" s="54"/>
      <c r="W1178" s="54"/>
      <c r="Y1178" s="6"/>
      <c r="Z1178" s="162"/>
      <c r="AA1178" s="162"/>
      <c r="AB1178" s="162"/>
      <c r="AH1178" s="27"/>
      <c r="AQ1178" s="29"/>
    </row>
    <row r="1179" spans="2:43" ht="19.5" customHeight="1">
      <c r="B1179" s="4"/>
      <c r="D1179" s="4" t="s">
        <v>121</v>
      </c>
      <c r="E1179" s="4"/>
      <c r="F1179" s="4"/>
      <c r="G1179" s="4"/>
      <c r="H1179" s="4"/>
      <c r="I1179" s="4"/>
      <c r="J1179" s="4"/>
      <c r="K1179" s="4"/>
      <c r="L1179" s="4"/>
      <c r="M1179" s="4"/>
      <c r="AH1179" s="27"/>
      <c r="AQ1179" s="29"/>
    </row>
    <row r="1180" spans="2:43" ht="19.5" customHeight="1">
      <c r="B1180" s="4"/>
      <c r="C1180" s="4"/>
      <c r="D1180" s="4"/>
      <c r="E1180" s="4" t="s">
        <v>120</v>
      </c>
      <c r="F1180" s="4"/>
      <c r="G1180" s="4"/>
      <c r="H1180" s="4"/>
      <c r="I1180" s="4"/>
      <c r="J1180" s="4"/>
      <c r="K1180" s="4" t="s">
        <v>876</v>
      </c>
      <c r="L1180" s="4" t="s">
        <v>993</v>
      </c>
      <c r="M1180" s="160">
        <f>Y186</f>
        <v>1.547</v>
      </c>
      <c r="N1180" s="160"/>
      <c r="O1180" s="160"/>
      <c r="P1180" s="27" t="s">
        <v>208</v>
      </c>
      <c r="AH1180" s="27"/>
      <c r="AQ1180" s="29"/>
    </row>
    <row r="1181" spans="2:43" ht="19.5" customHeight="1">
      <c r="B1181" s="4"/>
      <c r="C1181" s="4"/>
      <c r="D1181" s="4"/>
      <c r="E1181" s="27" t="s">
        <v>838</v>
      </c>
      <c r="F1181" s="27" t="s">
        <v>993</v>
      </c>
      <c r="G1181" s="4" t="str">
        <f>IF(K185="B","( 0.15L + 0.13 ) P",IF(K185="A","0.80·( 0.15L + 0.13 ) P","ERROR"))</f>
        <v>( 0.15L + 0.13 ) P</v>
      </c>
      <c r="H1181" s="4"/>
      <c r="I1181" s="4"/>
      <c r="J1181" s="4"/>
      <c r="K1181" s="4"/>
      <c r="L1181" s="4"/>
      <c r="M1181" s="4"/>
      <c r="AH1181" s="27"/>
      <c r="AQ1181" s="29"/>
    </row>
    <row r="1182" spans="2:43" ht="19.5" customHeight="1">
      <c r="B1182" s="4"/>
      <c r="C1182" s="4"/>
      <c r="D1182" s="4"/>
      <c r="E1182" s="4"/>
      <c r="F1182" s="27" t="s">
        <v>993</v>
      </c>
      <c r="G1182" s="4" t="str">
        <f>IF(K185="B","( 0.15 × "&amp;ROUND(M1180,3)&amp;" + 0.13 ) × "&amp;X185,IF(K185="A","0.80 × ( 0.15 × "&amp;ROUND(M1180,3)&amp;" + 0.13 ) × "&amp;X185,"ERROR"))</f>
        <v>( 0.15 × 1.547 + 0.13 ) × 100</v>
      </c>
      <c r="H1182" s="4"/>
      <c r="I1182" s="4"/>
      <c r="J1182" s="4"/>
      <c r="K1182" s="4"/>
      <c r="L1182" s="4"/>
      <c r="M1182" s="4"/>
      <c r="AH1182" s="27"/>
      <c r="AQ1182" s="29"/>
    </row>
    <row r="1183" spans="2:43" ht="19.5" customHeight="1">
      <c r="B1183" s="4"/>
      <c r="C1183" s="4"/>
      <c r="D1183" s="4"/>
      <c r="E1183" s="4"/>
      <c r="F1183" s="27" t="s">
        <v>993</v>
      </c>
      <c r="G1183" s="244">
        <f>IF(K185="B",(0.15*M1180+0.13)*X185,IF(K185="A",0.8*(0.1*M1180+0.13)*X185,"ERROR"))</f>
        <v>36.205</v>
      </c>
      <c r="H1183" s="244"/>
      <c r="I1183" s="244"/>
      <c r="J1183" s="4" t="s">
        <v>230</v>
      </c>
      <c r="K1183" s="4"/>
      <c r="L1183" s="4"/>
      <c r="M1183" s="4"/>
      <c r="AH1183" s="27"/>
      <c r="AQ1183" s="29"/>
    </row>
    <row r="1184" spans="2:43" ht="19.5" customHeight="1">
      <c r="B1184" s="4"/>
      <c r="C1184" s="4"/>
      <c r="D1184" s="4"/>
      <c r="E1184" s="4"/>
      <c r="G1184" s="4"/>
      <c r="H1184" s="4"/>
      <c r="I1184" s="4"/>
      <c r="J1184" s="4"/>
      <c r="K1184" s="4"/>
      <c r="L1184" s="4"/>
      <c r="M1184" s="4"/>
      <c r="AH1184" s="27"/>
      <c r="AQ1184" s="29"/>
    </row>
    <row r="1185" spans="3:43" ht="19.5" customHeight="1">
      <c r="C1185" s="4" t="s">
        <v>122</v>
      </c>
      <c r="D1185" s="4"/>
      <c r="E1185" s="4"/>
      <c r="F1185" s="4"/>
      <c r="G1185" s="4"/>
      <c r="H1185" s="4"/>
      <c r="I1185" s="4"/>
      <c r="J1185" s="4"/>
      <c r="K1185" s="4"/>
      <c r="L1185" s="4"/>
      <c r="M1185" s="4"/>
      <c r="AH1185" s="27"/>
      <c r="AQ1185" s="29"/>
    </row>
    <row r="1186" spans="2:43" ht="19.5" customHeight="1">
      <c r="B1186" s="4"/>
      <c r="C1186" s="4"/>
      <c r="D1186" s="4" t="s">
        <v>123</v>
      </c>
      <c r="E1186" s="4"/>
      <c r="F1186" s="4"/>
      <c r="G1186" s="4"/>
      <c r="H1186" s="4"/>
      <c r="I1186" s="4"/>
      <c r="J1186" s="4"/>
      <c r="K1186" s="4"/>
      <c r="L1186" s="4"/>
      <c r="M1186" s="4"/>
      <c r="AH1186" s="27"/>
      <c r="AQ1186" s="29"/>
    </row>
    <row r="1187" spans="2:43" ht="19.5" customHeight="1">
      <c r="B1187" s="4"/>
      <c r="C1187" s="4"/>
      <c r="D1187" s="4" t="s">
        <v>124</v>
      </c>
      <c r="E1187" s="4"/>
      <c r="F1187" s="4"/>
      <c r="G1187" s="4"/>
      <c r="H1187" s="4"/>
      <c r="I1187" s="4"/>
      <c r="J1187" s="4"/>
      <c r="K1187" s="4"/>
      <c r="L1187" s="4"/>
      <c r="M1187" s="4"/>
      <c r="AH1187" s="27"/>
      <c r="AQ1187" s="29"/>
    </row>
    <row r="1188" spans="2:43" ht="19.5" customHeight="1">
      <c r="B1188" s="4"/>
      <c r="C1188" s="4"/>
      <c r="D1188" s="4" t="s">
        <v>125</v>
      </c>
      <c r="E1188" s="4"/>
      <c r="F1188" s="4"/>
      <c r="G1188" s="4"/>
      <c r="H1188" s="4"/>
      <c r="I1188" s="4"/>
      <c r="J1188" s="4"/>
      <c r="K1188" s="4"/>
      <c r="L1188" s="4"/>
      <c r="Q1188" s="27" t="s">
        <v>839</v>
      </c>
      <c r="S1188" s="380">
        <v>15</v>
      </c>
      <c r="T1188" s="380"/>
      <c r="AH1188" s="27"/>
      <c r="AI1188" s="92" t="s">
        <v>932</v>
      </c>
      <c r="AQ1188" s="29"/>
    </row>
    <row r="1189" spans="2:43" ht="19.5" customHeight="1">
      <c r="B1189" s="4"/>
      <c r="C1189" s="4"/>
      <c r="D1189" s="4" t="s">
        <v>126</v>
      </c>
      <c r="E1189" s="4"/>
      <c r="F1189" s="4"/>
      <c r="G1189" s="4"/>
      <c r="H1189" s="4"/>
      <c r="I1189" s="4"/>
      <c r="J1189" s="4"/>
      <c r="K1189" s="4"/>
      <c r="L1189" s="4"/>
      <c r="P1189" s="27" t="s">
        <v>48</v>
      </c>
      <c r="W1189" s="27" t="s">
        <v>290</v>
      </c>
      <c r="X1189" s="209">
        <f>T677</f>
        <v>40</v>
      </c>
      <c r="Y1189" s="210"/>
      <c r="Z1189" s="210"/>
      <c r="AA1189" s="39" t="s">
        <v>348</v>
      </c>
      <c r="AB1189" s="27">
        <v>3</v>
      </c>
      <c r="AC1189" s="27" t="s">
        <v>290</v>
      </c>
      <c r="AD1189" s="211">
        <f>X1189/AB1189</f>
        <v>13.333333333333334</v>
      </c>
      <c r="AE1189" s="211"/>
      <c r="AF1189" s="211"/>
      <c r="AG1189" s="27" t="s">
        <v>1121</v>
      </c>
      <c r="AH1189" s="27"/>
      <c r="AQ1189" s="29"/>
    </row>
    <row r="1190" spans="2:43" ht="19.5" customHeight="1">
      <c r="B1190" s="4"/>
      <c r="C1190" s="4"/>
      <c r="D1190" s="4"/>
      <c r="E1190" s="4"/>
      <c r="F1190" s="4"/>
      <c r="G1190" s="4"/>
      <c r="H1190" s="4"/>
      <c r="I1190" s="4"/>
      <c r="J1190" s="4"/>
      <c r="K1190" s="4"/>
      <c r="L1190" s="4"/>
      <c r="X1190" s="96"/>
      <c r="Y1190" s="96"/>
      <c r="Z1190" s="96"/>
      <c r="AA1190" s="39"/>
      <c r="AD1190" s="41"/>
      <c r="AE1190" s="41"/>
      <c r="AF1190" s="41"/>
      <c r="AH1190" s="27"/>
      <c r="AQ1190" s="29"/>
    </row>
    <row r="1191" spans="2:67" ht="19.5" customHeight="1">
      <c r="B1191" s="4"/>
      <c r="C1191" s="4"/>
      <c r="D1191" s="27" t="s">
        <v>925</v>
      </c>
      <c r="F1191" s="381">
        <v>16</v>
      </c>
      <c r="G1191" s="381"/>
      <c r="H1191" s="27" t="s">
        <v>840</v>
      </c>
      <c r="J1191" s="330">
        <v>250</v>
      </c>
      <c r="K1191" s="330"/>
      <c r="L1191" s="27" t="s">
        <v>595</v>
      </c>
      <c r="T1191" s="27" t="s">
        <v>127</v>
      </c>
      <c r="Z1191" s="301">
        <f>G239</f>
        <v>19</v>
      </c>
      <c r="AA1191" s="301"/>
      <c r="AF1191" s="29"/>
      <c r="AG1191" s="29"/>
      <c r="AO1191" s="27"/>
      <c r="AP1191" s="27"/>
      <c r="BF1191" s="4"/>
      <c r="BG1191" s="4"/>
      <c r="BH1191" s="4"/>
      <c r="BI1191" s="4"/>
      <c r="BJ1191" s="4"/>
      <c r="BK1191" s="4"/>
      <c r="BL1191" s="4"/>
      <c r="BN1191" s="47"/>
      <c r="BO1191" s="47"/>
    </row>
    <row r="1192" spans="2:81" ht="19.5" customHeight="1">
      <c r="B1192" s="4"/>
      <c r="F1192" s="27" t="s">
        <v>841</v>
      </c>
      <c r="H1192" s="237">
        <f>IF(F1191=13,126.7,IF(F1191=16,198.6,IF(F1191=19,286.5,IF(F1191=22,387.1,IF(F1191=25,506.7,IF(F1191=29,642.4,"ERROR"))))))*1000/J1191</f>
        <v>794.4</v>
      </c>
      <c r="I1192" s="237"/>
      <c r="J1192" s="237"/>
      <c r="K1192" s="27" t="s">
        <v>842</v>
      </c>
      <c r="M1192" s="4"/>
      <c r="N1192" s="4"/>
      <c r="O1192" s="4"/>
      <c r="P1192" s="4"/>
      <c r="Q1192" s="4"/>
      <c r="R1192" s="4"/>
      <c r="S1192" s="4"/>
      <c r="AH1192" s="27"/>
      <c r="AI1192" s="27"/>
      <c r="AJ1192" s="27"/>
      <c r="AK1192" s="27"/>
      <c r="AL1192" s="27"/>
      <c r="AM1192" s="27"/>
      <c r="AP1192" s="27"/>
      <c r="BF1192" s="79"/>
      <c r="BG1192" s="4"/>
      <c r="BH1192" s="4"/>
      <c r="BI1192" s="4"/>
      <c r="BJ1192" s="4"/>
      <c r="BK1192" s="4"/>
      <c r="BL1192" s="4"/>
      <c r="BT1192" s="199"/>
      <c r="BV1192" s="35"/>
      <c r="BW1192" s="35"/>
      <c r="BX1192" s="35"/>
      <c r="BY1192" s="23"/>
      <c r="CB1192" s="23"/>
      <c r="CC1192" s="23"/>
    </row>
    <row r="1193" spans="2:78" ht="19.5" customHeight="1">
      <c r="B1193" s="4"/>
      <c r="G1193" s="44"/>
      <c r="H1193" s="44"/>
      <c r="I1193" s="44"/>
      <c r="M1193" s="79">
        <f>O240</f>
        <v>40</v>
      </c>
      <c r="N1193" s="4"/>
      <c r="O1193" s="4"/>
      <c r="P1193" s="4"/>
      <c r="Q1193" s="4"/>
      <c r="R1193" s="4"/>
      <c r="S1193" s="4"/>
      <c r="Y1193" s="164" t="s">
        <v>843</v>
      </c>
      <c r="AA1193" s="300">
        <f>AC240</f>
        <v>380</v>
      </c>
      <c r="AH1193" s="27"/>
      <c r="AI1193" s="27"/>
      <c r="AJ1193" s="27"/>
      <c r="AK1193" s="27"/>
      <c r="AL1193" s="27"/>
      <c r="AM1193" s="27"/>
      <c r="AP1193" s="27"/>
      <c r="AV1193" s="4"/>
      <c r="BF1193" s="79"/>
      <c r="BG1193" s="4"/>
      <c r="BH1193" s="4"/>
      <c r="BI1193" s="4"/>
      <c r="BJ1193" s="4"/>
      <c r="BK1193" s="4"/>
      <c r="BL1193" s="4"/>
      <c r="BR1193" s="107"/>
      <c r="BT1193" s="199"/>
      <c r="BX1193" s="44"/>
      <c r="BY1193" s="382"/>
      <c r="BZ1193" s="382"/>
    </row>
    <row r="1194" spans="2:71" ht="19.5" customHeight="1">
      <c r="B1194" s="4"/>
      <c r="C1194" s="4"/>
      <c r="M1194" s="79">
        <f>AA1193-M1193-M1195</f>
        <v>300</v>
      </c>
      <c r="N1194" s="4"/>
      <c r="O1194" s="4"/>
      <c r="P1194" s="4"/>
      <c r="Q1194" s="4"/>
      <c r="R1194" s="4"/>
      <c r="S1194" s="4"/>
      <c r="Y1194" s="107"/>
      <c r="Z1194" s="81" t="s">
        <v>844</v>
      </c>
      <c r="AA1194" s="300"/>
      <c r="AH1194" s="27"/>
      <c r="AI1194" s="27"/>
      <c r="AJ1194" s="27"/>
      <c r="AK1194" s="27"/>
      <c r="AL1194" s="27"/>
      <c r="AM1194" s="27"/>
      <c r="AP1194" s="27"/>
      <c r="AV1194" s="4"/>
      <c r="BF1194" s="79"/>
      <c r="BG1194" s="4"/>
      <c r="BH1194" s="4"/>
      <c r="BI1194" s="4"/>
      <c r="BJ1194" s="4"/>
      <c r="BK1194" s="4"/>
      <c r="BS1194" s="107"/>
    </row>
    <row r="1195" spans="2:66" ht="19.5" customHeight="1">
      <c r="B1195" s="4"/>
      <c r="C1195" s="4"/>
      <c r="M1195" s="79">
        <f>O242</f>
        <v>40</v>
      </c>
      <c r="N1195" s="4"/>
      <c r="O1195" s="4"/>
      <c r="P1195" s="4"/>
      <c r="Q1195" s="4"/>
      <c r="R1195" s="4"/>
      <c r="Z1195" s="107"/>
      <c r="AH1195" s="27"/>
      <c r="AI1195" s="27"/>
      <c r="AJ1195" s="27"/>
      <c r="AK1195" s="27"/>
      <c r="AL1195" s="27"/>
      <c r="AM1195" s="27"/>
      <c r="AP1195" s="27"/>
      <c r="AV1195" s="4"/>
      <c r="BF1195" s="4"/>
      <c r="BG1195" s="4"/>
      <c r="BH1195" s="4"/>
      <c r="BI1195" s="4"/>
      <c r="BJ1195" s="4"/>
      <c r="BK1195" s="4"/>
      <c r="BL1195" s="108"/>
      <c r="BM1195" s="108"/>
      <c r="BN1195" s="108"/>
    </row>
    <row r="1196" spans="2:64" ht="19.5" customHeight="1">
      <c r="B1196" s="4"/>
      <c r="C1196" s="4"/>
      <c r="D1196" s="27" t="s">
        <v>925</v>
      </c>
      <c r="F1196" s="381">
        <v>16</v>
      </c>
      <c r="G1196" s="381"/>
      <c r="H1196" s="27" t="s">
        <v>845</v>
      </c>
      <c r="J1196" s="330">
        <v>125</v>
      </c>
      <c r="K1196" s="330"/>
      <c r="L1196" s="27" t="s">
        <v>434</v>
      </c>
      <c r="M1196" s="4"/>
      <c r="N1196" s="4"/>
      <c r="O1196" s="4"/>
      <c r="P1196" s="4"/>
      <c r="Q1196" s="4"/>
      <c r="R1196" s="4"/>
      <c r="S1196" s="256">
        <v>1000</v>
      </c>
      <c r="T1196" s="256"/>
      <c r="U1196" s="256"/>
      <c r="AH1196" s="27"/>
      <c r="AI1196" s="27"/>
      <c r="AJ1196" s="27"/>
      <c r="AK1196" s="27"/>
      <c r="AL1196" s="27"/>
      <c r="AM1196" s="27"/>
      <c r="AN1196" s="27"/>
      <c r="AV1196" s="4"/>
      <c r="BF1196" s="4"/>
      <c r="BG1196" s="4"/>
      <c r="BH1196" s="4"/>
      <c r="BI1196" s="4"/>
      <c r="BJ1196" s="4"/>
      <c r="BK1196" s="4"/>
      <c r="BL1196" s="4"/>
    </row>
    <row r="1197" spans="2:40" ht="19.5" customHeight="1">
      <c r="B1197" s="4"/>
      <c r="C1197" s="4"/>
      <c r="F1197" s="27" t="s">
        <v>841</v>
      </c>
      <c r="H1197" s="237">
        <f>IF(F1196=13,126.7,IF(F1196=16,198.6,IF(F1196=19,286.5,IF(F1196=22,387.1,IF(F1196=25,506.7,IF(F1196=29,642.4,"ERROR"))))))*1000/J1196</f>
        <v>1588.8</v>
      </c>
      <c r="I1197" s="237"/>
      <c r="J1197" s="237"/>
      <c r="K1197" s="27" t="s">
        <v>842</v>
      </c>
      <c r="M1197" s="4"/>
      <c r="N1197" s="4"/>
      <c r="O1197" s="4"/>
      <c r="P1197" s="4"/>
      <c r="Q1197" s="4"/>
      <c r="R1197" s="4"/>
      <c r="S1197" s="4"/>
      <c r="U1197" s="27" t="s">
        <v>127</v>
      </c>
      <c r="AA1197" s="301">
        <f>Z1191</f>
        <v>19</v>
      </c>
      <c r="AB1197" s="301"/>
      <c r="AH1197" s="27"/>
      <c r="AI1197" s="27"/>
      <c r="AJ1197" s="27"/>
      <c r="AK1197" s="27"/>
      <c r="AL1197" s="27"/>
      <c r="AM1197" s="27"/>
      <c r="AN1197" s="27"/>
    </row>
    <row r="1198" spans="2:40" ht="19.5" customHeight="1">
      <c r="B1198" s="4"/>
      <c r="C1198" s="4"/>
      <c r="M1198" s="4"/>
      <c r="N1198" s="4"/>
      <c r="O1198" s="4"/>
      <c r="P1198" s="4"/>
      <c r="Q1198" s="4"/>
      <c r="R1198" s="4"/>
      <c r="S1198" s="4"/>
      <c r="AA1198" s="163"/>
      <c r="AB1198" s="163"/>
      <c r="AH1198" s="27"/>
      <c r="AI1198" s="27"/>
      <c r="AJ1198" s="27"/>
      <c r="AK1198" s="27"/>
      <c r="AL1198" s="27"/>
      <c r="AM1198" s="27"/>
      <c r="AN1198" s="27"/>
    </row>
    <row r="1199" spans="1:76" s="200" customFormat="1" ht="22.5" customHeight="1">
      <c r="A1199" s="341"/>
      <c r="B1199" s="341"/>
      <c r="C1199" s="341"/>
      <c r="D1199" s="341" t="s">
        <v>846</v>
      </c>
      <c r="E1199" s="341"/>
      <c r="F1199" s="341"/>
      <c r="G1199" s="341"/>
      <c r="H1199" s="341"/>
      <c r="I1199" s="341"/>
      <c r="J1199" s="341"/>
      <c r="K1199" s="383"/>
      <c r="L1199" s="383"/>
      <c r="M1199" s="383"/>
      <c r="N1199" s="341"/>
      <c r="O1199" s="341"/>
      <c r="P1199" s="341"/>
      <c r="Q1199" s="341"/>
      <c r="R1199" s="341"/>
      <c r="S1199" s="341"/>
      <c r="T1199" s="341"/>
      <c r="U1199" s="341"/>
      <c r="V1199" s="341"/>
      <c r="W1199" s="341"/>
      <c r="X1199" s="341"/>
      <c r="Y1199" s="341"/>
      <c r="Z1199" s="341"/>
      <c r="AA1199" s="341"/>
      <c r="AB1199" s="341"/>
      <c r="AC1199" s="341"/>
      <c r="AD1199" s="341"/>
      <c r="AE1199" s="341"/>
      <c r="AF1199" s="341"/>
      <c r="AG1199" s="341"/>
      <c r="AH1199" s="341"/>
      <c r="AI1199" s="341"/>
      <c r="AJ1199" s="341"/>
      <c r="AK1199" s="341"/>
      <c r="AL1199" s="341"/>
      <c r="AM1199" s="341"/>
      <c r="AN1199" s="341"/>
      <c r="AO1199" s="341"/>
      <c r="AP1199" s="341"/>
      <c r="AQ1199" s="341"/>
      <c r="AR1199" s="341"/>
      <c r="AS1199" s="341"/>
      <c r="AT1199" s="341"/>
      <c r="AU1199" s="341"/>
      <c r="AV1199" s="341"/>
      <c r="AW1199" s="341"/>
      <c r="AX1199" s="341"/>
      <c r="AY1199" s="341"/>
      <c r="AZ1199" s="341"/>
      <c r="BA1199" s="341"/>
      <c r="BB1199" s="341"/>
      <c r="BC1199" s="341"/>
      <c r="BD1199" s="341"/>
      <c r="BE1199" s="341"/>
      <c r="BF1199" s="341"/>
      <c r="BG1199" s="341"/>
      <c r="BH1199" s="341"/>
      <c r="BI1199" s="341"/>
      <c r="BJ1199" s="341"/>
      <c r="BK1199" s="341"/>
      <c r="BL1199" s="341"/>
      <c r="BM1199" s="341"/>
      <c r="BN1199" s="341"/>
      <c r="BO1199" s="341"/>
      <c r="BP1199" s="341"/>
      <c r="BQ1199" s="341"/>
      <c r="BR1199" s="341"/>
      <c r="BS1199" s="341"/>
      <c r="BT1199" s="341"/>
      <c r="BU1199" s="341"/>
      <c r="BV1199" s="341"/>
      <c r="BW1199" s="341"/>
      <c r="BX1199" s="341"/>
    </row>
    <row r="1200" spans="1:76" s="200" customFormat="1" ht="22.5" customHeight="1">
      <c r="A1200" s="341"/>
      <c r="B1200" s="341"/>
      <c r="C1200" s="341"/>
      <c r="D1200" s="341"/>
      <c r="E1200" s="341" t="s">
        <v>847</v>
      </c>
      <c r="F1200" s="341"/>
      <c r="G1200" s="341"/>
      <c r="H1200" s="341"/>
      <c r="I1200" s="341"/>
      <c r="J1200" s="341"/>
      <c r="K1200" s="383"/>
      <c r="L1200" s="383"/>
      <c r="M1200" s="383"/>
      <c r="N1200" s="341"/>
      <c r="O1200" s="341"/>
      <c r="P1200" s="341"/>
      <c r="Q1200" s="341"/>
      <c r="R1200" s="341"/>
      <c r="S1200" s="341"/>
      <c r="T1200" s="341"/>
      <c r="U1200" s="341"/>
      <c r="V1200" s="341"/>
      <c r="W1200" s="341"/>
      <c r="X1200" s="341"/>
      <c r="Y1200" s="341"/>
      <c r="Z1200" s="341"/>
      <c r="AA1200" s="341"/>
      <c r="AB1200" s="341"/>
      <c r="AC1200" s="341"/>
      <c r="AD1200" s="341"/>
      <c r="AE1200" s="341"/>
      <c r="AF1200" s="341"/>
      <c r="AG1200" s="341"/>
      <c r="AH1200" s="341"/>
      <c r="AI1200" s="341"/>
      <c r="AJ1200" s="341"/>
      <c r="AK1200" s="341"/>
      <c r="AL1200" s="341"/>
      <c r="AM1200" s="341"/>
      <c r="AN1200" s="341"/>
      <c r="AO1200" s="341"/>
      <c r="AP1200" s="341"/>
      <c r="AQ1200" s="341"/>
      <c r="AR1200" s="341"/>
      <c r="AS1200" s="341"/>
      <c r="AT1200" s="341"/>
      <c r="AU1200" s="341"/>
      <c r="AV1200" s="341"/>
      <c r="AW1200" s="341"/>
      <c r="AX1200" s="341"/>
      <c r="AY1200" s="341"/>
      <c r="AZ1200" s="341"/>
      <c r="BA1200" s="341"/>
      <c r="BB1200" s="341"/>
      <c r="BC1200" s="341"/>
      <c r="BD1200" s="341"/>
      <c r="BE1200" s="341"/>
      <c r="BF1200" s="341"/>
      <c r="BG1200" s="341"/>
      <c r="BH1200" s="341"/>
      <c r="BI1200" s="341"/>
      <c r="BJ1200" s="341"/>
      <c r="BK1200" s="341"/>
      <c r="BL1200" s="341"/>
      <c r="BM1200" s="341"/>
      <c r="BN1200" s="341"/>
      <c r="BO1200" s="341"/>
      <c r="BP1200" s="341"/>
      <c r="BQ1200" s="341"/>
      <c r="BR1200" s="341"/>
      <c r="BS1200" s="341"/>
      <c r="BT1200" s="341"/>
      <c r="BU1200" s="341"/>
      <c r="BV1200" s="341"/>
      <c r="BW1200" s="341"/>
      <c r="BX1200" s="341"/>
    </row>
    <row r="1201" spans="1:76" s="200" customFormat="1" ht="22.5" customHeight="1">
      <c r="A1201" s="341"/>
      <c r="B1201" s="341"/>
      <c r="C1201" s="341"/>
      <c r="D1201" s="341" t="s">
        <v>128</v>
      </c>
      <c r="E1201" s="341"/>
      <c r="F1201" s="341"/>
      <c r="G1201" s="341"/>
      <c r="H1201" s="341"/>
      <c r="I1201" s="341"/>
      <c r="J1201" s="341"/>
      <c r="K1201" s="383"/>
      <c r="L1201" s="383"/>
      <c r="M1201" s="383"/>
      <c r="N1201" s="341"/>
      <c r="O1201" s="341"/>
      <c r="P1201" s="341"/>
      <c r="Q1201" s="341"/>
      <c r="R1201" s="341"/>
      <c r="S1201" s="341"/>
      <c r="T1201" s="341"/>
      <c r="U1201" s="341"/>
      <c r="V1201" s="341"/>
      <c r="W1201" s="341"/>
      <c r="X1201" s="341"/>
      <c r="Y1201" s="341"/>
      <c r="Z1201" s="341"/>
      <c r="AA1201" s="341"/>
      <c r="AB1201" s="341"/>
      <c r="AC1201" s="341"/>
      <c r="AD1201" s="341"/>
      <c r="AE1201" s="341"/>
      <c r="AF1201" s="341"/>
      <c r="AG1201" s="341"/>
      <c r="AH1201" s="341"/>
      <c r="AI1201" s="341"/>
      <c r="AJ1201" s="341"/>
      <c r="AK1201" s="341"/>
      <c r="AL1201" s="341"/>
      <c r="AM1201" s="341"/>
      <c r="AN1201" s="341"/>
      <c r="AO1201" s="341"/>
      <c r="AP1201" s="341"/>
      <c r="AQ1201" s="341"/>
      <c r="AR1201" s="341"/>
      <c r="AS1201" s="341"/>
      <c r="AT1201" s="341"/>
      <c r="AU1201" s="341"/>
      <c r="AV1201" s="341"/>
      <c r="AW1201" s="341"/>
      <c r="AX1201" s="341"/>
      <c r="AY1201" s="341"/>
      <c r="AZ1201" s="341"/>
      <c r="BA1201" s="341"/>
      <c r="BB1201" s="341"/>
      <c r="BC1201" s="341"/>
      <c r="BD1201" s="341"/>
      <c r="BE1201" s="341"/>
      <c r="BF1201" s="341"/>
      <c r="BG1201" s="341"/>
      <c r="BH1201" s="341"/>
      <c r="BI1201" s="341"/>
      <c r="BJ1201" s="341"/>
      <c r="BK1201" s="341"/>
      <c r="BL1201" s="341"/>
      <c r="BM1201" s="341"/>
      <c r="BN1201" s="341"/>
      <c r="BO1201" s="341"/>
      <c r="BP1201" s="341"/>
      <c r="BQ1201" s="341"/>
      <c r="BR1201" s="341"/>
      <c r="BS1201" s="341"/>
      <c r="BT1201" s="341"/>
      <c r="BU1201" s="341"/>
      <c r="BV1201" s="341"/>
      <c r="BW1201" s="341"/>
      <c r="BX1201" s="341"/>
    </row>
    <row r="1202" spans="1:76" s="200" customFormat="1" ht="22.5" customHeight="1">
      <c r="A1202" s="341"/>
      <c r="B1202" s="341"/>
      <c r="C1202" s="341"/>
      <c r="D1202" s="341"/>
      <c r="E1202" s="341" t="s">
        <v>848</v>
      </c>
      <c r="F1202" s="341"/>
      <c r="G1202" s="341"/>
      <c r="H1202" s="341"/>
      <c r="I1202" s="341"/>
      <c r="J1202" s="341"/>
      <c r="K1202" s="383"/>
      <c r="L1202" s="383"/>
      <c r="M1202" s="383"/>
      <c r="N1202" s="341"/>
      <c r="O1202" s="341"/>
      <c r="P1202" s="341"/>
      <c r="Q1202" s="341"/>
      <c r="R1202" s="341"/>
      <c r="S1202" s="341"/>
      <c r="T1202" s="341"/>
      <c r="U1202" s="341"/>
      <c r="V1202" s="341"/>
      <c r="W1202" s="341"/>
      <c r="X1202" s="341"/>
      <c r="Y1202" s="341"/>
      <c r="Z1202" s="341"/>
      <c r="AA1202" s="341"/>
      <c r="AB1202" s="341"/>
      <c r="AC1202" s="341"/>
      <c r="AD1202" s="341"/>
      <c r="AE1202" s="341"/>
      <c r="AF1202" s="341"/>
      <c r="AG1202" s="341"/>
      <c r="AH1202" s="341"/>
      <c r="AI1202" s="341"/>
      <c r="AJ1202" s="341"/>
      <c r="AK1202" s="341"/>
      <c r="AL1202" s="341"/>
      <c r="AM1202" s="341"/>
      <c r="AN1202" s="341"/>
      <c r="AO1202" s="341"/>
      <c r="AP1202" s="341"/>
      <c r="AQ1202" s="341"/>
      <c r="AR1202" s="341"/>
      <c r="AS1202" s="341"/>
      <c r="AT1202" s="341"/>
      <c r="AU1202" s="341"/>
      <c r="AV1202" s="341"/>
      <c r="AW1202" s="341"/>
      <c r="AX1202" s="341"/>
      <c r="AY1202" s="341"/>
      <c r="AZ1202" s="341"/>
      <c r="BA1202" s="341"/>
      <c r="BB1202" s="341"/>
      <c r="BC1202" s="341"/>
      <c r="BD1202" s="341"/>
      <c r="BE1202" s="341"/>
      <c r="BF1202" s="341"/>
      <c r="BG1202" s="341"/>
      <c r="BH1202" s="341"/>
      <c r="BI1202" s="341"/>
      <c r="BJ1202" s="341"/>
      <c r="BK1202" s="341"/>
      <c r="BL1202" s="341"/>
      <c r="BM1202" s="341"/>
      <c r="BN1202" s="341"/>
      <c r="BO1202" s="341"/>
      <c r="BP1202" s="341"/>
      <c r="BQ1202" s="341"/>
      <c r="BR1202" s="341"/>
      <c r="BS1202" s="341"/>
      <c r="BT1202" s="341"/>
      <c r="BU1202" s="341"/>
      <c r="BV1202" s="341"/>
      <c r="BW1202" s="341"/>
      <c r="BX1202" s="341"/>
    </row>
    <row r="1203" spans="1:76" s="200" customFormat="1" ht="22.5" customHeight="1">
      <c r="A1203" s="341"/>
      <c r="B1203" s="341"/>
      <c r="C1203" s="341"/>
      <c r="D1203" s="341" t="s">
        <v>129</v>
      </c>
      <c r="E1203" s="341"/>
      <c r="F1203" s="341"/>
      <c r="G1203" s="341"/>
      <c r="H1203" s="341"/>
      <c r="I1203" s="341"/>
      <c r="J1203" s="341"/>
      <c r="K1203" s="383"/>
      <c r="L1203" s="383"/>
      <c r="M1203" s="383"/>
      <c r="N1203" s="341"/>
      <c r="O1203" s="341"/>
      <c r="P1203" s="341"/>
      <c r="Q1203" s="341"/>
      <c r="R1203" s="341"/>
      <c r="S1203" s="341"/>
      <c r="T1203" s="341"/>
      <c r="U1203" s="341"/>
      <c r="V1203" s="341"/>
      <c r="W1203" s="341"/>
      <c r="X1203" s="341"/>
      <c r="Y1203" s="341"/>
      <c r="Z1203" s="341"/>
      <c r="AA1203" s="341"/>
      <c r="AB1203" s="341"/>
      <c r="AC1203" s="341"/>
      <c r="AD1203" s="341"/>
      <c r="AE1203" s="341"/>
      <c r="AF1203" s="341"/>
      <c r="AG1203" s="341"/>
      <c r="AH1203" s="341"/>
      <c r="AI1203" s="341"/>
      <c r="AJ1203" s="341"/>
      <c r="AK1203" s="341"/>
      <c r="AL1203" s="341"/>
      <c r="AM1203" s="341"/>
      <c r="AN1203" s="341"/>
      <c r="AO1203" s="341"/>
      <c r="AP1203" s="341"/>
      <c r="AQ1203" s="341"/>
      <c r="AR1203" s="341"/>
      <c r="AS1203" s="341"/>
      <c r="AT1203" s="341"/>
      <c r="AU1203" s="341"/>
      <c r="AV1203" s="341"/>
      <c r="AW1203" s="341"/>
      <c r="AX1203" s="341"/>
      <c r="AY1203" s="341"/>
      <c r="AZ1203" s="341"/>
      <c r="BA1203" s="341"/>
      <c r="BB1203" s="341"/>
      <c r="BC1203" s="341"/>
      <c r="BD1203" s="341"/>
      <c r="BE1203" s="341"/>
      <c r="BF1203" s="341"/>
      <c r="BG1203" s="341"/>
      <c r="BH1203" s="341"/>
      <c r="BI1203" s="341"/>
      <c r="BJ1203" s="341"/>
      <c r="BK1203" s="341"/>
      <c r="BL1203" s="341"/>
      <c r="BM1203" s="341"/>
      <c r="BN1203" s="341"/>
      <c r="BO1203" s="341"/>
      <c r="BP1203" s="341"/>
      <c r="BQ1203" s="341"/>
      <c r="BR1203" s="341"/>
      <c r="BS1203" s="341"/>
      <c r="BT1203" s="341"/>
      <c r="BU1203" s="341"/>
      <c r="BV1203" s="341"/>
      <c r="BW1203" s="341"/>
      <c r="BX1203" s="341"/>
    </row>
    <row r="1204" spans="1:76" s="200" customFormat="1" ht="22.5" customHeight="1">
      <c r="A1204" s="341"/>
      <c r="B1204" s="341"/>
      <c r="C1204" s="341"/>
      <c r="D1204" s="341"/>
      <c r="E1204" s="341" t="s">
        <v>849</v>
      </c>
      <c r="F1204" s="341"/>
      <c r="G1204" s="341"/>
      <c r="H1204" s="341"/>
      <c r="I1204" s="341"/>
      <c r="J1204" s="341"/>
      <c r="K1204" s="383"/>
      <c r="L1204" s="383"/>
      <c r="M1204" s="383"/>
      <c r="N1204" s="341"/>
      <c r="O1204" s="341"/>
      <c r="P1204" s="341"/>
      <c r="Q1204" s="341"/>
      <c r="R1204" s="341"/>
      <c r="S1204" s="341"/>
      <c r="T1204" s="341"/>
      <c r="U1204" s="341"/>
      <c r="V1204" s="341"/>
      <c r="W1204" s="341"/>
      <c r="X1204" s="341"/>
      <c r="Y1204" s="341"/>
      <c r="Z1204" s="341"/>
      <c r="AA1204" s="341"/>
      <c r="AB1204" s="341"/>
      <c r="AC1204" s="341"/>
      <c r="AD1204" s="341"/>
      <c r="AE1204" s="341"/>
      <c r="AF1204" s="341"/>
      <c r="AG1204" s="341"/>
      <c r="AH1204" s="341"/>
      <c r="AI1204" s="341"/>
      <c r="AJ1204" s="341"/>
      <c r="AK1204" s="341"/>
      <c r="AL1204" s="341"/>
      <c r="AM1204" s="341"/>
      <c r="AN1204" s="341"/>
      <c r="AO1204" s="341"/>
      <c r="AP1204" s="341"/>
      <c r="AQ1204" s="341"/>
      <c r="AR1204" s="341"/>
      <c r="AS1204" s="341"/>
      <c r="AT1204" s="341"/>
      <c r="AU1204" s="341"/>
      <c r="AV1204" s="341"/>
      <c r="AW1204" s="341"/>
      <c r="AX1204" s="341"/>
      <c r="AY1204" s="341"/>
      <c r="AZ1204" s="341"/>
      <c r="BA1204" s="341"/>
      <c r="BB1204" s="341"/>
      <c r="BC1204" s="341"/>
      <c r="BD1204" s="341"/>
      <c r="BE1204" s="341"/>
      <c r="BF1204" s="341"/>
      <c r="BG1204" s="341"/>
      <c r="BH1204" s="341"/>
      <c r="BI1204" s="341"/>
      <c r="BJ1204" s="341"/>
      <c r="BK1204" s="341"/>
      <c r="BL1204" s="341"/>
      <c r="BM1204" s="341"/>
      <c r="BN1204" s="341"/>
      <c r="BO1204" s="341"/>
      <c r="BP1204" s="341"/>
      <c r="BQ1204" s="341"/>
      <c r="BR1204" s="341"/>
      <c r="BS1204" s="341"/>
      <c r="BT1204" s="341"/>
      <c r="BU1204" s="341"/>
      <c r="BV1204" s="341"/>
      <c r="BW1204" s="341"/>
      <c r="BX1204" s="341"/>
    </row>
    <row r="1205" spans="1:76" s="200" customFormat="1" ht="22.5" customHeight="1">
      <c r="A1205" s="341"/>
      <c r="B1205" s="341"/>
      <c r="C1205" s="341"/>
      <c r="D1205" s="341"/>
      <c r="E1205" s="341" t="s">
        <v>850</v>
      </c>
      <c r="F1205" s="341"/>
      <c r="G1205" s="341"/>
      <c r="H1205" s="341"/>
      <c r="I1205" s="341"/>
      <c r="J1205" s="341"/>
      <c r="K1205" s="383"/>
      <c r="L1205" s="383"/>
      <c r="M1205" s="383"/>
      <c r="N1205" s="341"/>
      <c r="O1205" s="341"/>
      <c r="P1205" s="341"/>
      <c r="Q1205" s="341"/>
      <c r="R1205" s="341"/>
      <c r="S1205" s="341"/>
      <c r="T1205" s="341"/>
      <c r="U1205" s="341"/>
      <c r="V1205" s="341"/>
      <c r="W1205" s="341"/>
      <c r="X1205" s="341"/>
      <c r="Y1205" s="341"/>
      <c r="Z1205" s="341"/>
      <c r="AA1205" s="341"/>
      <c r="AB1205" s="341"/>
      <c r="AC1205" s="341"/>
      <c r="AD1205" s="341"/>
      <c r="AE1205" s="341"/>
      <c r="AF1205" s="341"/>
      <c r="AG1205" s="341"/>
      <c r="AH1205" s="341"/>
      <c r="AI1205" s="341"/>
      <c r="AJ1205" s="341"/>
      <c r="AK1205" s="341"/>
      <c r="AL1205" s="341"/>
      <c r="AM1205" s="341"/>
      <c r="AN1205" s="341"/>
      <c r="AO1205" s="341"/>
      <c r="AP1205" s="341"/>
      <c r="AQ1205" s="341"/>
      <c r="AR1205" s="341"/>
      <c r="AS1205" s="341"/>
      <c r="AT1205" s="341"/>
      <c r="AU1205" s="341"/>
      <c r="AV1205" s="341"/>
      <c r="AW1205" s="341"/>
      <c r="AX1205" s="341"/>
      <c r="AY1205" s="341"/>
      <c r="AZ1205" s="341"/>
      <c r="BA1205" s="341"/>
      <c r="BB1205" s="341"/>
      <c r="BC1205" s="341"/>
      <c r="BD1205" s="341"/>
      <c r="BE1205" s="341"/>
      <c r="BF1205" s="341"/>
      <c r="BG1205" s="341"/>
      <c r="BH1205" s="341"/>
      <c r="BI1205" s="341"/>
      <c r="BJ1205" s="341"/>
      <c r="BK1205" s="341"/>
      <c r="BL1205" s="341"/>
      <c r="BM1205" s="341"/>
      <c r="BN1205" s="341"/>
      <c r="BO1205" s="341"/>
      <c r="BP1205" s="341"/>
      <c r="BQ1205" s="341"/>
      <c r="BR1205" s="341"/>
      <c r="BS1205" s="341"/>
      <c r="BT1205" s="341"/>
      <c r="BU1205" s="341"/>
      <c r="BV1205" s="341"/>
      <c r="BW1205" s="341"/>
      <c r="BX1205" s="341"/>
    </row>
    <row r="1206" spans="1:76" s="200" customFormat="1" ht="22.5" customHeight="1">
      <c r="A1206" s="341"/>
      <c r="B1206" s="341"/>
      <c r="C1206" s="341"/>
      <c r="D1206" s="4" t="s">
        <v>851</v>
      </c>
      <c r="E1206" s="341"/>
      <c r="F1206" s="341"/>
      <c r="G1206" s="341"/>
      <c r="H1206" s="341"/>
      <c r="I1206" s="341"/>
      <c r="J1206" s="341"/>
      <c r="K1206" s="341"/>
      <c r="L1206" s="165" t="s">
        <v>852</v>
      </c>
      <c r="M1206" s="383"/>
      <c r="N1206" s="383"/>
      <c r="O1206" s="341"/>
      <c r="P1206" s="341"/>
      <c r="Q1206" s="341"/>
      <c r="R1206" s="341"/>
      <c r="S1206" s="341"/>
      <c r="T1206" s="341"/>
      <c r="U1206" s="341"/>
      <c r="V1206" s="341"/>
      <c r="W1206" s="341"/>
      <c r="X1206" s="384"/>
      <c r="Y1206" s="341"/>
      <c r="Z1206" s="341"/>
      <c r="AA1206" s="341"/>
      <c r="AB1206" s="341"/>
      <c r="AC1206" s="341"/>
      <c r="AD1206" s="341"/>
      <c r="AE1206" s="341"/>
      <c r="AF1206" s="341"/>
      <c r="AG1206" s="341"/>
      <c r="AH1206" s="341"/>
      <c r="AI1206" s="341"/>
      <c r="AJ1206" s="341"/>
      <c r="AK1206" s="341"/>
      <c r="AL1206" s="341"/>
      <c r="AM1206" s="341"/>
      <c r="AN1206" s="341"/>
      <c r="AO1206" s="341"/>
      <c r="AP1206" s="341"/>
      <c r="AQ1206" s="341"/>
      <c r="AR1206" s="341"/>
      <c r="AS1206" s="341"/>
      <c r="AT1206" s="341"/>
      <c r="AU1206" s="341"/>
      <c r="AV1206" s="341"/>
      <c r="AW1206" s="341"/>
      <c r="AX1206" s="341"/>
      <c r="AY1206" s="341"/>
      <c r="AZ1206" s="341"/>
      <c r="BA1206" s="341"/>
      <c r="BB1206" s="341"/>
      <c r="BC1206" s="341"/>
      <c r="BD1206" s="341"/>
      <c r="BE1206" s="341"/>
      <c r="BF1206" s="341"/>
      <c r="BG1206" s="341"/>
      <c r="BH1206" s="341"/>
      <c r="BI1206" s="341"/>
      <c r="BJ1206" s="341"/>
      <c r="BK1206" s="341"/>
      <c r="BL1206" s="341"/>
      <c r="BM1206" s="341"/>
      <c r="BN1206" s="341"/>
      <c r="BO1206" s="341"/>
      <c r="BP1206" s="341"/>
      <c r="BQ1206" s="341"/>
      <c r="BR1206" s="341"/>
      <c r="BS1206" s="341"/>
      <c r="BT1206" s="341"/>
      <c r="BU1206" s="341"/>
      <c r="BV1206" s="341"/>
      <c r="BW1206" s="341"/>
      <c r="BX1206" s="341"/>
    </row>
    <row r="1207" spans="1:76" s="200" customFormat="1" ht="22.5" customHeight="1">
      <c r="A1207" s="341"/>
      <c r="B1207" s="341"/>
      <c r="C1207" s="341"/>
      <c r="D1207" s="4" t="s">
        <v>853</v>
      </c>
      <c r="E1207" s="341"/>
      <c r="F1207" s="341"/>
      <c r="G1207" s="341"/>
      <c r="H1207" s="341"/>
      <c r="I1207" s="341"/>
      <c r="J1207" s="341"/>
      <c r="K1207" s="341"/>
      <c r="L1207" s="341" t="s">
        <v>854</v>
      </c>
      <c r="M1207" s="383"/>
      <c r="N1207" s="383"/>
      <c r="O1207" s="341"/>
      <c r="P1207" s="341"/>
      <c r="Q1207" s="341"/>
      <c r="R1207" s="341"/>
      <c r="S1207" s="341"/>
      <c r="T1207" s="341"/>
      <c r="U1207" s="341"/>
      <c r="V1207" s="341"/>
      <c r="W1207" s="341"/>
      <c r="X1207" s="341"/>
      <c r="Y1207" s="341"/>
      <c r="Z1207" s="341"/>
      <c r="AA1207" s="341"/>
      <c r="AB1207" s="341"/>
      <c r="AC1207" s="341"/>
      <c r="AD1207" s="341"/>
      <c r="AE1207" s="341"/>
      <c r="AF1207" s="341"/>
      <c r="AG1207" s="341"/>
      <c r="AH1207" s="341"/>
      <c r="AI1207" s="341"/>
      <c r="AJ1207" s="341"/>
      <c r="AK1207" s="341"/>
      <c r="AL1207" s="341"/>
      <c r="AM1207" s="341"/>
      <c r="AN1207" s="341"/>
      <c r="AO1207" s="341"/>
      <c r="AP1207" s="341"/>
      <c r="AQ1207" s="341"/>
      <c r="AR1207" s="341"/>
      <c r="AS1207" s="341"/>
      <c r="AT1207" s="341"/>
      <c r="AU1207" s="341"/>
      <c r="AV1207" s="341"/>
      <c r="AW1207" s="341"/>
      <c r="AX1207" s="341"/>
      <c r="AY1207" s="341"/>
      <c r="AZ1207" s="341"/>
      <c r="BA1207" s="341"/>
      <c r="BB1207" s="341"/>
      <c r="BC1207" s="341"/>
      <c r="BD1207" s="341"/>
      <c r="BE1207" s="341"/>
      <c r="BF1207" s="341"/>
      <c r="BG1207" s="341"/>
      <c r="BH1207" s="341"/>
      <c r="BI1207" s="341"/>
      <c r="BJ1207" s="341"/>
      <c r="BK1207" s="341"/>
      <c r="BL1207" s="341"/>
      <c r="BM1207" s="341"/>
      <c r="BN1207" s="341"/>
      <c r="BO1207" s="341"/>
      <c r="BP1207" s="341"/>
      <c r="BQ1207" s="341"/>
      <c r="BR1207" s="341"/>
      <c r="BS1207" s="341"/>
      <c r="BT1207" s="341"/>
      <c r="BU1207" s="341"/>
      <c r="BV1207" s="341"/>
      <c r="BW1207" s="341"/>
      <c r="BX1207" s="341"/>
    </row>
    <row r="1208" spans="1:76" s="200" customFormat="1" ht="22.5" customHeight="1">
      <c r="A1208" s="341"/>
      <c r="B1208" s="341"/>
      <c r="C1208" s="341"/>
      <c r="D1208" s="341"/>
      <c r="E1208" s="341"/>
      <c r="F1208" s="341"/>
      <c r="G1208" s="341"/>
      <c r="H1208" s="341"/>
      <c r="I1208" s="341"/>
      <c r="J1208" s="341"/>
      <c r="K1208" s="341"/>
      <c r="L1208" s="341" t="s">
        <v>855</v>
      </c>
      <c r="M1208" s="383"/>
      <c r="N1208" s="383"/>
      <c r="O1208" s="341"/>
      <c r="P1208" s="341"/>
      <c r="Q1208" s="341"/>
      <c r="R1208" s="341" t="s">
        <v>130</v>
      </c>
      <c r="S1208" s="341"/>
      <c r="T1208" s="341"/>
      <c r="U1208" s="341"/>
      <c r="V1208" s="341"/>
      <c r="W1208" s="341"/>
      <c r="X1208" s="341"/>
      <c r="Y1208" s="341"/>
      <c r="Z1208" s="341"/>
      <c r="AA1208" s="341"/>
      <c r="AB1208" s="341"/>
      <c r="AC1208" s="341"/>
      <c r="AD1208" s="341"/>
      <c r="AE1208" s="341"/>
      <c r="AF1208" s="341"/>
      <c r="AG1208" s="341"/>
      <c r="AH1208" s="341"/>
      <c r="AI1208" s="341"/>
      <c r="AJ1208" s="341"/>
      <c r="AK1208" s="341"/>
      <c r="AL1208" s="341"/>
      <c r="AM1208" s="341"/>
      <c r="AN1208" s="341"/>
      <c r="AO1208" s="341"/>
      <c r="AP1208" s="341"/>
      <c r="AQ1208" s="341"/>
      <c r="AR1208" s="341"/>
      <c r="AS1208" s="341"/>
      <c r="AT1208" s="341"/>
      <c r="AU1208" s="341"/>
      <c r="AV1208" s="341"/>
      <c r="AW1208" s="341"/>
      <c r="AX1208" s="341"/>
      <c r="AY1208" s="341"/>
      <c r="AZ1208" s="341"/>
      <c r="BA1208" s="341"/>
      <c r="BB1208" s="341"/>
      <c r="BC1208" s="341"/>
      <c r="BD1208" s="341"/>
      <c r="BE1208" s="341"/>
      <c r="BF1208" s="341"/>
      <c r="BG1208" s="341"/>
      <c r="BH1208" s="341"/>
      <c r="BI1208" s="341"/>
      <c r="BJ1208" s="341"/>
      <c r="BK1208" s="341"/>
      <c r="BL1208" s="341"/>
      <c r="BM1208" s="341"/>
      <c r="BN1208" s="341"/>
      <c r="BO1208" s="341"/>
      <c r="BP1208" s="341"/>
      <c r="BQ1208" s="341"/>
      <c r="BR1208" s="341"/>
      <c r="BS1208" s="341"/>
      <c r="BT1208" s="341"/>
      <c r="BU1208" s="341"/>
      <c r="BV1208" s="341"/>
      <c r="BW1208" s="341"/>
      <c r="BX1208" s="341"/>
    </row>
    <row r="1209" spans="2:43" ht="19.5" customHeight="1">
      <c r="B1209" s="4"/>
      <c r="C1209" s="4"/>
      <c r="D1209" s="4" t="s">
        <v>131</v>
      </c>
      <c r="E1209" s="4"/>
      <c r="F1209" s="4"/>
      <c r="G1209" s="4"/>
      <c r="H1209" s="4"/>
      <c r="I1209" s="4"/>
      <c r="J1209" s="4"/>
      <c r="K1209" s="4"/>
      <c r="L1209" s="4"/>
      <c r="M1209" s="4"/>
      <c r="AH1209" s="27"/>
      <c r="AQ1209" s="29"/>
    </row>
    <row r="1210" spans="2:42" ht="19.5" customHeight="1">
      <c r="B1210" s="4"/>
      <c r="C1210" s="4"/>
      <c r="D1210" s="183" t="s">
        <v>856</v>
      </c>
      <c r="E1210" s="183"/>
      <c r="F1210" s="183"/>
      <c r="G1210" s="183"/>
      <c r="H1210" s="183"/>
      <c r="I1210" s="183"/>
      <c r="J1210" s="183"/>
      <c r="K1210" s="183"/>
      <c r="L1210" s="183"/>
      <c r="M1210" s="183"/>
      <c r="N1210" s="183"/>
      <c r="O1210" s="183" t="s">
        <v>985</v>
      </c>
      <c r="P1210" s="183"/>
      <c r="Q1210" s="183"/>
      <c r="R1210" s="183"/>
      <c r="S1210" s="183"/>
      <c r="T1210" s="183"/>
      <c r="U1210" s="183" t="s">
        <v>132</v>
      </c>
      <c r="V1210" s="183"/>
      <c r="W1210" s="183"/>
      <c r="X1210" s="183"/>
      <c r="Y1210" s="183"/>
      <c r="Z1210" s="183"/>
      <c r="AP1210" s="27"/>
    </row>
    <row r="1211" spans="2:44" ht="19.5" customHeight="1">
      <c r="B1211" s="4"/>
      <c r="C1211" s="4"/>
      <c r="D1211" s="183" t="s">
        <v>133</v>
      </c>
      <c r="E1211" s="183"/>
      <c r="F1211" s="183"/>
      <c r="G1211" s="183"/>
      <c r="H1211" s="183"/>
      <c r="I1211" s="183"/>
      <c r="J1211" s="183"/>
      <c r="K1211" s="183"/>
      <c r="L1211" s="183"/>
      <c r="M1211" s="183"/>
      <c r="N1211" s="183"/>
      <c r="O1211" s="213">
        <f>AA1193</f>
        <v>380</v>
      </c>
      <c r="P1211" s="213"/>
      <c r="Q1211" s="213"/>
      <c r="R1211" s="213"/>
      <c r="S1211" s="213"/>
      <c r="T1211" s="213"/>
      <c r="U1211" s="227">
        <v>250</v>
      </c>
      <c r="V1211" s="228"/>
      <c r="W1211" s="228"/>
      <c r="X1211" s="228"/>
      <c r="Y1211" s="228"/>
      <c r="Z1211" s="229"/>
      <c r="AH1211" s="27"/>
      <c r="AI1211" s="27"/>
      <c r="AJ1211" s="27"/>
      <c r="AK1211" s="27"/>
      <c r="AL1211" s="27"/>
      <c r="AM1211" s="27"/>
      <c r="AN1211" s="27"/>
      <c r="AO1211" s="27"/>
      <c r="AP1211" s="27"/>
      <c r="AR1211" s="36"/>
    </row>
    <row r="1212" spans="2:42" ht="19.5" customHeight="1">
      <c r="B1212" s="4"/>
      <c r="C1212" s="4"/>
      <c r="D1212" s="183" t="s">
        <v>134</v>
      </c>
      <c r="E1212" s="183"/>
      <c r="F1212" s="183"/>
      <c r="G1212" s="183"/>
      <c r="H1212" s="183"/>
      <c r="I1212" s="183"/>
      <c r="J1212" s="183"/>
      <c r="K1212" s="183"/>
      <c r="L1212" s="183"/>
      <c r="M1212" s="183"/>
      <c r="N1212" s="183"/>
      <c r="O1212" s="238">
        <f>O1211-O1214</f>
        <v>322.5</v>
      </c>
      <c r="P1212" s="239"/>
      <c r="Q1212" s="239"/>
      <c r="R1212" s="239"/>
      <c r="S1212" s="239"/>
      <c r="T1212" s="240"/>
      <c r="U1212" s="213">
        <f>U1211-U1214</f>
        <v>192.5</v>
      </c>
      <c r="V1212" s="213"/>
      <c r="W1212" s="213"/>
      <c r="X1212" s="213"/>
      <c r="Y1212" s="213"/>
      <c r="Z1212" s="213"/>
      <c r="AH1212" s="27"/>
      <c r="AI1212" s="27"/>
      <c r="AJ1212" s="27"/>
      <c r="AK1212" s="27"/>
      <c r="AL1212" s="27"/>
      <c r="AM1212" s="27"/>
      <c r="AN1212" s="27"/>
      <c r="AO1212" s="27"/>
      <c r="AP1212" s="27"/>
    </row>
    <row r="1213" spans="2:42" ht="19.5" customHeight="1">
      <c r="B1213" s="4"/>
      <c r="C1213" s="4"/>
      <c r="D1213" s="221" t="s">
        <v>857</v>
      </c>
      <c r="E1213" s="222"/>
      <c r="F1213" s="222"/>
      <c r="G1213" s="222"/>
      <c r="H1213" s="222"/>
      <c r="I1213" s="223"/>
      <c r="J1213" s="183" t="s">
        <v>987</v>
      </c>
      <c r="K1213" s="183"/>
      <c r="L1213" s="183"/>
      <c r="M1213" s="183"/>
      <c r="N1213" s="183"/>
      <c r="O1213" s="238">
        <f>M1193+(Z1191+F1191)/2</f>
        <v>57.5</v>
      </c>
      <c r="P1213" s="239"/>
      <c r="Q1213" s="239"/>
      <c r="R1213" s="239"/>
      <c r="S1213" s="239"/>
      <c r="T1213" s="240"/>
      <c r="U1213" s="213">
        <f>O1213</f>
        <v>57.5</v>
      </c>
      <c r="V1213" s="213"/>
      <c r="W1213" s="213"/>
      <c r="X1213" s="213"/>
      <c r="Y1213" s="213"/>
      <c r="Z1213" s="213"/>
      <c r="AH1213" s="27"/>
      <c r="AI1213" s="27"/>
      <c r="AJ1213" s="27"/>
      <c r="AK1213" s="27"/>
      <c r="AL1213" s="27"/>
      <c r="AM1213" s="27"/>
      <c r="AN1213" s="27"/>
      <c r="AO1213" s="27"/>
      <c r="AP1213" s="27"/>
    </row>
    <row r="1214" spans="2:42" ht="19.5" customHeight="1">
      <c r="B1214" s="4"/>
      <c r="C1214" s="4"/>
      <c r="D1214" s="224" t="s">
        <v>858</v>
      </c>
      <c r="E1214" s="225"/>
      <c r="F1214" s="225"/>
      <c r="G1214" s="225"/>
      <c r="H1214" s="225"/>
      <c r="I1214" s="226"/>
      <c r="J1214" s="183" t="s">
        <v>878</v>
      </c>
      <c r="K1214" s="183"/>
      <c r="L1214" s="183"/>
      <c r="M1214" s="183"/>
      <c r="N1214" s="183"/>
      <c r="O1214" s="238">
        <f>M1195+(AA1197+F1196)/2</f>
        <v>57.5</v>
      </c>
      <c r="P1214" s="239"/>
      <c r="Q1214" s="239"/>
      <c r="R1214" s="239"/>
      <c r="S1214" s="239"/>
      <c r="T1214" s="240"/>
      <c r="U1214" s="213">
        <f>O1214</f>
        <v>57.5</v>
      </c>
      <c r="V1214" s="213"/>
      <c r="W1214" s="213"/>
      <c r="X1214" s="213"/>
      <c r="Y1214" s="213"/>
      <c r="Z1214" s="213"/>
      <c r="AH1214" s="27"/>
      <c r="AI1214" s="27"/>
      <c r="AJ1214" s="27"/>
      <c r="AK1214" s="27"/>
      <c r="AL1214" s="27"/>
      <c r="AM1214" s="27"/>
      <c r="AN1214" s="27"/>
      <c r="AO1214" s="27"/>
      <c r="AP1214" s="27"/>
    </row>
    <row r="1215" spans="2:42" ht="19.5" customHeight="1">
      <c r="B1215" s="4"/>
      <c r="C1215" s="4"/>
      <c r="D1215" s="217" t="s">
        <v>1127</v>
      </c>
      <c r="E1215" s="218"/>
      <c r="F1215" s="218"/>
      <c r="G1215" s="218"/>
      <c r="H1215" s="218"/>
      <c r="I1215" s="219"/>
      <c r="J1215" s="183" t="s">
        <v>988</v>
      </c>
      <c r="K1215" s="183"/>
      <c r="L1215" s="183"/>
      <c r="M1215" s="183"/>
      <c r="N1215" s="183"/>
      <c r="O1215" s="213">
        <f>H1192</f>
        <v>794.4</v>
      </c>
      <c r="P1215" s="213"/>
      <c r="Q1215" s="213"/>
      <c r="R1215" s="213"/>
      <c r="S1215" s="213"/>
      <c r="T1215" s="213"/>
      <c r="U1215" s="213">
        <f>H1192</f>
        <v>794.4</v>
      </c>
      <c r="V1215" s="213"/>
      <c r="W1215" s="213"/>
      <c r="X1215" s="213"/>
      <c r="Y1215" s="213"/>
      <c r="Z1215" s="213"/>
      <c r="AH1215" s="27"/>
      <c r="AI1215" s="27"/>
      <c r="AJ1215" s="27"/>
      <c r="AK1215" s="27"/>
      <c r="AL1215" s="27"/>
      <c r="AM1215" s="27"/>
      <c r="AN1215" s="27"/>
      <c r="AO1215" s="27"/>
      <c r="AP1215" s="27"/>
    </row>
    <row r="1216" spans="2:42" ht="19.5" customHeight="1">
      <c r="B1216" s="4"/>
      <c r="C1216" s="4"/>
      <c r="D1216" s="217" t="s">
        <v>723</v>
      </c>
      <c r="E1216" s="218"/>
      <c r="F1216" s="218"/>
      <c r="G1216" s="218"/>
      <c r="H1216" s="218"/>
      <c r="I1216" s="219"/>
      <c r="J1216" s="220" t="s">
        <v>879</v>
      </c>
      <c r="K1216" s="220"/>
      <c r="L1216" s="220"/>
      <c r="M1216" s="220"/>
      <c r="N1216" s="220"/>
      <c r="O1216" s="213">
        <f>H1197</f>
        <v>1588.8</v>
      </c>
      <c r="P1216" s="213"/>
      <c r="Q1216" s="213"/>
      <c r="R1216" s="213"/>
      <c r="S1216" s="213"/>
      <c r="T1216" s="213"/>
      <c r="U1216" s="213">
        <f>H1197</f>
        <v>1588.8</v>
      </c>
      <c r="V1216" s="213"/>
      <c r="W1216" s="213"/>
      <c r="X1216" s="213"/>
      <c r="Y1216" s="213"/>
      <c r="Z1216" s="213"/>
      <c r="AH1216" s="27"/>
      <c r="AI1216" s="27"/>
      <c r="AJ1216" s="27"/>
      <c r="AK1216" s="27"/>
      <c r="AL1216" s="27"/>
      <c r="AM1216" s="27"/>
      <c r="AN1216" s="27"/>
      <c r="AO1216" s="27"/>
      <c r="AP1216" s="27"/>
    </row>
    <row r="1217" spans="2:42" ht="19.5" customHeight="1">
      <c r="B1217" s="4"/>
      <c r="C1217" s="4"/>
      <c r="D1217" s="231" t="s">
        <v>859</v>
      </c>
      <c r="E1217" s="232"/>
      <c r="F1217" s="232"/>
      <c r="G1217" s="232"/>
      <c r="H1217" s="232"/>
      <c r="I1217" s="232"/>
      <c r="J1217" s="232"/>
      <c r="K1217" s="232"/>
      <c r="L1217" s="232"/>
      <c r="M1217" s="232"/>
      <c r="N1217" s="233"/>
      <c r="O1217" s="208">
        <f>-$S$1188*(O1216+O1215)/1000+SQRT(($S$1188*(O1216+O1215)/1000)^2+2*$S$1188*(O1212*O1216+O1213*O1215)/1000)</f>
        <v>98.49021923729472</v>
      </c>
      <c r="P1217" s="208"/>
      <c r="Q1217" s="208"/>
      <c r="R1217" s="208"/>
      <c r="S1217" s="208"/>
      <c r="T1217" s="208"/>
      <c r="U1217" s="208">
        <f>-$S$1188*(U1216+U1215)/1000+SQRT(($S$1188*(U1216+U1215)/1000)^2+2*$S$1188*(U1212*U1216+U1213*U1215)/1000)</f>
        <v>72.98828421092932</v>
      </c>
      <c r="V1217" s="208"/>
      <c r="W1217" s="208"/>
      <c r="X1217" s="208"/>
      <c r="Y1217" s="208"/>
      <c r="Z1217" s="208"/>
      <c r="AH1217" s="27"/>
      <c r="AI1217" s="27"/>
      <c r="AJ1217" s="27"/>
      <c r="AK1217" s="27"/>
      <c r="AL1217" s="27"/>
      <c r="AM1217" s="27"/>
      <c r="AN1217" s="27"/>
      <c r="AO1217" s="27"/>
      <c r="AP1217" s="27"/>
    </row>
    <row r="1218" spans="2:42" ht="19.5" customHeight="1">
      <c r="B1218" s="4"/>
      <c r="C1218" s="4"/>
      <c r="D1218" s="214" t="s">
        <v>135</v>
      </c>
      <c r="E1218" s="215"/>
      <c r="F1218" s="215"/>
      <c r="G1218" s="215"/>
      <c r="H1218" s="215"/>
      <c r="I1218" s="216"/>
      <c r="J1218" s="234" t="s">
        <v>860</v>
      </c>
      <c r="K1218" s="234"/>
      <c r="L1218" s="234"/>
      <c r="M1218" s="234"/>
      <c r="N1218" s="234"/>
      <c r="O1218" s="213">
        <f>(1000*ROUND(O1217,2)/2)*(O1212-ROUND(O1217,2)/3)+$S$1188*O1215*(ROUND(O1217,2)-O1213)/ROUND(O1217,2)*(O1212-O1213)</f>
        <v>15579001.227368262</v>
      </c>
      <c r="P1218" s="213"/>
      <c r="Q1218" s="213"/>
      <c r="R1218" s="213"/>
      <c r="S1218" s="213"/>
      <c r="T1218" s="213"/>
      <c r="U1218" s="213">
        <f>(1000*ROUND(U1217,2)/2)*(U1212-ROUND(U1217,2)/3)+$S$1188*U1215*(ROUND(U1217,2)-U1213)/ROUND(U1217,2)*(U1212-U1213)</f>
        <v>6478755.346054254</v>
      </c>
      <c r="V1218" s="213"/>
      <c r="W1218" s="213"/>
      <c r="X1218" s="213"/>
      <c r="Y1218" s="213"/>
      <c r="Z1218" s="213"/>
      <c r="AH1218" s="27"/>
      <c r="AI1218" s="27"/>
      <c r="AJ1218" s="27"/>
      <c r="AK1218" s="27"/>
      <c r="AL1218" s="27"/>
      <c r="AM1218" s="27"/>
      <c r="AN1218" s="27"/>
      <c r="AO1218" s="27"/>
      <c r="AP1218" s="27"/>
    </row>
    <row r="1219" spans="2:42" ht="19.5" customHeight="1">
      <c r="B1219" s="4"/>
      <c r="C1219" s="4"/>
      <c r="D1219" s="214" t="s">
        <v>861</v>
      </c>
      <c r="E1219" s="215"/>
      <c r="F1219" s="215"/>
      <c r="G1219" s="215"/>
      <c r="H1219" s="215"/>
      <c r="I1219" s="216"/>
      <c r="J1219" s="385" t="s">
        <v>862</v>
      </c>
      <c r="K1219" s="385"/>
      <c r="L1219" s="385"/>
      <c r="M1219" s="385"/>
      <c r="N1219" s="385"/>
      <c r="O1219" s="213">
        <f>-1/$S$1188*(ROUND(O1217,2)/(ROUND(O1217,2)-O1213))*ROUND(O1218,1)</f>
        <v>-2495528.7113735056</v>
      </c>
      <c r="P1219" s="213"/>
      <c r="Q1219" s="213"/>
      <c r="R1219" s="213"/>
      <c r="S1219" s="213"/>
      <c r="T1219" s="213"/>
      <c r="U1219" s="213">
        <f>-1/$S$1188*(ROUND(U1217,2)/(ROUND(U1217,2)-U1213))*ROUND(U1218,1)</f>
        <v>-2035224.2278760497</v>
      </c>
      <c r="V1219" s="213"/>
      <c r="W1219" s="213"/>
      <c r="X1219" s="213"/>
      <c r="Y1219" s="213"/>
      <c r="Z1219" s="213"/>
      <c r="AH1219" s="27"/>
      <c r="AI1219" s="27"/>
      <c r="AJ1219" s="27"/>
      <c r="AK1219" s="27"/>
      <c r="AL1219" s="27"/>
      <c r="AM1219" s="27"/>
      <c r="AN1219" s="27"/>
      <c r="AO1219" s="27"/>
      <c r="AP1219" s="27"/>
    </row>
    <row r="1220" spans="2:42" ht="19.5" customHeight="1">
      <c r="B1220" s="4"/>
      <c r="C1220" s="4"/>
      <c r="D1220" s="217"/>
      <c r="E1220" s="218"/>
      <c r="F1220" s="218"/>
      <c r="G1220" s="218"/>
      <c r="H1220" s="218"/>
      <c r="I1220" s="219"/>
      <c r="J1220" s="386" t="s">
        <v>863</v>
      </c>
      <c r="K1220" s="386"/>
      <c r="L1220" s="386"/>
      <c r="M1220" s="386"/>
      <c r="N1220" s="386"/>
      <c r="O1220" s="213">
        <f>1/$S$1188*(ROUND(O1217,2)/(O1212-ROUND(O1217,2)))*ROUND(O1218,1)</f>
        <v>456639.0870014731</v>
      </c>
      <c r="P1220" s="213"/>
      <c r="Q1220" s="213"/>
      <c r="R1220" s="213"/>
      <c r="S1220" s="213"/>
      <c r="T1220" s="213"/>
      <c r="U1220" s="213">
        <f>1/$S$1188*(ROUND(U1217,2)/(U1212-ROUND(U1217,2)))*ROUND(U1218,1)</f>
        <v>263790.6726617019</v>
      </c>
      <c r="V1220" s="213"/>
      <c r="W1220" s="213"/>
      <c r="X1220" s="213"/>
      <c r="Y1220" s="213"/>
      <c r="Z1220" s="213"/>
      <c r="AH1220" s="27"/>
      <c r="AI1220" s="27"/>
      <c r="AJ1220" s="27"/>
      <c r="AK1220" s="27"/>
      <c r="AL1220" s="27"/>
      <c r="AM1220" s="27"/>
      <c r="AN1220" s="27"/>
      <c r="AO1220" s="27"/>
      <c r="AP1220" s="27"/>
    </row>
    <row r="1221" spans="2:42" ht="19.5" customHeight="1">
      <c r="B1221" s="4"/>
      <c r="C1221" s="4"/>
      <c r="D1221" s="231" t="s">
        <v>136</v>
      </c>
      <c r="E1221" s="232"/>
      <c r="F1221" s="232"/>
      <c r="G1221" s="232"/>
      <c r="H1221" s="232"/>
      <c r="I1221" s="232"/>
      <c r="J1221" s="232"/>
      <c r="K1221" s="232"/>
      <c r="L1221" s="232"/>
      <c r="M1221" s="232"/>
      <c r="N1221" s="233"/>
      <c r="O1221" s="227">
        <f>G1178</f>
        <v>54</v>
      </c>
      <c r="P1221" s="228"/>
      <c r="Q1221" s="228"/>
      <c r="R1221" s="228"/>
      <c r="S1221" s="228"/>
      <c r="T1221" s="229"/>
      <c r="U1221" s="227">
        <f>G1183</f>
        <v>36.205</v>
      </c>
      <c r="V1221" s="228"/>
      <c r="W1221" s="228"/>
      <c r="X1221" s="228"/>
      <c r="Y1221" s="228"/>
      <c r="Z1221" s="229"/>
      <c r="AH1221" s="27"/>
      <c r="AI1221" s="27"/>
      <c r="AJ1221" s="27"/>
      <c r="AK1221" s="27"/>
      <c r="AL1221" s="27"/>
      <c r="AM1221" s="27"/>
      <c r="AN1221" s="27"/>
      <c r="AO1221" s="27"/>
      <c r="AP1221" s="27"/>
    </row>
    <row r="1222" spans="2:42" ht="19.5" customHeight="1">
      <c r="B1222" s="4"/>
      <c r="C1222" s="4"/>
      <c r="D1222" s="221" t="s">
        <v>864</v>
      </c>
      <c r="E1222" s="222"/>
      <c r="F1222" s="222"/>
      <c r="G1222" s="222"/>
      <c r="H1222" s="222"/>
      <c r="I1222" s="223"/>
      <c r="J1222" s="230" t="s">
        <v>138</v>
      </c>
      <c r="K1222" s="230"/>
      <c r="L1222" s="230"/>
      <c r="M1222" s="230"/>
      <c r="N1222" s="230"/>
      <c r="O1222" s="213">
        <f>O1221/O1218*10^6</f>
        <v>3.466204232986131</v>
      </c>
      <c r="P1222" s="213"/>
      <c r="Q1222" s="213"/>
      <c r="R1222" s="213"/>
      <c r="S1222" s="213"/>
      <c r="T1222" s="213"/>
      <c r="U1222" s="213">
        <f>U1221/U1218*10^6</f>
        <v>5.588264730825169</v>
      </c>
      <c r="V1222" s="213"/>
      <c r="W1222" s="213"/>
      <c r="X1222" s="213"/>
      <c r="Y1222" s="213"/>
      <c r="Z1222" s="213"/>
      <c r="AH1222" s="27"/>
      <c r="AI1222" s="27"/>
      <c r="AJ1222" s="27"/>
      <c r="AK1222" s="27"/>
      <c r="AL1222" s="27"/>
      <c r="AM1222" s="27"/>
      <c r="AN1222" s="27"/>
      <c r="AO1222" s="27"/>
      <c r="AP1222" s="27"/>
    </row>
    <row r="1223" spans="2:42" ht="19.5" customHeight="1">
      <c r="B1223" s="4" t="s">
        <v>222</v>
      </c>
      <c r="C1223" s="4"/>
      <c r="D1223" s="217" t="s">
        <v>137</v>
      </c>
      <c r="E1223" s="218"/>
      <c r="F1223" s="218"/>
      <c r="G1223" s="218"/>
      <c r="H1223" s="218"/>
      <c r="I1223" s="219"/>
      <c r="J1223" s="230" t="s">
        <v>139</v>
      </c>
      <c r="K1223" s="230"/>
      <c r="L1223" s="230"/>
      <c r="M1223" s="230"/>
      <c r="N1223" s="230"/>
      <c r="O1223" s="213">
        <f>AD1189</f>
        <v>13.333333333333334</v>
      </c>
      <c r="P1223" s="213"/>
      <c r="Q1223" s="213"/>
      <c r="R1223" s="213"/>
      <c r="S1223" s="213"/>
      <c r="T1223" s="213"/>
      <c r="U1223" s="213">
        <f>AD1189</f>
        <v>13.333333333333334</v>
      </c>
      <c r="V1223" s="213"/>
      <c r="W1223" s="213"/>
      <c r="X1223" s="213"/>
      <c r="Y1223" s="213"/>
      <c r="Z1223" s="213"/>
      <c r="AH1223" s="27"/>
      <c r="AI1223" s="27"/>
      <c r="AJ1223" s="27"/>
      <c r="AK1223" s="27"/>
      <c r="AL1223" s="27"/>
      <c r="AM1223" s="27"/>
      <c r="AN1223" s="27"/>
      <c r="AO1223" s="27"/>
      <c r="AP1223" s="27"/>
    </row>
    <row r="1224" spans="2:42" ht="19.5" customHeight="1">
      <c r="B1224" s="4"/>
      <c r="C1224" s="4"/>
      <c r="D1224" s="224" t="s">
        <v>1123</v>
      </c>
      <c r="E1224" s="225"/>
      <c r="F1224" s="225"/>
      <c r="G1224" s="225"/>
      <c r="H1224" s="225"/>
      <c r="I1224" s="226"/>
      <c r="J1224" s="385" t="s">
        <v>144</v>
      </c>
      <c r="K1224" s="385"/>
      <c r="L1224" s="385"/>
      <c r="M1224" s="385"/>
      <c r="N1224" s="385"/>
      <c r="O1224" s="213" t="str">
        <f>IF(O1223&gt;=ABS(O1222),"O.K.","N.G.")</f>
        <v>O.K.</v>
      </c>
      <c r="P1224" s="213"/>
      <c r="Q1224" s="213"/>
      <c r="R1224" s="213"/>
      <c r="S1224" s="213"/>
      <c r="T1224" s="213"/>
      <c r="U1224" s="213" t="str">
        <f>IF(U1223&gt;=ABS(U1222),"O.K.","N.G.")</f>
        <v>O.K.</v>
      </c>
      <c r="V1224" s="213"/>
      <c r="W1224" s="213"/>
      <c r="X1224" s="213"/>
      <c r="Y1224" s="213"/>
      <c r="Z1224" s="213"/>
      <c r="AH1224" s="27"/>
      <c r="AI1224" s="27"/>
      <c r="AJ1224" s="27"/>
      <c r="AK1224" s="27"/>
      <c r="AL1224" s="27"/>
      <c r="AM1224" s="27"/>
      <c r="AN1224" s="27"/>
      <c r="AO1224" s="27"/>
      <c r="AP1224" s="27"/>
    </row>
    <row r="1225" spans="2:42" ht="19.5" customHeight="1">
      <c r="B1225" s="4"/>
      <c r="C1225" s="4"/>
      <c r="D1225" s="217" t="s">
        <v>143</v>
      </c>
      <c r="E1225" s="218"/>
      <c r="F1225" s="218"/>
      <c r="G1225" s="218"/>
      <c r="H1225" s="218"/>
      <c r="I1225" s="219"/>
      <c r="J1225" s="385" t="s">
        <v>140</v>
      </c>
      <c r="K1225" s="385"/>
      <c r="L1225" s="385"/>
      <c r="M1225" s="385"/>
      <c r="N1225" s="385"/>
      <c r="O1225" s="213">
        <f>O1221/O1219*10^6</f>
        <v>-21.63870115134004</v>
      </c>
      <c r="P1225" s="213"/>
      <c r="Q1225" s="213"/>
      <c r="R1225" s="213"/>
      <c r="S1225" s="213"/>
      <c r="T1225" s="213"/>
      <c r="U1225" s="213">
        <f>U1221/U1219*10^6</f>
        <v>-17.78919467649192</v>
      </c>
      <c r="V1225" s="213"/>
      <c r="W1225" s="213"/>
      <c r="X1225" s="213"/>
      <c r="Y1225" s="213"/>
      <c r="Z1225" s="213"/>
      <c r="AD1225" s="376"/>
      <c r="AE1225" s="376"/>
      <c r="AF1225" s="376"/>
      <c r="AG1225" s="376"/>
      <c r="AH1225" s="27"/>
      <c r="AI1225" s="27"/>
      <c r="AJ1225" s="27"/>
      <c r="AK1225" s="27"/>
      <c r="AL1225" s="27"/>
      <c r="AM1225" s="27"/>
      <c r="AN1225" s="27"/>
      <c r="AO1225" s="27"/>
      <c r="AP1225" s="27"/>
    </row>
    <row r="1226" spans="2:44" ht="19.5" customHeight="1">
      <c r="B1226" s="4"/>
      <c r="C1226" s="4"/>
      <c r="D1226" s="217" t="s">
        <v>137</v>
      </c>
      <c r="E1226" s="218"/>
      <c r="F1226" s="218"/>
      <c r="G1226" s="218"/>
      <c r="H1226" s="218"/>
      <c r="I1226" s="219"/>
      <c r="J1226" s="385" t="s">
        <v>141</v>
      </c>
      <c r="K1226" s="385"/>
      <c r="L1226" s="385"/>
      <c r="M1226" s="385"/>
      <c r="N1226" s="385"/>
      <c r="O1226" s="227">
        <v>120</v>
      </c>
      <c r="P1226" s="228"/>
      <c r="Q1226" s="228"/>
      <c r="R1226" s="228"/>
      <c r="S1226" s="228"/>
      <c r="T1226" s="229"/>
      <c r="U1226" s="213">
        <f>O1226</f>
        <v>120</v>
      </c>
      <c r="V1226" s="213"/>
      <c r="W1226" s="213"/>
      <c r="X1226" s="213"/>
      <c r="Y1226" s="213"/>
      <c r="Z1226" s="213"/>
      <c r="AD1226" s="376"/>
      <c r="AE1226" s="376"/>
      <c r="AF1226" s="376"/>
      <c r="AG1226" s="376"/>
      <c r="AH1226" s="27"/>
      <c r="AI1226" s="27"/>
      <c r="AJ1226" s="27"/>
      <c r="AK1226" s="27"/>
      <c r="AL1226" s="27"/>
      <c r="AM1226" s="27"/>
      <c r="AN1226" s="27"/>
      <c r="AO1226" s="27"/>
      <c r="AP1226" s="27"/>
      <c r="AR1226" s="36"/>
    </row>
    <row r="1227" spans="2:44" ht="19.5" customHeight="1">
      <c r="B1227" s="4"/>
      <c r="C1227" s="4"/>
      <c r="D1227" s="224" t="s">
        <v>1123</v>
      </c>
      <c r="E1227" s="225"/>
      <c r="F1227" s="225"/>
      <c r="G1227" s="225"/>
      <c r="H1227" s="225"/>
      <c r="I1227" s="226"/>
      <c r="J1227" s="385" t="s">
        <v>144</v>
      </c>
      <c r="K1227" s="385"/>
      <c r="L1227" s="385"/>
      <c r="M1227" s="385"/>
      <c r="N1227" s="385"/>
      <c r="O1227" s="213" t="str">
        <f>IF(O1226&gt;=ABS(O1225),"O.K.","N.G.")</f>
        <v>O.K.</v>
      </c>
      <c r="P1227" s="213"/>
      <c r="Q1227" s="213"/>
      <c r="R1227" s="213"/>
      <c r="S1227" s="213"/>
      <c r="T1227" s="213"/>
      <c r="U1227" s="213" t="str">
        <f>IF(U1226&gt;=ABS(U1225),"O.K.","N.G.")</f>
        <v>O.K.</v>
      </c>
      <c r="V1227" s="213"/>
      <c r="W1227" s="213"/>
      <c r="X1227" s="213"/>
      <c r="Y1227" s="213"/>
      <c r="Z1227" s="213"/>
      <c r="AD1227" s="376"/>
      <c r="AE1227" s="376"/>
      <c r="AF1227" s="376"/>
      <c r="AG1227" s="376"/>
      <c r="AH1227" s="27"/>
      <c r="AI1227" s="27"/>
      <c r="AJ1227" s="27"/>
      <c r="AK1227" s="27"/>
      <c r="AL1227" s="27"/>
      <c r="AM1227" s="27"/>
      <c r="AN1227" s="27"/>
      <c r="AO1227" s="27"/>
      <c r="AP1227" s="27"/>
      <c r="AR1227" s="92"/>
    </row>
    <row r="1228" spans="2:42" ht="19.5" customHeight="1">
      <c r="B1228" s="4"/>
      <c r="C1228" s="4"/>
      <c r="D1228" s="221" t="s">
        <v>142</v>
      </c>
      <c r="E1228" s="222"/>
      <c r="F1228" s="222"/>
      <c r="G1228" s="222"/>
      <c r="H1228" s="222"/>
      <c r="I1228" s="223"/>
      <c r="J1228" s="385" t="s">
        <v>1403</v>
      </c>
      <c r="K1228" s="385"/>
      <c r="L1228" s="385"/>
      <c r="M1228" s="385"/>
      <c r="N1228" s="385"/>
      <c r="O1228" s="213">
        <f>O1221/O1220*10^6</f>
        <v>118.25531702638894</v>
      </c>
      <c r="P1228" s="213"/>
      <c r="Q1228" s="213"/>
      <c r="R1228" s="213"/>
      <c r="S1228" s="213"/>
      <c r="T1228" s="213"/>
      <c r="U1228" s="213">
        <f>U1221/U1220*10^6</f>
        <v>137.24897713283087</v>
      </c>
      <c r="V1228" s="213"/>
      <c r="W1228" s="213"/>
      <c r="X1228" s="213"/>
      <c r="Y1228" s="213"/>
      <c r="Z1228" s="213"/>
      <c r="AD1228" s="376"/>
      <c r="AE1228" s="376"/>
      <c r="AF1228" s="376"/>
      <c r="AG1228" s="376"/>
      <c r="AH1228" s="27"/>
      <c r="AI1228" s="27"/>
      <c r="AJ1228" s="27"/>
      <c r="AK1228" s="27"/>
      <c r="AL1228" s="27"/>
      <c r="AM1228" s="27"/>
      <c r="AN1228" s="27"/>
      <c r="AO1228" s="27"/>
      <c r="AP1228" s="27"/>
    </row>
    <row r="1229" spans="2:42" ht="19.5" customHeight="1">
      <c r="B1229" s="4"/>
      <c r="C1229" s="4"/>
      <c r="D1229" s="217" t="s">
        <v>137</v>
      </c>
      <c r="E1229" s="218"/>
      <c r="F1229" s="218"/>
      <c r="G1229" s="218"/>
      <c r="H1229" s="218"/>
      <c r="I1229" s="219"/>
      <c r="J1229" s="385" t="s">
        <v>1404</v>
      </c>
      <c r="K1229" s="385"/>
      <c r="L1229" s="385"/>
      <c r="M1229" s="385"/>
      <c r="N1229" s="385"/>
      <c r="O1229" s="213">
        <f>O1226</f>
        <v>120</v>
      </c>
      <c r="P1229" s="213"/>
      <c r="Q1229" s="213"/>
      <c r="R1229" s="213"/>
      <c r="S1229" s="213"/>
      <c r="T1229" s="213"/>
      <c r="U1229" s="213">
        <f>U1226</f>
        <v>120</v>
      </c>
      <c r="V1229" s="213"/>
      <c r="W1229" s="213"/>
      <c r="X1229" s="213"/>
      <c r="Y1229" s="213"/>
      <c r="Z1229" s="213"/>
      <c r="AD1229" s="376"/>
      <c r="AE1229" s="376"/>
      <c r="AF1229" s="376"/>
      <c r="AG1229" s="376"/>
      <c r="AH1229" s="27"/>
      <c r="AI1229" s="27"/>
      <c r="AJ1229" s="27"/>
      <c r="AK1229" s="27"/>
      <c r="AL1229" s="27"/>
      <c r="AM1229" s="27"/>
      <c r="AN1229" s="27"/>
      <c r="AO1229" s="27"/>
      <c r="AP1229" s="27"/>
    </row>
    <row r="1230" spans="2:42" ht="19.5" customHeight="1">
      <c r="B1230" s="4"/>
      <c r="C1230" s="4"/>
      <c r="D1230" s="224" t="s">
        <v>1123</v>
      </c>
      <c r="E1230" s="225"/>
      <c r="F1230" s="225"/>
      <c r="G1230" s="225"/>
      <c r="H1230" s="225"/>
      <c r="I1230" s="226"/>
      <c r="J1230" s="385" t="s">
        <v>144</v>
      </c>
      <c r="K1230" s="385"/>
      <c r="L1230" s="385"/>
      <c r="M1230" s="385"/>
      <c r="N1230" s="385"/>
      <c r="O1230" s="213" t="str">
        <f>IF(O1229&gt;=ABS(O1228),"O.K.","N.G.")</f>
        <v>O.K.</v>
      </c>
      <c r="P1230" s="213"/>
      <c r="Q1230" s="213"/>
      <c r="R1230" s="213"/>
      <c r="S1230" s="213"/>
      <c r="T1230" s="213"/>
      <c r="U1230" s="213" t="str">
        <f>IF(U1229&gt;=ABS(U1228),"O.K.","N.G.")</f>
        <v>N.G.</v>
      </c>
      <c r="V1230" s="213"/>
      <c r="W1230" s="213"/>
      <c r="X1230" s="213"/>
      <c r="Y1230" s="213"/>
      <c r="Z1230" s="213"/>
      <c r="AD1230" s="376"/>
      <c r="AE1230" s="376"/>
      <c r="AF1230" s="376"/>
      <c r="AG1230" s="376"/>
      <c r="AH1230" s="27"/>
      <c r="AI1230" s="27"/>
      <c r="AJ1230" s="27"/>
      <c r="AK1230" s="27"/>
      <c r="AL1230" s="27"/>
      <c r="AM1230" s="27"/>
      <c r="AN1230" s="27"/>
      <c r="AO1230" s="27"/>
      <c r="AP1230" s="27"/>
    </row>
    <row r="1231" spans="3:44" ht="19.5" customHeight="1">
      <c r="C1231" s="4"/>
      <c r="D1231" s="4"/>
      <c r="E1231" s="49"/>
      <c r="F1231" s="49"/>
      <c r="G1231" s="49"/>
      <c r="H1231" s="49"/>
      <c r="I1231" s="49"/>
      <c r="J1231" s="376"/>
      <c r="K1231" s="376"/>
      <c r="L1231" s="376"/>
      <c r="M1231" s="376"/>
      <c r="N1231" s="49"/>
      <c r="O1231" s="49"/>
      <c r="P1231" s="49"/>
      <c r="Q1231" s="49"/>
      <c r="R1231" s="49"/>
      <c r="S1231" s="49"/>
      <c r="T1231" s="49"/>
      <c r="U1231" s="49"/>
      <c r="V1231" s="49"/>
      <c r="W1231" s="49"/>
      <c r="X1231" s="49"/>
      <c r="Y1231" s="49"/>
      <c r="AE1231" s="376"/>
      <c r="AF1231" s="376"/>
      <c r="AG1231" s="376"/>
      <c r="AH1231" s="376"/>
      <c r="AI1231" s="27"/>
      <c r="AQ1231" s="29"/>
      <c r="AR1231" s="29"/>
    </row>
    <row r="1232" spans="1:12" ht="19.5" customHeight="1">
      <c r="A1232" s="4"/>
      <c r="B1232" s="4"/>
      <c r="C1232" s="4"/>
      <c r="D1232" s="4"/>
      <c r="E1232" s="4"/>
      <c r="F1232" s="4"/>
      <c r="G1232" s="4"/>
      <c r="H1232" s="4"/>
      <c r="I1232" s="4"/>
      <c r="J1232" s="4"/>
      <c r="K1232" s="4"/>
      <c r="L1232" s="4"/>
    </row>
    <row r="1233" spans="1:12" ht="19.5" customHeight="1">
      <c r="A1233" s="4"/>
      <c r="B1233" s="4"/>
      <c r="C1233" s="4"/>
      <c r="D1233" s="4"/>
      <c r="E1233" s="4"/>
      <c r="F1233" s="4"/>
      <c r="G1233" s="4"/>
      <c r="H1233" s="4"/>
      <c r="I1233" s="4"/>
      <c r="J1233" s="4"/>
      <c r="K1233" s="4"/>
      <c r="L1233" s="4"/>
    </row>
    <row r="1234" spans="1:12" ht="19.5" customHeight="1">
      <c r="A1234" s="4"/>
      <c r="B1234" s="4"/>
      <c r="C1234" s="4"/>
      <c r="D1234" s="4"/>
      <c r="E1234" s="4"/>
      <c r="F1234" s="4"/>
      <c r="G1234" s="4"/>
      <c r="H1234" s="4"/>
      <c r="I1234" s="4"/>
      <c r="J1234" s="4"/>
      <c r="K1234" s="4"/>
      <c r="L1234" s="4"/>
    </row>
    <row r="1235" spans="1:12" ht="19.5" customHeight="1">
      <c r="A1235" s="4"/>
      <c r="B1235" s="4"/>
      <c r="C1235" s="4"/>
      <c r="D1235" s="4"/>
      <c r="E1235" s="4"/>
      <c r="F1235" s="4"/>
      <c r="G1235" s="4"/>
      <c r="H1235" s="4"/>
      <c r="I1235" s="4"/>
      <c r="J1235" s="4"/>
      <c r="K1235" s="4"/>
      <c r="L1235" s="4"/>
    </row>
    <row r="1236" spans="1:12" ht="19.5" customHeight="1">
      <c r="A1236" s="4"/>
      <c r="B1236" s="4"/>
      <c r="C1236" s="4"/>
      <c r="D1236" s="4"/>
      <c r="E1236" s="4"/>
      <c r="F1236" s="4"/>
      <c r="G1236" s="4"/>
      <c r="H1236" s="4"/>
      <c r="I1236" s="4"/>
      <c r="J1236" s="4"/>
      <c r="K1236" s="4"/>
      <c r="L1236" s="4"/>
    </row>
    <row r="1237" spans="1:12" ht="19.5" customHeight="1">
      <c r="A1237" s="4"/>
      <c r="B1237" s="4"/>
      <c r="C1237" s="4"/>
      <c r="D1237" s="4"/>
      <c r="E1237" s="4"/>
      <c r="F1237" s="4"/>
      <c r="G1237" s="4"/>
      <c r="H1237" s="4"/>
      <c r="I1237" s="4"/>
      <c r="J1237" s="4"/>
      <c r="K1237" s="4"/>
      <c r="L1237" s="4"/>
    </row>
    <row r="1238" spans="1:12" ht="19.5" customHeight="1">
      <c r="A1238" s="4"/>
      <c r="B1238" s="4"/>
      <c r="C1238" s="4"/>
      <c r="D1238" s="4"/>
      <c r="E1238" s="4"/>
      <c r="F1238" s="4"/>
      <c r="G1238" s="4"/>
      <c r="H1238" s="4"/>
      <c r="I1238" s="4"/>
      <c r="J1238" s="4"/>
      <c r="K1238" s="4"/>
      <c r="L1238" s="4"/>
    </row>
    <row r="1239" spans="1:12" ht="19.5" customHeight="1">
      <c r="A1239" s="4"/>
      <c r="B1239" s="4"/>
      <c r="C1239" s="4"/>
      <c r="D1239" s="4"/>
      <c r="E1239" s="4"/>
      <c r="F1239" s="4"/>
      <c r="G1239" s="4"/>
      <c r="H1239" s="4"/>
      <c r="I1239" s="4"/>
      <c r="J1239" s="4"/>
      <c r="K1239" s="4"/>
      <c r="L1239" s="4"/>
    </row>
    <row r="1240" spans="1:12" ht="19.5" customHeight="1">
      <c r="A1240" s="4"/>
      <c r="B1240" s="4"/>
      <c r="C1240" s="4"/>
      <c r="D1240" s="4"/>
      <c r="E1240" s="4"/>
      <c r="F1240" s="4"/>
      <c r="G1240" s="4"/>
      <c r="H1240" s="4"/>
      <c r="I1240" s="4"/>
      <c r="J1240" s="4"/>
      <c r="K1240" s="4"/>
      <c r="L1240" s="4"/>
    </row>
    <row r="1241" spans="1:12" ht="19.5" customHeight="1">
      <c r="A1241" s="4"/>
      <c r="B1241" s="4"/>
      <c r="C1241" s="4"/>
      <c r="D1241" s="4"/>
      <c r="E1241" s="4"/>
      <c r="F1241" s="4"/>
      <c r="G1241" s="4"/>
      <c r="H1241" s="4"/>
      <c r="I1241" s="4"/>
      <c r="J1241" s="4"/>
      <c r="K1241" s="4"/>
      <c r="L1241" s="4"/>
    </row>
    <row r="1242" spans="1:12" ht="19.5" customHeight="1">
      <c r="A1242" s="4"/>
      <c r="B1242" s="4"/>
      <c r="C1242" s="4"/>
      <c r="D1242" s="4"/>
      <c r="E1242" s="4"/>
      <c r="F1242" s="4"/>
      <c r="G1242" s="4"/>
      <c r="H1242" s="4"/>
      <c r="I1242" s="4"/>
      <c r="J1242" s="4"/>
      <c r="K1242" s="4"/>
      <c r="L1242" s="4"/>
    </row>
    <row r="1243" spans="1:12" ht="19.5" customHeight="1">
      <c r="A1243" s="4"/>
      <c r="B1243" s="4"/>
      <c r="C1243" s="4"/>
      <c r="D1243" s="4"/>
      <c r="E1243" s="4"/>
      <c r="F1243" s="4"/>
      <c r="G1243" s="4"/>
      <c r="H1243" s="4"/>
      <c r="I1243" s="4"/>
      <c r="J1243" s="4"/>
      <c r="K1243" s="4"/>
      <c r="L1243" s="4"/>
    </row>
    <row r="1244" spans="1:12" ht="19.5" customHeight="1">
      <c r="A1244" s="4"/>
      <c r="B1244" s="4"/>
      <c r="C1244" s="4"/>
      <c r="D1244" s="4"/>
      <c r="E1244" s="4"/>
      <c r="F1244" s="4"/>
      <c r="G1244" s="4"/>
      <c r="H1244" s="4"/>
      <c r="I1244" s="4"/>
      <c r="J1244" s="4"/>
      <c r="K1244" s="4"/>
      <c r="L1244" s="4"/>
    </row>
    <row r="1245" spans="1:12" ht="19.5" customHeight="1">
      <c r="A1245" s="4"/>
      <c r="B1245" s="4"/>
      <c r="C1245" s="4"/>
      <c r="D1245" s="4"/>
      <c r="E1245" s="4"/>
      <c r="F1245" s="4"/>
      <c r="G1245" s="4"/>
      <c r="H1245" s="4"/>
      <c r="I1245" s="4"/>
      <c r="J1245" s="4"/>
      <c r="K1245" s="4"/>
      <c r="L1245" s="4"/>
    </row>
    <row r="1246" spans="1:12" ht="19.5" customHeight="1">
      <c r="A1246" s="4"/>
      <c r="B1246" s="4"/>
      <c r="C1246" s="4"/>
      <c r="D1246" s="4"/>
      <c r="E1246" s="4"/>
      <c r="F1246" s="4"/>
      <c r="G1246" s="4"/>
      <c r="H1246" s="4"/>
      <c r="I1246" s="4"/>
      <c r="J1246" s="4"/>
      <c r="K1246" s="4"/>
      <c r="L1246" s="4"/>
    </row>
    <row r="1247" spans="1:12" ht="19.5" customHeight="1">
      <c r="A1247" s="4"/>
      <c r="B1247" s="4"/>
      <c r="C1247" s="4"/>
      <c r="D1247" s="4"/>
      <c r="E1247" s="4"/>
      <c r="F1247" s="4"/>
      <c r="G1247" s="4"/>
      <c r="H1247" s="4"/>
      <c r="I1247" s="4"/>
      <c r="J1247" s="4"/>
      <c r="K1247" s="4"/>
      <c r="L1247" s="4"/>
    </row>
    <row r="1248" spans="1:12" ht="19.5" customHeight="1">
      <c r="A1248" s="4"/>
      <c r="B1248" s="4"/>
      <c r="C1248" s="4"/>
      <c r="D1248" s="4"/>
      <c r="E1248" s="4"/>
      <c r="F1248" s="4"/>
      <c r="G1248" s="4"/>
      <c r="H1248" s="4"/>
      <c r="I1248" s="4"/>
      <c r="J1248" s="4"/>
      <c r="K1248" s="4"/>
      <c r="L1248" s="4"/>
    </row>
    <row r="1249" spans="1:12" ht="19.5" customHeight="1">
      <c r="A1249" s="4"/>
      <c r="B1249" s="4"/>
      <c r="C1249" s="4"/>
      <c r="D1249" s="4"/>
      <c r="E1249" s="4"/>
      <c r="F1249" s="4"/>
      <c r="G1249" s="4"/>
      <c r="H1249" s="4"/>
      <c r="I1249" s="4"/>
      <c r="J1249" s="4"/>
      <c r="K1249" s="4"/>
      <c r="L1249" s="4"/>
    </row>
    <row r="1250" spans="1:12" ht="19.5" customHeight="1">
      <c r="A1250" s="4"/>
      <c r="B1250" s="4"/>
      <c r="C1250" s="4"/>
      <c r="D1250" s="4"/>
      <c r="E1250" s="4"/>
      <c r="F1250" s="4"/>
      <c r="G1250" s="4"/>
      <c r="H1250" s="4"/>
      <c r="I1250" s="4"/>
      <c r="J1250" s="4"/>
      <c r="K1250" s="4"/>
      <c r="L1250" s="4"/>
    </row>
    <row r="1251" spans="1:12" ht="19.5" customHeight="1">
      <c r="A1251" s="4"/>
      <c r="B1251" s="4"/>
      <c r="C1251" s="4"/>
      <c r="D1251" s="4"/>
      <c r="E1251" s="4"/>
      <c r="F1251" s="4"/>
      <c r="G1251" s="4"/>
      <c r="H1251" s="4"/>
      <c r="I1251" s="4"/>
      <c r="J1251" s="4"/>
      <c r="K1251" s="4"/>
      <c r="L1251" s="4"/>
    </row>
    <row r="1252" spans="1:12" ht="19.5" customHeight="1">
      <c r="A1252" s="4"/>
      <c r="B1252" s="4"/>
      <c r="C1252" s="4"/>
      <c r="D1252" s="4"/>
      <c r="E1252" s="4"/>
      <c r="F1252" s="4"/>
      <c r="G1252" s="4"/>
      <c r="H1252" s="4"/>
      <c r="I1252" s="4"/>
      <c r="J1252" s="4"/>
      <c r="K1252" s="4"/>
      <c r="L1252" s="4"/>
    </row>
    <row r="1253" spans="1:12" ht="19.5" customHeight="1">
      <c r="A1253" s="4"/>
      <c r="B1253" s="4"/>
      <c r="C1253" s="4"/>
      <c r="D1253" s="4"/>
      <c r="E1253" s="4"/>
      <c r="F1253" s="4"/>
      <c r="G1253" s="4"/>
      <c r="H1253" s="4"/>
      <c r="I1253" s="4"/>
      <c r="J1253" s="4"/>
      <c r="K1253" s="4"/>
      <c r="L1253" s="4"/>
    </row>
    <row r="1254" spans="1:12" ht="19.5" customHeight="1">
      <c r="A1254" s="4"/>
      <c r="B1254" s="4"/>
      <c r="C1254" s="4"/>
      <c r="D1254" s="4"/>
      <c r="E1254" s="4"/>
      <c r="F1254" s="4"/>
      <c r="G1254" s="4"/>
      <c r="H1254" s="4"/>
      <c r="I1254" s="4"/>
      <c r="J1254" s="4"/>
      <c r="K1254" s="4"/>
      <c r="L1254" s="4"/>
    </row>
    <row r="1255" spans="1:12" ht="19.5" customHeight="1">
      <c r="A1255" s="4"/>
      <c r="B1255" s="4"/>
      <c r="C1255" s="4"/>
      <c r="D1255" s="4"/>
      <c r="E1255" s="4"/>
      <c r="F1255" s="4"/>
      <c r="G1255" s="4"/>
      <c r="H1255" s="4"/>
      <c r="I1255" s="4"/>
      <c r="J1255" s="4"/>
      <c r="K1255" s="4"/>
      <c r="L1255" s="4"/>
    </row>
    <row r="1256" spans="1:12" ht="19.5" customHeight="1">
      <c r="A1256" s="4"/>
      <c r="B1256" s="4"/>
      <c r="C1256" s="4"/>
      <c r="D1256" s="4"/>
      <c r="E1256" s="4"/>
      <c r="F1256" s="4"/>
      <c r="G1256" s="4"/>
      <c r="H1256" s="4"/>
      <c r="I1256" s="4"/>
      <c r="J1256" s="4"/>
      <c r="K1256" s="4"/>
      <c r="L1256" s="4"/>
    </row>
    <row r="1257" spans="1:12" ht="19.5" customHeight="1">
      <c r="A1257" s="4"/>
      <c r="B1257" s="4"/>
      <c r="C1257" s="4"/>
      <c r="D1257" s="4"/>
      <c r="E1257" s="4"/>
      <c r="F1257" s="4"/>
      <c r="G1257" s="4"/>
      <c r="H1257" s="4"/>
      <c r="I1257" s="4"/>
      <c r="J1257" s="4"/>
      <c r="K1257" s="4"/>
      <c r="L1257" s="4"/>
    </row>
    <row r="1258" spans="1:12" ht="19.5" customHeight="1">
      <c r="A1258" s="4"/>
      <c r="B1258" s="4"/>
      <c r="C1258" s="4"/>
      <c r="D1258" s="4"/>
      <c r="E1258" s="4"/>
      <c r="F1258" s="4"/>
      <c r="G1258" s="4"/>
      <c r="H1258" s="4"/>
      <c r="I1258" s="4"/>
      <c r="J1258" s="4"/>
      <c r="K1258" s="4"/>
      <c r="L1258" s="4"/>
    </row>
    <row r="1259" spans="1:12" ht="19.5" customHeight="1">
      <c r="A1259" s="4"/>
      <c r="B1259" s="4"/>
      <c r="C1259" s="4"/>
      <c r="D1259" s="4"/>
      <c r="E1259" s="4"/>
      <c r="F1259" s="4"/>
      <c r="G1259" s="4"/>
      <c r="H1259" s="4"/>
      <c r="I1259" s="4"/>
      <c r="J1259" s="4"/>
      <c r="K1259" s="4"/>
      <c r="L1259" s="4"/>
    </row>
    <row r="1260" spans="1:12" ht="19.5" customHeight="1">
      <c r="A1260" s="4"/>
      <c r="B1260" s="4"/>
      <c r="C1260" s="4"/>
      <c r="D1260" s="4"/>
      <c r="E1260" s="4"/>
      <c r="F1260" s="4"/>
      <c r="G1260" s="4"/>
      <c r="H1260" s="4"/>
      <c r="I1260" s="4"/>
      <c r="J1260" s="4"/>
      <c r="K1260" s="4"/>
      <c r="L1260" s="4"/>
    </row>
    <row r="1261" ht="19.5" customHeight="1">
      <c r="A1261" s="4"/>
    </row>
  </sheetData>
  <mergeCells count="2942">
    <mergeCell ref="P1052:S1052"/>
    <mergeCell ref="P1108:S1108"/>
    <mergeCell ref="P1051:S1051"/>
    <mergeCell ref="S91:V91"/>
    <mergeCell ref="S828:U828"/>
    <mergeCell ref="Q818:R818"/>
    <mergeCell ref="T818:U818"/>
    <mergeCell ref="P810:Q810"/>
    <mergeCell ref="T810:V810"/>
    <mergeCell ref="Q986:T986"/>
    <mergeCell ref="X91:AA91"/>
    <mergeCell ref="AB91:AD91"/>
    <mergeCell ref="G91:I91"/>
    <mergeCell ref="J91:M91"/>
    <mergeCell ref="N91:O91"/>
    <mergeCell ref="P91:R91"/>
    <mergeCell ref="S89:V89"/>
    <mergeCell ref="X89:AA89"/>
    <mergeCell ref="AB89:AD89"/>
    <mergeCell ref="G90:I90"/>
    <mergeCell ref="J90:M90"/>
    <mergeCell ref="N90:O90"/>
    <mergeCell ref="P90:R90"/>
    <mergeCell ref="S90:V90"/>
    <mergeCell ref="X90:AA90"/>
    <mergeCell ref="AB90:AD90"/>
    <mergeCell ref="G89:I89"/>
    <mergeCell ref="J89:M89"/>
    <mergeCell ref="N89:O89"/>
    <mergeCell ref="P89:R89"/>
    <mergeCell ref="H806:K806"/>
    <mergeCell ref="N806:O806"/>
    <mergeCell ref="S806:V806"/>
    <mergeCell ref="N801:P801"/>
    <mergeCell ref="S801:U801"/>
    <mergeCell ref="AE810:AG810"/>
    <mergeCell ref="AF814:AH814"/>
    <mergeCell ref="W800:Y800"/>
    <mergeCell ref="AA800:AD800"/>
    <mergeCell ref="Y830:Y831"/>
    <mergeCell ref="Z830:Z831"/>
    <mergeCell ref="AA830:AA831"/>
    <mergeCell ref="AK830:AK831"/>
    <mergeCell ref="AJ830:AJ831"/>
    <mergeCell ref="AI830:AI831"/>
    <mergeCell ref="Z820:AA820"/>
    <mergeCell ref="AG820:AH820"/>
    <mergeCell ref="AA826:AB826"/>
    <mergeCell ref="AE827:AF827"/>
    <mergeCell ref="Y818:AA818"/>
    <mergeCell ref="AB810:AC810"/>
    <mergeCell ref="Z811:AB811"/>
    <mergeCell ref="X810:Y810"/>
    <mergeCell ref="Y817:AA817"/>
    <mergeCell ref="AJ804:AK804"/>
    <mergeCell ref="K805:N805"/>
    <mergeCell ref="Q805:S805"/>
    <mergeCell ref="U805:V805"/>
    <mergeCell ref="Y805:Z805"/>
    <mergeCell ref="R804:T804"/>
    <mergeCell ref="Y804:AA804"/>
    <mergeCell ref="AC804:AD804"/>
    <mergeCell ref="AG804:AH804"/>
    <mergeCell ref="W801:Y801"/>
    <mergeCell ref="AA801:AD801"/>
    <mergeCell ref="E1168:K1168"/>
    <mergeCell ref="L1168:O1168"/>
    <mergeCell ref="P1168:S1168"/>
    <mergeCell ref="T1168:W1168"/>
    <mergeCell ref="T1166:W1166"/>
    <mergeCell ref="E1167:G1167"/>
    <mergeCell ref="H1167:K1167"/>
    <mergeCell ref="L1167:O1167"/>
    <mergeCell ref="P1167:S1167"/>
    <mergeCell ref="T1167:W1167"/>
    <mergeCell ref="E1166:G1166"/>
    <mergeCell ref="H1166:K1166"/>
    <mergeCell ref="L1166:O1166"/>
    <mergeCell ref="P1166:S1166"/>
    <mergeCell ref="T1164:W1164"/>
    <mergeCell ref="E1165:G1165"/>
    <mergeCell ref="H1165:K1165"/>
    <mergeCell ref="L1165:O1165"/>
    <mergeCell ref="P1165:S1165"/>
    <mergeCell ref="T1165:W1165"/>
    <mergeCell ref="E1164:G1164"/>
    <mergeCell ref="H1164:K1164"/>
    <mergeCell ref="L1164:O1164"/>
    <mergeCell ref="P1164:S1164"/>
    <mergeCell ref="T1162:W1162"/>
    <mergeCell ref="E1163:G1163"/>
    <mergeCell ref="H1163:K1163"/>
    <mergeCell ref="L1163:O1163"/>
    <mergeCell ref="P1163:S1163"/>
    <mergeCell ref="T1163:W1163"/>
    <mergeCell ref="E1162:G1162"/>
    <mergeCell ref="H1162:K1162"/>
    <mergeCell ref="L1162:O1162"/>
    <mergeCell ref="P1162:S1162"/>
    <mergeCell ref="T1160:W1160"/>
    <mergeCell ref="E1161:G1161"/>
    <mergeCell ref="H1161:K1161"/>
    <mergeCell ref="L1161:O1161"/>
    <mergeCell ref="P1161:S1161"/>
    <mergeCell ref="T1161:W1161"/>
    <mergeCell ref="E1160:G1160"/>
    <mergeCell ref="H1160:K1160"/>
    <mergeCell ref="L1160:O1160"/>
    <mergeCell ref="P1160:S1160"/>
    <mergeCell ref="T1158:W1158"/>
    <mergeCell ref="E1159:G1159"/>
    <mergeCell ref="H1159:K1159"/>
    <mergeCell ref="L1159:O1159"/>
    <mergeCell ref="P1159:S1159"/>
    <mergeCell ref="T1159:W1159"/>
    <mergeCell ref="E1158:G1158"/>
    <mergeCell ref="H1158:K1158"/>
    <mergeCell ref="L1158:O1158"/>
    <mergeCell ref="P1158:S1158"/>
    <mergeCell ref="T1156:W1156"/>
    <mergeCell ref="E1157:G1157"/>
    <mergeCell ref="H1157:K1157"/>
    <mergeCell ref="L1157:O1157"/>
    <mergeCell ref="P1157:S1157"/>
    <mergeCell ref="T1157:W1157"/>
    <mergeCell ref="E1156:G1156"/>
    <mergeCell ref="H1156:K1156"/>
    <mergeCell ref="L1156:O1156"/>
    <mergeCell ref="P1156:S1156"/>
    <mergeCell ref="T1154:W1154"/>
    <mergeCell ref="E1155:G1155"/>
    <mergeCell ref="H1155:K1155"/>
    <mergeCell ref="L1155:O1155"/>
    <mergeCell ref="P1155:S1155"/>
    <mergeCell ref="T1155:W1155"/>
    <mergeCell ref="E1154:G1154"/>
    <mergeCell ref="H1154:K1154"/>
    <mergeCell ref="L1154:O1154"/>
    <mergeCell ref="P1154:S1154"/>
    <mergeCell ref="T1138:W1138"/>
    <mergeCell ref="E1153:K1153"/>
    <mergeCell ref="L1153:O1153"/>
    <mergeCell ref="P1153:S1153"/>
    <mergeCell ref="T1153:W1153"/>
    <mergeCell ref="T1150:W1150"/>
    <mergeCell ref="L1151:O1151"/>
    <mergeCell ref="P1151:S1151"/>
    <mergeCell ref="T1151:W1151"/>
    <mergeCell ref="E1151:K1151"/>
    <mergeCell ref="E1150:G1150"/>
    <mergeCell ref="H1150:K1150"/>
    <mergeCell ref="L1150:O1150"/>
    <mergeCell ref="P1150:S1150"/>
    <mergeCell ref="T1148:W1148"/>
    <mergeCell ref="E1149:G1149"/>
    <mergeCell ref="H1149:K1149"/>
    <mergeCell ref="L1149:O1149"/>
    <mergeCell ref="P1149:S1149"/>
    <mergeCell ref="T1149:W1149"/>
    <mergeCell ref="E1148:G1148"/>
    <mergeCell ref="H1148:K1148"/>
    <mergeCell ref="L1148:O1148"/>
    <mergeCell ref="P1148:S1148"/>
    <mergeCell ref="T1146:W1146"/>
    <mergeCell ref="E1147:G1147"/>
    <mergeCell ref="H1147:K1147"/>
    <mergeCell ref="L1147:O1147"/>
    <mergeCell ref="P1147:S1147"/>
    <mergeCell ref="T1147:W1147"/>
    <mergeCell ref="E1146:G1146"/>
    <mergeCell ref="H1146:K1146"/>
    <mergeCell ref="L1146:O1146"/>
    <mergeCell ref="P1146:S1146"/>
    <mergeCell ref="T1144:W1144"/>
    <mergeCell ref="E1145:G1145"/>
    <mergeCell ref="H1145:K1145"/>
    <mergeCell ref="L1145:O1145"/>
    <mergeCell ref="P1145:S1145"/>
    <mergeCell ref="T1145:W1145"/>
    <mergeCell ref="E1144:G1144"/>
    <mergeCell ref="H1144:K1144"/>
    <mergeCell ref="L1144:O1144"/>
    <mergeCell ref="P1144:S1144"/>
    <mergeCell ref="T1142:W1142"/>
    <mergeCell ref="E1143:G1143"/>
    <mergeCell ref="H1143:K1143"/>
    <mergeCell ref="L1143:O1143"/>
    <mergeCell ref="P1143:S1143"/>
    <mergeCell ref="T1143:W1143"/>
    <mergeCell ref="E1142:G1142"/>
    <mergeCell ref="H1142:K1142"/>
    <mergeCell ref="L1142:O1142"/>
    <mergeCell ref="P1142:S1142"/>
    <mergeCell ref="T1140:W1140"/>
    <mergeCell ref="E1141:G1141"/>
    <mergeCell ref="H1141:K1141"/>
    <mergeCell ref="L1141:O1141"/>
    <mergeCell ref="P1141:S1141"/>
    <mergeCell ref="T1141:W1141"/>
    <mergeCell ref="E1140:G1140"/>
    <mergeCell ref="H1140:K1140"/>
    <mergeCell ref="L1140:O1140"/>
    <mergeCell ref="P1140:S1140"/>
    <mergeCell ref="E1138:G1138"/>
    <mergeCell ref="H1138:K1138"/>
    <mergeCell ref="L1138:O1138"/>
    <mergeCell ref="P1138:S1138"/>
    <mergeCell ref="E1139:G1139"/>
    <mergeCell ref="H1139:K1139"/>
    <mergeCell ref="L1139:O1139"/>
    <mergeCell ref="P1139:S1139"/>
    <mergeCell ref="E1137:G1137"/>
    <mergeCell ref="H1137:K1137"/>
    <mergeCell ref="L1137:O1137"/>
    <mergeCell ref="P1137:S1137"/>
    <mergeCell ref="E1136:K1136"/>
    <mergeCell ref="L1136:O1136"/>
    <mergeCell ref="P1136:S1136"/>
    <mergeCell ref="T1136:W1136"/>
    <mergeCell ref="AE1121:AG1121"/>
    <mergeCell ref="AI1121:AK1121"/>
    <mergeCell ref="AM1121:AO1121"/>
    <mergeCell ref="H1122:J1122"/>
    <mergeCell ref="H1121:J1121"/>
    <mergeCell ref="M1121:O1121"/>
    <mergeCell ref="Q1121:S1121"/>
    <mergeCell ref="U1121:W1121"/>
    <mergeCell ref="J1108:L1108"/>
    <mergeCell ref="M1120:O1120"/>
    <mergeCell ref="P1109:S1109"/>
    <mergeCell ref="I1105:K1105"/>
    <mergeCell ref="Z1105:AB1105"/>
    <mergeCell ref="AG1105:AI1105"/>
    <mergeCell ref="J1107:L1107"/>
    <mergeCell ref="N1107:P1107"/>
    <mergeCell ref="S1107:U1107"/>
    <mergeCell ref="W1107:Y1107"/>
    <mergeCell ref="AB1107:AD1107"/>
    <mergeCell ref="AF1107:AH1107"/>
    <mergeCell ref="I1104:K1104"/>
    <mergeCell ref="M1104:O1104"/>
    <mergeCell ref="R1104:T1104"/>
    <mergeCell ref="V1104:X1104"/>
    <mergeCell ref="J1099:L1099"/>
    <mergeCell ref="AT1099:AV1099"/>
    <mergeCell ref="BE1099:BG1099"/>
    <mergeCell ref="H1101:J1101"/>
    <mergeCell ref="E1097:H1097"/>
    <mergeCell ref="AW1097:BA1097"/>
    <mergeCell ref="BD1097:BH1097"/>
    <mergeCell ref="J1098:L1098"/>
    <mergeCell ref="BJ1095:BM1095"/>
    <mergeCell ref="AX1096:BB1096"/>
    <mergeCell ref="BD1096:BG1096"/>
    <mergeCell ref="BM1096:BP1096"/>
    <mergeCell ref="BA1095:BD1095"/>
    <mergeCell ref="H1095:J1095"/>
    <mergeCell ref="O1095:Q1095"/>
    <mergeCell ref="V1095:Y1095"/>
    <mergeCell ref="AV1095:AY1095"/>
    <mergeCell ref="H1086:J1086"/>
    <mergeCell ref="AG1086:AI1086"/>
    <mergeCell ref="Y1087:AA1087"/>
    <mergeCell ref="BB1094:BE1094"/>
    <mergeCell ref="H1094:J1094"/>
    <mergeCell ref="M1094:O1094"/>
    <mergeCell ref="Q1094:S1094"/>
    <mergeCell ref="AU1094:AX1094"/>
    <mergeCell ref="AF1076:AH1076"/>
    <mergeCell ref="H1078:J1078"/>
    <mergeCell ref="L1078:N1078"/>
    <mergeCell ref="Q1078:S1078"/>
    <mergeCell ref="U1078:W1078"/>
    <mergeCell ref="Z1078:AB1078"/>
    <mergeCell ref="AD1078:AF1078"/>
    <mergeCell ref="Y990:AB990"/>
    <mergeCell ref="J991:P991"/>
    <mergeCell ref="Q991:T991"/>
    <mergeCell ref="U991:X991"/>
    <mergeCell ref="Y991:AB991"/>
    <mergeCell ref="J990:L990"/>
    <mergeCell ref="M990:P990"/>
    <mergeCell ref="Q990:T990"/>
    <mergeCell ref="U990:X990"/>
    <mergeCell ref="Y988:AB988"/>
    <mergeCell ref="J989:L989"/>
    <mergeCell ref="M989:P989"/>
    <mergeCell ref="Q989:T989"/>
    <mergeCell ref="U989:X989"/>
    <mergeCell ref="Y989:AB989"/>
    <mergeCell ref="J988:L988"/>
    <mergeCell ref="M988:P988"/>
    <mergeCell ref="Q988:T988"/>
    <mergeCell ref="U988:X988"/>
    <mergeCell ref="U986:X986"/>
    <mergeCell ref="Y986:AB986"/>
    <mergeCell ref="J987:L987"/>
    <mergeCell ref="M987:P987"/>
    <mergeCell ref="Q987:T987"/>
    <mergeCell ref="U987:X987"/>
    <mergeCell ref="Y987:AB987"/>
    <mergeCell ref="E985:I985"/>
    <mergeCell ref="J985:L985"/>
    <mergeCell ref="M985:P985"/>
    <mergeCell ref="J986:L986"/>
    <mergeCell ref="M986:P986"/>
    <mergeCell ref="E978:I978"/>
    <mergeCell ref="J979:L979"/>
    <mergeCell ref="M979:P979"/>
    <mergeCell ref="J984:P984"/>
    <mergeCell ref="J983:L983"/>
    <mergeCell ref="J982:L982"/>
    <mergeCell ref="J978:L978"/>
    <mergeCell ref="M978:P978"/>
    <mergeCell ref="Y964:AB964"/>
    <mergeCell ref="E969:P969"/>
    <mergeCell ref="E970:L970"/>
    <mergeCell ref="E971:I971"/>
    <mergeCell ref="Q971:T971"/>
    <mergeCell ref="U971:X971"/>
    <mergeCell ref="Y969:AB969"/>
    <mergeCell ref="M970:P970"/>
    <mergeCell ref="Q970:T970"/>
    <mergeCell ref="U970:X970"/>
    <mergeCell ref="Y950:AB950"/>
    <mergeCell ref="Q957:T957"/>
    <mergeCell ref="U957:X957"/>
    <mergeCell ref="Y957:AB957"/>
    <mergeCell ref="Y956:AB956"/>
    <mergeCell ref="Y954:AB954"/>
    <mergeCell ref="Y955:AB955"/>
    <mergeCell ref="Q953:T953"/>
    <mergeCell ref="U955:X955"/>
    <mergeCell ref="Q954:T954"/>
    <mergeCell ref="Q985:T985"/>
    <mergeCell ref="U985:X985"/>
    <mergeCell ref="Y985:AB985"/>
    <mergeCell ref="Q984:T984"/>
    <mergeCell ref="U984:X984"/>
    <mergeCell ref="Q1055:Q1056"/>
    <mergeCell ref="R1055:R1056"/>
    <mergeCell ref="Y982:AB982"/>
    <mergeCell ref="M983:P983"/>
    <mergeCell ref="Q983:T983"/>
    <mergeCell ref="U983:X983"/>
    <mergeCell ref="Y983:AB983"/>
    <mergeCell ref="M982:P982"/>
    <mergeCell ref="Q982:T982"/>
    <mergeCell ref="Y984:AB984"/>
    <mergeCell ref="Y980:AB980"/>
    <mergeCell ref="J981:L981"/>
    <mergeCell ref="M981:P981"/>
    <mergeCell ref="Q981:T981"/>
    <mergeCell ref="U981:X981"/>
    <mergeCell ref="Y981:AB981"/>
    <mergeCell ref="J980:L980"/>
    <mergeCell ref="M980:P980"/>
    <mergeCell ref="Q979:T979"/>
    <mergeCell ref="U979:X979"/>
    <mergeCell ref="Y979:AB979"/>
    <mergeCell ref="Q978:T978"/>
    <mergeCell ref="U978:X978"/>
    <mergeCell ref="J974:L974"/>
    <mergeCell ref="M974:P974"/>
    <mergeCell ref="Q974:T974"/>
    <mergeCell ref="J977:P977"/>
    <mergeCell ref="J976:L976"/>
    <mergeCell ref="M976:P976"/>
    <mergeCell ref="Q976:T976"/>
    <mergeCell ref="Q977:T977"/>
    <mergeCell ref="J975:L975"/>
    <mergeCell ref="M975:P975"/>
    <mergeCell ref="Q975:T975"/>
    <mergeCell ref="U975:X975"/>
    <mergeCell ref="T1063:V1063"/>
    <mergeCell ref="Q973:T973"/>
    <mergeCell ref="U973:X973"/>
    <mergeCell ref="O1009:Q1009"/>
    <mergeCell ref="U976:X976"/>
    <mergeCell ref="Q980:T980"/>
    <mergeCell ref="W1062:Y1062"/>
    <mergeCell ref="Y978:AB978"/>
    <mergeCell ref="Y973:AB973"/>
    <mergeCell ref="Y1019:AA1019"/>
    <mergeCell ref="U974:X974"/>
    <mergeCell ref="Y974:AB974"/>
    <mergeCell ref="Y975:AB975"/>
    <mergeCell ref="Y976:AB976"/>
    <mergeCell ref="U977:X977"/>
    <mergeCell ref="Y977:AB977"/>
    <mergeCell ref="U982:X982"/>
    <mergeCell ref="U980:X980"/>
    <mergeCell ref="J973:L973"/>
    <mergeCell ref="M973:P973"/>
    <mergeCell ref="Y971:AB971"/>
    <mergeCell ref="J972:L972"/>
    <mergeCell ref="M972:P972"/>
    <mergeCell ref="Q972:T972"/>
    <mergeCell ref="U972:X972"/>
    <mergeCell ref="Y972:AB972"/>
    <mergeCell ref="J971:L971"/>
    <mergeCell ref="M971:P971"/>
    <mergeCell ref="Y970:AB970"/>
    <mergeCell ref="Q969:T969"/>
    <mergeCell ref="U969:X969"/>
    <mergeCell ref="AE1063:AG1063"/>
    <mergeCell ref="R998:R999"/>
    <mergeCell ref="W1005:Y1005"/>
    <mergeCell ref="T1006:V1006"/>
    <mergeCell ref="AE1006:AG1006"/>
    <mergeCell ref="R1012:T1012"/>
    <mergeCell ref="Q997:Q998"/>
    <mergeCell ref="R1069:T1069"/>
    <mergeCell ref="J1070:L1070"/>
    <mergeCell ref="H1066:J1066"/>
    <mergeCell ref="L1066:M1066"/>
    <mergeCell ref="O1066:Q1066"/>
    <mergeCell ref="E1068:H1068"/>
    <mergeCell ref="E1072:F1072"/>
    <mergeCell ref="G1072:G1073"/>
    <mergeCell ref="H1072:K1072"/>
    <mergeCell ref="L1072:L1073"/>
    <mergeCell ref="E1073:F1073"/>
    <mergeCell ref="H1073:K1073"/>
    <mergeCell ref="Y966:AB966"/>
    <mergeCell ref="J967:P967"/>
    <mergeCell ref="Q967:T967"/>
    <mergeCell ref="U967:X967"/>
    <mergeCell ref="Y967:AB967"/>
    <mergeCell ref="J966:L966"/>
    <mergeCell ref="M966:P966"/>
    <mergeCell ref="Q966:T966"/>
    <mergeCell ref="U966:X966"/>
    <mergeCell ref="Y963:AB963"/>
    <mergeCell ref="J965:L965"/>
    <mergeCell ref="M965:P965"/>
    <mergeCell ref="Q965:T965"/>
    <mergeCell ref="U965:X965"/>
    <mergeCell ref="Y965:AB965"/>
    <mergeCell ref="J964:L964"/>
    <mergeCell ref="M964:P964"/>
    <mergeCell ref="Q964:T964"/>
    <mergeCell ref="U964:X964"/>
    <mergeCell ref="J963:L963"/>
    <mergeCell ref="M963:P963"/>
    <mergeCell ref="Q963:T963"/>
    <mergeCell ref="U963:X963"/>
    <mergeCell ref="U961:X961"/>
    <mergeCell ref="Y961:AB961"/>
    <mergeCell ref="J962:L962"/>
    <mergeCell ref="M962:P962"/>
    <mergeCell ref="Q962:T962"/>
    <mergeCell ref="U962:X962"/>
    <mergeCell ref="Y962:AB962"/>
    <mergeCell ref="E961:I961"/>
    <mergeCell ref="J961:L961"/>
    <mergeCell ref="M961:P961"/>
    <mergeCell ref="Q961:T961"/>
    <mergeCell ref="U958:X958"/>
    <mergeCell ref="Y959:AB959"/>
    <mergeCell ref="J960:P960"/>
    <mergeCell ref="Q960:T960"/>
    <mergeCell ref="U960:X960"/>
    <mergeCell ref="Y960:AB960"/>
    <mergeCell ref="J959:L959"/>
    <mergeCell ref="M959:P959"/>
    <mergeCell ref="Q959:T959"/>
    <mergeCell ref="U959:X959"/>
    <mergeCell ref="Y958:AB958"/>
    <mergeCell ref="J957:L957"/>
    <mergeCell ref="M957:P957"/>
    <mergeCell ref="J956:L956"/>
    <mergeCell ref="M956:P956"/>
    <mergeCell ref="Q956:T956"/>
    <mergeCell ref="U956:X956"/>
    <mergeCell ref="J958:L958"/>
    <mergeCell ref="M958:P958"/>
    <mergeCell ref="Q958:T958"/>
    <mergeCell ref="Q955:T955"/>
    <mergeCell ref="Q950:T950"/>
    <mergeCell ref="N800:P800"/>
    <mergeCell ref="S800:U800"/>
    <mergeCell ref="N804:P804"/>
    <mergeCell ref="R824:S824"/>
    <mergeCell ref="Q817:R817"/>
    <mergeCell ref="T817:U817"/>
    <mergeCell ref="J953:P953"/>
    <mergeCell ref="M951:P951"/>
    <mergeCell ref="AH841:AJ841"/>
    <mergeCell ref="W827:X827"/>
    <mergeCell ref="J950:L950"/>
    <mergeCell ref="M950:P950"/>
    <mergeCell ref="U950:X950"/>
    <mergeCell ref="V917:Y917"/>
    <mergeCell ref="E916:M916"/>
    <mergeCell ref="N916:Q916"/>
    <mergeCell ref="R916:U916"/>
    <mergeCell ref="V916:Y916"/>
    <mergeCell ref="M952:P952"/>
    <mergeCell ref="J951:L951"/>
    <mergeCell ref="H647:K647"/>
    <mergeCell ref="L647:O647"/>
    <mergeCell ref="P647:S647"/>
    <mergeCell ref="E917:M917"/>
    <mergeCell ref="N917:Q917"/>
    <mergeCell ref="R917:U917"/>
    <mergeCell ref="E915:M915"/>
    <mergeCell ref="E647:G647"/>
    <mergeCell ref="H804:I804"/>
    <mergeCell ref="K804:L804"/>
    <mergeCell ref="T645:W645"/>
    <mergeCell ref="T646:W646"/>
    <mergeCell ref="T647:W647"/>
    <mergeCell ref="P783:R783"/>
    <mergeCell ref="S783:V783"/>
    <mergeCell ref="W783:Z783"/>
    <mergeCell ref="W731:Z731"/>
    <mergeCell ref="W705:Z705"/>
    <mergeCell ref="P643:S643"/>
    <mergeCell ref="P645:S645"/>
    <mergeCell ref="E646:G646"/>
    <mergeCell ref="H646:K646"/>
    <mergeCell ref="L646:O646"/>
    <mergeCell ref="P646:S646"/>
    <mergeCell ref="P641:S641"/>
    <mergeCell ref="T643:W643"/>
    <mergeCell ref="E644:G644"/>
    <mergeCell ref="H644:K644"/>
    <mergeCell ref="L644:O644"/>
    <mergeCell ref="P644:S644"/>
    <mergeCell ref="T644:W644"/>
    <mergeCell ref="E643:G643"/>
    <mergeCell ref="H643:K643"/>
    <mergeCell ref="L643:O643"/>
    <mergeCell ref="T638:W638"/>
    <mergeCell ref="T641:W641"/>
    <mergeCell ref="E642:G642"/>
    <mergeCell ref="H642:K642"/>
    <mergeCell ref="L642:O642"/>
    <mergeCell ref="P642:S642"/>
    <mergeCell ref="T642:W642"/>
    <mergeCell ref="E641:G641"/>
    <mergeCell ref="H641:K641"/>
    <mergeCell ref="L641:O641"/>
    <mergeCell ref="P621:S621"/>
    <mergeCell ref="T623:W623"/>
    <mergeCell ref="E640:K640"/>
    <mergeCell ref="L640:O640"/>
    <mergeCell ref="P640:S640"/>
    <mergeCell ref="T640:W640"/>
    <mergeCell ref="E623:G623"/>
    <mergeCell ref="H623:K623"/>
    <mergeCell ref="L623:O623"/>
    <mergeCell ref="P623:S623"/>
    <mergeCell ref="P619:S619"/>
    <mergeCell ref="T621:W621"/>
    <mergeCell ref="E622:G622"/>
    <mergeCell ref="H622:K622"/>
    <mergeCell ref="L622:O622"/>
    <mergeCell ref="P622:S622"/>
    <mergeCell ref="T622:W622"/>
    <mergeCell ref="E621:G621"/>
    <mergeCell ref="H621:K621"/>
    <mergeCell ref="L621:O621"/>
    <mergeCell ref="T613:W613"/>
    <mergeCell ref="T619:W619"/>
    <mergeCell ref="E620:G620"/>
    <mergeCell ref="H620:K620"/>
    <mergeCell ref="L620:O620"/>
    <mergeCell ref="P620:S620"/>
    <mergeCell ref="T620:W620"/>
    <mergeCell ref="E619:G619"/>
    <mergeCell ref="H619:K619"/>
    <mergeCell ref="L619:O619"/>
    <mergeCell ref="P600:S600"/>
    <mergeCell ref="T601:W601"/>
    <mergeCell ref="E618:K618"/>
    <mergeCell ref="L618:O618"/>
    <mergeCell ref="P618:S618"/>
    <mergeCell ref="T618:W618"/>
    <mergeCell ref="E601:G601"/>
    <mergeCell ref="H601:K601"/>
    <mergeCell ref="L601:O601"/>
    <mergeCell ref="P601:S601"/>
    <mergeCell ref="T598:W598"/>
    <mergeCell ref="T599:W599"/>
    <mergeCell ref="T600:W600"/>
    <mergeCell ref="E599:G599"/>
    <mergeCell ref="H599:K599"/>
    <mergeCell ref="L599:O599"/>
    <mergeCell ref="P599:S599"/>
    <mergeCell ref="E600:G600"/>
    <mergeCell ref="H600:K600"/>
    <mergeCell ref="L600:O600"/>
    <mergeCell ref="U582:X582"/>
    <mergeCell ref="F583:H583"/>
    <mergeCell ref="I583:L583"/>
    <mergeCell ref="M583:P583"/>
    <mergeCell ref="Q583:T583"/>
    <mergeCell ref="U583:X583"/>
    <mergeCell ref="F582:H582"/>
    <mergeCell ref="I582:L582"/>
    <mergeCell ref="M582:P582"/>
    <mergeCell ref="Q582:T582"/>
    <mergeCell ref="U580:X580"/>
    <mergeCell ref="F581:H581"/>
    <mergeCell ref="I581:L581"/>
    <mergeCell ref="M581:P581"/>
    <mergeCell ref="Q581:T581"/>
    <mergeCell ref="U581:X581"/>
    <mergeCell ref="F580:H580"/>
    <mergeCell ref="I580:L580"/>
    <mergeCell ref="M580:P580"/>
    <mergeCell ref="Q580:T580"/>
    <mergeCell ref="U578:X578"/>
    <mergeCell ref="F579:H579"/>
    <mergeCell ref="I579:L579"/>
    <mergeCell ref="M579:P579"/>
    <mergeCell ref="Q579:T579"/>
    <mergeCell ref="U579:X579"/>
    <mergeCell ref="F578:H578"/>
    <mergeCell ref="I578:L578"/>
    <mergeCell ref="M578:P578"/>
    <mergeCell ref="Q578:T578"/>
    <mergeCell ref="U576:X576"/>
    <mergeCell ref="F577:H577"/>
    <mergeCell ref="I577:L577"/>
    <mergeCell ref="M577:P577"/>
    <mergeCell ref="Q577:T577"/>
    <mergeCell ref="U577:X577"/>
    <mergeCell ref="F576:H576"/>
    <mergeCell ref="I576:L576"/>
    <mergeCell ref="M576:P576"/>
    <mergeCell ref="Q576:T576"/>
    <mergeCell ref="U574:X574"/>
    <mergeCell ref="F575:H575"/>
    <mergeCell ref="I575:L575"/>
    <mergeCell ref="M575:P575"/>
    <mergeCell ref="Q575:T575"/>
    <mergeCell ref="U575:X575"/>
    <mergeCell ref="F574:H574"/>
    <mergeCell ref="I574:L574"/>
    <mergeCell ref="M574:P574"/>
    <mergeCell ref="Q574:T574"/>
    <mergeCell ref="U572:X572"/>
    <mergeCell ref="F573:H573"/>
    <mergeCell ref="I573:L573"/>
    <mergeCell ref="M573:P573"/>
    <mergeCell ref="Q573:T573"/>
    <mergeCell ref="U573:X573"/>
    <mergeCell ref="F572:H572"/>
    <mergeCell ref="I572:L572"/>
    <mergeCell ref="M572:P572"/>
    <mergeCell ref="Q572:T572"/>
    <mergeCell ref="F571:L571"/>
    <mergeCell ref="M571:P571"/>
    <mergeCell ref="Q571:T571"/>
    <mergeCell ref="U571:X571"/>
    <mergeCell ref="U543:X543"/>
    <mergeCell ref="F544:H544"/>
    <mergeCell ref="I544:L544"/>
    <mergeCell ref="M544:P544"/>
    <mergeCell ref="Q544:T544"/>
    <mergeCell ref="U544:X544"/>
    <mergeCell ref="F543:H543"/>
    <mergeCell ref="I543:L543"/>
    <mergeCell ref="M543:P543"/>
    <mergeCell ref="Q543:T543"/>
    <mergeCell ref="F541:H541"/>
    <mergeCell ref="I541:L541"/>
    <mergeCell ref="M541:P541"/>
    <mergeCell ref="Q541:T541"/>
    <mergeCell ref="F542:H542"/>
    <mergeCell ref="I542:L542"/>
    <mergeCell ref="M542:P542"/>
    <mergeCell ref="Q542:T542"/>
    <mergeCell ref="F539:H539"/>
    <mergeCell ref="I539:L539"/>
    <mergeCell ref="M539:P539"/>
    <mergeCell ref="Q539:T539"/>
    <mergeCell ref="F540:H540"/>
    <mergeCell ref="I540:L540"/>
    <mergeCell ref="M540:P540"/>
    <mergeCell ref="Q540:T540"/>
    <mergeCell ref="F537:H537"/>
    <mergeCell ref="I537:L537"/>
    <mergeCell ref="M537:P537"/>
    <mergeCell ref="Q537:T537"/>
    <mergeCell ref="F538:H538"/>
    <mergeCell ref="I538:L538"/>
    <mergeCell ref="M538:P538"/>
    <mergeCell ref="Q538:T538"/>
    <mergeCell ref="T490:W490"/>
    <mergeCell ref="F536:L536"/>
    <mergeCell ref="M536:P536"/>
    <mergeCell ref="Q536:T536"/>
    <mergeCell ref="U536:X536"/>
    <mergeCell ref="E490:G490"/>
    <mergeCell ref="H490:K490"/>
    <mergeCell ref="L490:O490"/>
    <mergeCell ref="P490:S490"/>
    <mergeCell ref="M526:P526"/>
    <mergeCell ref="T488:W488"/>
    <mergeCell ref="E489:G489"/>
    <mergeCell ref="H489:K489"/>
    <mergeCell ref="L489:O489"/>
    <mergeCell ref="P489:S489"/>
    <mergeCell ref="T489:W489"/>
    <mergeCell ref="E488:G488"/>
    <mergeCell ref="H488:K488"/>
    <mergeCell ref="L488:O488"/>
    <mergeCell ref="P488:S488"/>
    <mergeCell ref="T486:W486"/>
    <mergeCell ref="E487:G487"/>
    <mergeCell ref="H487:K487"/>
    <mergeCell ref="L487:O487"/>
    <mergeCell ref="P487:S487"/>
    <mergeCell ref="T487:W487"/>
    <mergeCell ref="E486:G486"/>
    <mergeCell ref="H486:K486"/>
    <mergeCell ref="L486:O486"/>
    <mergeCell ref="P486:S486"/>
    <mergeCell ref="T484:W484"/>
    <mergeCell ref="E485:G485"/>
    <mergeCell ref="H485:K485"/>
    <mergeCell ref="L485:O485"/>
    <mergeCell ref="P485:S485"/>
    <mergeCell ref="T485:W485"/>
    <mergeCell ref="E484:G484"/>
    <mergeCell ref="H484:K484"/>
    <mergeCell ref="L484:O484"/>
    <mergeCell ref="P484:S484"/>
    <mergeCell ref="T482:W482"/>
    <mergeCell ref="E483:G483"/>
    <mergeCell ref="H483:K483"/>
    <mergeCell ref="L483:O483"/>
    <mergeCell ref="P483:S483"/>
    <mergeCell ref="T483:W483"/>
    <mergeCell ref="E482:G482"/>
    <mergeCell ref="H482:K482"/>
    <mergeCell ref="L482:O482"/>
    <mergeCell ref="P482:S482"/>
    <mergeCell ref="E481:G481"/>
    <mergeCell ref="H481:K481"/>
    <mergeCell ref="L481:O481"/>
    <mergeCell ref="P481:S481"/>
    <mergeCell ref="T442:W442"/>
    <mergeCell ref="E443:G443"/>
    <mergeCell ref="H443:K443"/>
    <mergeCell ref="L443:O443"/>
    <mergeCell ref="P443:S443"/>
    <mergeCell ref="T443:W443"/>
    <mergeCell ref="E442:G442"/>
    <mergeCell ref="H442:K442"/>
    <mergeCell ref="L442:O442"/>
    <mergeCell ref="P442:S442"/>
    <mergeCell ref="T440:W440"/>
    <mergeCell ref="E441:G441"/>
    <mergeCell ref="H441:K441"/>
    <mergeCell ref="L441:O441"/>
    <mergeCell ref="P441:S441"/>
    <mergeCell ref="T441:W441"/>
    <mergeCell ref="E440:G440"/>
    <mergeCell ref="H440:K440"/>
    <mergeCell ref="L440:O440"/>
    <mergeCell ref="P440:S440"/>
    <mergeCell ref="T438:W438"/>
    <mergeCell ref="E439:G439"/>
    <mergeCell ref="H439:K439"/>
    <mergeCell ref="L439:O439"/>
    <mergeCell ref="P439:S439"/>
    <mergeCell ref="T439:W439"/>
    <mergeCell ref="E438:G438"/>
    <mergeCell ref="H438:K438"/>
    <mergeCell ref="L438:O438"/>
    <mergeCell ref="P438:S438"/>
    <mergeCell ref="T436:W436"/>
    <mergeCell ref="E437:G437"/>
    <mergeCell ref="H437:K437"/>
    <mergeCell ref="L437:O437"/>
    <mergeCell ref="P437:S437"/>
    <mergeCell ref="T437:W437"/>
    <mergeCell ref="E436:G436"/>
    <mergeCell ref="H436:K436"/>
    <mergeCell ref="L436:O436"/>
    <mergeCell ref="P436:S436"/>
    <mergeCell ref="T434:W434"/>
    <mergeCell ref="E435:G435"/>
    <mergeCell ref="H435:K435"/>
    <mergeCell ref="L435:O435"/>
    <mergeCell ref="P435:S435"/>
    <mergeCell ref="T435:W435"/>
    <mergeCell ref="E434:G434"/>
    <mergeCell ref="H434:K434"/>
    <mergeCell ref="L434:O434"/>
    <mergeCell ref="P434:S434"/>
    <mergeCell ref="T432:W432"/>
    <mergeCell ref="E433:G433"/>
    <mergeCell ref="H433:K433"/>
    <mergeCell ref="L433:O433"/>
    <mergeCell ref="P433:S433"/>
    <mergeCell ref="T433:W433"/>
    <mergeCell ref="E432:G432"/>
    <mergeCell ref="H432:K432"/>
    <mergeCell ref="L432:O432"/>
    <mergeCell ref="P432:S432"/>
    <mergeCell ref="E431:K431"/>
    <mergeCell ref="L431:O431"/>
    <mergeCell ref="P431:S431"/>
    <mergeCell ref="T431:W431"/>
    <mergeCell ref="N915:Q915"/>
    <mergeCell ref="R915:U915"/>
    <mergeCell ref="V915:Y915"/>
    <mergeCell ref="E914:M914"/>
    <mergeCell ref="N914:Q914"/>
    <mergeCell ref="R914:U914"/>
    <mergeCell ref="V914:Y914"/>
    <mergeCell ref="E913:M913"/>
    <mergeCell ref="N913:Q913"/>
    <mergeCell ref="R913:U913"/>
    <mergeCell ref="V913:Y913"/>
    <mergeCell ref="E912:M912"/>
    <mergeCell ref="N912:Q912"/>
    <mergeCell ref="R912:U912"/>
    <mergeCell ref="V912:Y912"/>
    <mergeCell ref="N911:Q911"/>
    <mergeCell ref="R911:U911"/>
    <mergeCell ref="V911:Y911"/>
    <mergeCell ref="E899:E911"/>
    <mergeCell ref="F899:F911"/>
    <mergeCell ref="G911:M911"/>
    <mergeCell ref="G910:M910"/>
    <mergeCell ref="N910:Q910"/>
    <mergeCell ref="R910:U910"/>
    <mergeCell ref="V910:Y910"/>
    <mergeCell ref="G909:M909"/>
    <mergeCell ref="N909:Q909"/>
    <mergeCell ref="R909:U909"/>
    <mergeCell ref="V909:Y909"/>
    <mergeCell ref="G908:M908"/>
    <mergeCell ref="N908:Q908"/>
    <mergeCell ref="R908:U908"/>
    <mergeCell ref="V908:Y908"/>
    <mergeCell ref="R906:U906"/>
    <mergeCell ref="V906:Y906"/>
    <mergeCell ref="G907:M907"/>
    <mergeCell ref="N907:Q907"/>
    <mergeCell ref="R907:U907"/>
    <mergeCell ref="V907:Y907"/>
    <mergeCell ref="V904:Y904"/>
    <mergeCell ref="G905:M905"/>
    <mergeCell ref="N905:Q905"/>
    <mergeCell ref="R905:U905"/>
    <mergeCell ref="V905:Y905"/>
    <mergeCell ref="V902:Y902"/>
    <mergeCell ref="G903:M903"/>
    <mergeCell ref="N903:Q903"/>
    <mergeCell ref="R903:U903"/>
    <mergeCell ref="V903:Y903"/>
    <mergeCell ref="V900:Y900"/>
    <mergeCell ref="G901:M901"/>
    <mergeCell ref="N901:Q901"/>
    <mergeCell ref="R901:U901"/>
    <mergeCell ref="V901:Y901"/>
    <mergeCell ref="T232:W232"/>
    <mergeCell ref="X232:AA232"/>
    <mergeCell ref="AB232:AE232"/>
    <mergeCell ref="D692:E711"/>
    <mergeCell ref="W388:AB388"/>
    <mergeCell ref="W378:AB379"/>
    <mergeCell ref="F706:O707"/>
    <mergeCell ref="P706:R706"/>
    <mergeCell ref="S706:V706"/>
    <mergeCell ref="W706:Z706"/>
    <mergeCell ref="T230:W230"/>
    <mergeCell ref="X230:AA230"/>
    <mergeCell ref="AB230:AE230"/>
    <mergeCell ref="T231:W231"/>
    <mergeCell ref="X231:AA231"/>
    <mergeCell ref="AB231:AE231"/>
    <mergeCell ref="T216:W216"/>
    <mergeCell ref="X216:AA216"/>
    <mergeCell ref="AB216:AE216"/>
    <mergeCell ref="T215:W215"/>
    <mergeCell ref="X215:AA215"/>
    <mergeCell ref="AB215:AE215"/>
    <mergeCell ref="V888:Y888"/>
    <mergeCell ref="T213:W213"/>
    <mergeCell ref="X213:AA213"/>
    <mergeCell ref="AB213:AE213"/>
    <mergeCell ref="T214:W214"/>
    <mergeCell ref="X214:AA214"/>
    <mergeCell ref="AB214:AE214"/>
    <mergeCell ref="T217:W217"/>
    <mergeCell ref="X217:AA217"/>
    <mergeCell ref="AB217:AE217"/>
    <mergeCell ref="AA783:AD783"/>
    <mergeCell ref="AA757:AD757"/>
    <mergeCell ref="P782:R782"/>
    <mergeCell ref="S782:V782"/>
    <mergeCell ref="W782:Z782"/>
    <mergeCell ref="AA782:AD782"/>
    <mergeCell ref="P775:R775"/>
    <mergeCell ref="S775:V775"/>
    <mergeCell ref="W775:Z775"/>
    <mergeCell ref="AA775:AD775"/>
    <mergeCell ref="AA731:AD731"/>
    <mergeCell ref="W759:Z759"/>
    <mergeCell ref="AA759:AD759"/>
    <mergeCell ref="AB739:AD739"/>
    <mergeCell ref="AB735:AD735"/>
    <mergeCell ref="AA756:AD756"/>
    <mergeCell ref="AB738:AD738"/>
    <mergeCell ref="W758:Z758"/>
    <mergeCell ref="AA758:AD758"/>
    <mergeCell ref="AB736:AD736"/>
    <mergeCell ref="AA729:AD729"/>
    <mergeCell ref="D730:O730"/>
    <mergeCell ref="P730:R730"/>
    <mergeCell ref="S730:V730"/>
    <mergeCell ref="W730:Z730"/>
    <mergeCell ref="AA730:AD730"/>
    <mergeCell ref="D729:O729"/>
    <mergeCell ref="P729:R729"/>
    <mergeCell ref="S729:V729"/>
    <mergeCell ref="W729:Z729"/>
    <mergeCell ref="R386:V386"/>
    <mergeCell ref="R387:V387"/>
    <mergeCell ref="W380:AB380"/>
    <mergeCell ref="W381:AB381"/>
    <mergeCell ref="W382:AB382"/>
    <mergeCell ref="W383:AB383"/>
    <mergeCell ref="W384:AB384"/>
    <mergeCell ref="W385:AB385"/>
    <mergeCell ref="W386:AB386"/>
    <mergeCell ref="W387:AB387"/>
    <mergeCell ref="M385:Q385"/>
    <mergeCell ref="R380:V380"/>
    <mergeCell ref="R381:V381"/>
    <mergeCell ref="R382:V382"/>
    <mergeCell ref="R383:V383"/>
    <mergeCell ref="R384:V384"/>
    <mergeCell ref="R385:V385"/>
    <mergeCell ref="AF333:AJ335"/>
    <mergeCell ref="E334:G335"/>
    <mergeCell ref="E333:G333"/>
    <mergeCell ref="E379:G379"/>
    <mergeCell ref="E378:G378"/>
    <mergeCell ref="AF341:AJ341"/>
    <mergeCell ref="AF342:AJ342"/>
    <mergeCell ref="AF343:AJ343"/>
    <mergeCell ref="AF344:AJ344"/>
    <mergeCell ref="AF337:AJ337"/>
    <mergeCell ref="AF338:AJ338"/>
    <mergeCell ref="AF339:AJ339"/>
    <mergeCell ref="AF340:AJ340"/>
    <mergeCell ref="AA706:AD706"/>
    <mergeCell ref="S707:V707"/>
    <mergeCell ref="W707:Z707"/>
    <mergeCell ref="E386:G386"/>
    <mergeCell ref="E387:G387"/>
    <mergeCell ref="E388:G388"/>
    <mergeCell ref="H386:L386"/>
    <mergeCell ref="H387:L387"/>
    <mergeCell ref="H388:L388"/>
    <mergeCell ref="M386:Q386"/>
    <mergeCell ref="AC336:AE336"/>
    <mergeCell ref="W337:Y337"/>
    <mergeCell ref="AC337:AE337"/>
    <mergeCell ref="Z337:AB337"/>
    <mergeCell ref="T336:V336"/>
    <mergeCell ref="T337:V337"/>
    <mergeCell ref="T338:V338"/>
    <mergeCell ref="Z338:AB338"/>
    <mergeCell ref="W338:Y338"/>
    <mergeCell ref="T335:V335"/>
    <mergeCell ref="W335:Y335"/>
    <mergeCell ref="Z335:AB335"/>
    <mergeCell ref="AC335:AE335"/>
    <mergeCell ref="AC334:AE334"/>
    <mergeCell ref="T334:V334"/>
    <mergeCell ref="H333:S333"/>
    <mergeCell ref="T333:AE333"/>
    <mergeCell ref="N334:P334"/>
    <mergeCell ref="Q334:S334"/>
    <mergeCell ref="W334:Y334"/>
    <mergeCell ref="Z334:AB334"/>
    <mergeCell ref="K334:M334"/>
    <mergeCell ref="AB737:AD737"/>
    <mergeCell ref="F563:H563"/>
    <mergeCell ref="I563:L563"/>
    <mergeCell ref="M563:P563"/>
    <mergeCell ref="Q563:T563"/>
    <mergeCell ref="AA707:AD707"/>
    <mergeCell ref="S704:V704"/>
    <mergeCell ref="AA704:AD704"/>
    <mergeCell ref="U563:X563"/>
    <mergeCell ref="AA705:AD705"/>
    <mergeCell ref="K341:M341"/>
    <mergeCell ref="K342:M342"/>
    <mergeCell ref="H339:J339"/>
    <mergeCell ref="H340:J340"/>
    <mergeCell ref="H341:J341"/>
    <mergeCell ref="H342:J342"/>
    <mergeCell ref="H338:J338"/>
    <mergeCell ref="E344:G344"/>
    <mergeCell ref="H334:J334"/>
    <mergeCell ref="H335:J335"/>
    <mergeCell ref="E340:G340"/>
    <mergeCell ref="E341:G341"/>
    <mergeCell ref="E342:G342"/>
    <mergeCell ref="E343:G343"/>
    <mergeCell ref="E336:G336"/>
    <mergeCell ref="E337:G337"/>
    <mergeCell ref="N337:P337"/>
    <mergeCell ref="K336:M336"/>
    <mergeCell ref="K337:M337"/>
    <mergeCell ref="K340:M340"/>
    <mergeCell ref="N336:P336"/>
    <mergeCell ref="N339:P339"/>
    <mergeCell ref="E338:G338"/>
    <mergeCell ref="E339:G339"/>
    <mergeCell ref="AB791:AD791"/>
    <mergeCell ref="AF791:AH791"/>
    <mergeCell ref="Q790:S790"/>
    <mergeCell ref="AB790:AD790"/>
    <mergeCell ref="AF790:AH790"/>
    <mergeCell ref="AB788:AD788"/>
    <mergeCell ref="Q789:S789"/>
    <mergeCell ref="AB789:AD789"/>
    <mergeCell ref="AF789:AH789"/>
    <mergeCell ref="AF788:AH788"/>
    <mergeCell ref="AF737:AH737"/>
    <mergeCell ref="AF739:AH739"/>
    <mergeCell ref="Q787:S787"/>
    <mergeCell ref="AB787:AD787"/>
    <mergeCell ref="Q739:S739"/>
    <mergeCell ref="AF738:AH738"/>
    <mergeCell ref="P758:R758"/>
    <mergeCell ref="S758:V758"/>
    <mergeCell ref="P759:R759"/>
    <mergeCell ref="S759:V759"/>
    <mergeCell ref="P786:R786"/>
    <mergeCell ref="S786:V786"/>
    <mergeCell ref="S705:V705"/>
    <mergeCell ref="S731:V731"/>
    <mergeCell ref="Q736:S736"/>
    <mergeCell ref="F758:O759"/>
    <mergeCell ref="Q737:S737"/>
    <mergeCell ref="S724:V724"/>
    <mergeCell ref="F756:O757"/>
    <mergeCell ref="P756:R756"/>
    <mergeCell ref="S756:V756"/>
    <mergeCell ref="P755:R755"/>
    <mergeCell ref="F1196:G1196"/>
    <mergeCell ref="F1191:G1191"/>
    <mergeCell ref="S1188:T1188"/>
    <mergeCell ref="Q788:S788"/>
    <mergeCell ref="Q791:S791"/>
    <mergeCell ref="N900:Q900"/>
    <mergeCell ref="R900:U900"/>
    <mergeCell ref="G902:M902"/>
    <mergeCell ref="N902:Q902"/>
    <mergeCell ref="R902:U902"/>
    <mergeCell ref="W724:Z724"/>
    <mergeCell ref="Q669:R669"/>
    <mergeCell ref="U669:W669"/>
    <mergeCell ref="S702:V702"/>
    <mergeCell ref="P707:R707"/>
    <mergeCell ref="S722:V722"/>
    <mergeCell ref="W722:Z722"/>
    <mergeCell ref="S720:V720"/>
    <mergeCell ref="T683:V683"/>
    <mergeCell ref="W720:Z720"/>
    <mergeCell ref="AA724:AD724"/>
    <mergeCell ref="AG666:AJ667"/>
    <mergeCell ref="AD668:AF669"/>
    <mergeCell ref="AG668:AJ669"/>
    <mergeCell ref="Y669:AA669"/>
    <mergeCell ref="AC668:AC669"/>
    <mergeCell ref="AH682:AJ682"/>
    <mergeCell ref="AC666:AC667"/>
    <mergeCell ref="AD666:AF667"/>
    <mergeCell ref="W704:Z704"/>
    <mergeCell ref="P661:R661"/>
    <mergeCell ref="T677:U677"/>
    <mergeCell ref="K668:K669"/>
    <mergeCell ref="L668:L669"/>
    <mergeCell ref="M668:M669"/>
    <mergeCell ref="N669:O669"/>
    <mergeCell ref="L662:N662"/>
    <mergeCell ref="T661:V661"/>
    <mergeCell ref="P662:R662"/>
    <mergeCell ref="M666:M667"/>
    <mergeCell ref="U566:X566"/>
    <mergeCell ref="U569:X569"/>
    <mergeCell ref="F569:H569"/>
    <mergeCell ref="I569:L569"/>
    <mergeCell ref="M569:P569"/>
    <mergeCell ref="Q569:T569"/>
    <mergeCell ref="F566:H566"/>
    <mergeCell ref="I566:L566"/>
    <mergeCell ref="M566:P566"/>
    <mergeCell ref="Q566:T566"/>
    <mergeCell ref="X661:Z661"/>
    <mergeCell ref="Z682:AB682"/>
    <mergeCell ref="V673:X673"/>
    <mergeCell ref="S679:U679"/>
    <mergeCell ref="Y667:AA667"/>
    <mergeCell ref="S678:U678"/>
    <mergeCell ref="U676:W676"/>
    <mergeCell ref="T662:V662"/>
    <mergeCell ref="X662:Z662"/>
    <mergeCell ref="U667:W667"/>
    <mergeCell ref="V896:Y896"/>
    <mergeCell ref="N894:Q894"/>
    <mergeCell ref="R894:U894"/>
    <mergeCell ref="V894:Y894"/>
    <mergeCell ref="N895:Q895"/>
    <mergeCell ref="R895:U895"/>
    <mergeCell ref="M1131:O1131"/>
    <mergeCell ref="M1132:O1132"/>
    <mergeCell ref="S1196:U1196"/>
    <mergeCell ref="R896:U896"/>
    <mergeCell ref="M1133:O1133"/>
    <mergeCell ref="G904:M904"/>
    <mergeCell ref="N904:Q904"/>
    <mergeCell ref="R904:U904"/>
    <mergeCell ref="G906:M906"/>
    <mergeCell ref="N906:Q906"/>
    <mergeCell ref="AA1197:AB1197"/>
    <mergeCell ref="U1117:W1117"/>
    <mergeCell ref="Q1117:S1117"/>
    <mergeCell ref="Q1131:S1131"/>
    <mergeCell ref="Q1132:S1132"/>
    <mergeCell ref="Q1133:S1133"/>
    <mergeCell ref="X1120:Z1120"/>
    <mergeCell ref="Z1121:AB1121"/>
    <mergeCell ref="T1137:W1137"/>
    <mergeCell ref="T1139:W1139"/>
    <mergeCell ref="AM1117:AO1117"/>
    <mergeCell ref="AA1193:AA1194"/>
    <mergeCell ref="Z1191:AA1191"/>
    <mergeCell ref="U1132:W1132"/>
    <mergeCell ref="U1133:W1133"/>
    <mergeCell ref="AA1131:AB1131"/>
    <mergeCell ref="AA1132:AB1132"/>
    <mergeCell ref="AA1133:AB1133"/>
    <mergeCell ref="U1131:W1131"/>
    <mergeCell ref="AI1117:AK1117"/>
    <mergeCell ref="AE1127:AG1127"/>
    <mergeCell ref="Q1128:R1128"/>
    <mergeCell ref="T1128:V1128"/>
    <mergeCell ref="X1128:Y1128"/>
    <mergeCell ref="AA1128:AC1128"/>
    <mergeCell ref="AE1128:AG1128"/>
    <mergeCell ref="Q1127:R1127"/>
    <mergeCell ref="T1127:V1127"/>
    <mergeCell ref="X1127:Y1127"/>
    <mergeCell ref="AA1127:AC1127"/>
    <mergeCell ref="AE1117:AG1117"/>
    <mergeCell ref="H1118:J1118"/>
    <mergeCell ref="Q1126:R1126"/>
    <mergeCell ref="X1126:Y1126"/>
    <mergeCell ref="T1126:V1126"/>
    <mergeCell ref="AA1126:AC1126"/>
    <mergeCell ref="AE1126:AG1126"/>
    <mergeCell ref="H1117:J1117"/>
    <mergeCell ref="M1117:O1117"/>
    <mergeCell ref="Z1117:AB1117"/>
    <mergeCell ref="J1051:L1051"/>
    <mergeCell ref="H1112:J1112"/>
    <mergeCell ref="H1076:J1076"/>
    <mergeCell ref="H1079:J1079"/>
    <mergeCell ref="H1075:J1075"/>
    <mergeCell ref="L1075:N1075"/>
    <mergeCell ref="J1069:L1069"/>
    <mergeCell ref="N1069:P1069"/>
    <mergeCell ref="P1055:P1056"/>
    <mergeCell ref="H1085:J1085"/>
    <mergeCell ref="N1079:P1079"/>
    <mergeCell ref="N1072:O1072"/>
    <mergeCell ref="R1072:AC1073"/>
    <mergeCell ref="M1073:P1073"/>
    <mergeCell ref="Q1075:S1075"/>
    <mergeCell ref="U1075:W1075"/>
    <mergeCell ref="Y1076:AA1076"/>
    <mergeCell ref="I1048:K1048"/>
    <mergeCell ref="Z1048:AB1048"/>
    <mergeCell ref="AG1048:AI1048"/>
    <mergeCell ref="J1050:L1050"/>
    <mergeCell ref="N1050:P1050"/>
    <mergeCell ref="S1050:U1050"/>
    <mergeCell ref="W1050:Y1050"/>
    <mergeCell ref="AB1050:AD1050"/>
    <mergeCell ref="AF1050:AH1050"/>
    <mergeCell ref="I1047:K1047"/>
    <mergeCell ref="M1047:O1047"/>
    <mergeCell ref="R1047:T1047"/>
    <mergeCell ref="V1047:X1047"/>
    <mergeCell ref="E1016:F1016"/>
    <mergeCell ref="H1016:K1016"/>
    <mergeCell ref="H1015:K1015"/>
    <mergeCell ref="E1015:F1015"/>
    <mergeCell ref="G1015:G1016"/>
    <mergeCell ref="J1012:L1012"/>
    <mergeCell ref="N1012:P1012"/>
    <mergeCell ref="H1009:J1009"/>
    <mergeCell ref="N896:Q896"/>
    <mergeCell ref="M947:P947"/>
    <mergeCell ref="M948:P948"/>
    <mergeCell ref="J952:L952"/>
    <mergeCell ref="J949:L949"/>
    <mergeCell ref="E945:P945"/>
    <mergeCell ref="M949:P949"/>
    <mergeCell ref="I924:K924"/>
    <mergeCell ref="N898:Q898"/>
    <mergeCell ref="R898:U898"/>
    <mergeCell ref="V898:Y898"/>
    <mergeCell ref="E898:M898"/>
    <mergeCell ref="G899:M899"/>
    <mergeCell ref="N899:Q899"/>
    <mergeCell ref="R899:U899"/>
    <mergeCell ref="V899:Y899"/>
    <mergeCell ref="G900:M900"/>
    <mergeCell ref="V895:Y895"/>
    <mergeCell ref="N892:Q892"/>
    <mergeCell ref="R892:U892"/>
    <mergeCell ref="V892:Y892"/>
    <mergeCell ref="N893:Q893"/>
    <mergeCell ref="R893:U893"/>
    <mergeCell ref="V893:Y893"/>
    <mergeCell ref="R890:U890"/>
    <mergeCell ref="V890:Y890"/>
    <mergeCell ref="N891:Q891"/>
    <mergeCell ref="R891:U891"/>
    <mergeCell ref="V891:Y891"/>
    <mergeCell ref="R886:U886"/>
    <mergeCell ref="V886:Y886"/>
    <mergeCell ref="N889:Q889"/>
    <mergeCell ref="R889:U889"/>
    <mergeCell ref="V889:Y889"/>
    <mergeCell ref="N887:Q887"/>
    <mergeCell ref="N888:Q888"/>
    <mergeCell ref="R887:U887"/>
    <mergeCell ref="V887:Y887"/>
    <mergeCell ref="R888:U888"/>
    <mergeCell ref="R883:U883"/>
    <mergeCell ref="V883:Y883"/>
    <mergeCell ref="N885:Q885"/>
    <mergeCell ref="R885:U885"/>
    <mergeCell ref="V885:Y885"/>
    <mergeCell ref="N884:Q884"/>
    <mergeCell ref="R884:U884"/>
    <mergeCell ref="V884:Y884"/>
    <mergeCell ref="R881:U881"/>
    <mergeCell ref="V881:Y881"/>
    <mergeCell ref="N882:Q882"/>
    <mergeCell ref="R882:U882"/>
    <mergeCell ref="V882:Y882"/>
    <mergeCell ref="R879:U879"/>
    <mergeCell ref="V879:Y879"/>
    <mergeCell ref="N880:Q880"/>
    <mergeCell ref="R880:U880"/>
    <mergeCell ref="V880:Y880"/>
    <mergeCell ref="R877:U877"/>
    <mergeCell ref="V877:Y877"/>
    <mergeCell ref="N878:Q878"/>
    <mergeCell ref="R878:U878"/>
    <mergeCell ref="V878:Y878"/>
    <mergeCell ref="E894:M894"/>
    <mergeCell ref="E895:M895"/>
    <mergeCell ref="E896:M896"/>
    <mergeCell ref="N877:Q877"/>
    <mergeCell ref="E877:M877"/>
    <mergeCell ref="N879:Q879"/>
    <mergeCell ref="N881:Q881"/>
    <mergeCell ref="N883:Q883"/>
    <mergeCell ref="N886:Q886"/>
    <mergeCell ref="N890:Q890"/>
    <mergeCell ref="G890:M890"/>
    <mergeCell ref="E891:M891"/>
    <mergeCell ref="E892:M892"/>
    <mergeCell ref="E893:M893"/>
    <mergeCell ref="F878:F890"/>
    <mergeCell ref="G885:M885"/>
    <mergeCell ref="G878:M878"/>
    <mergeCell ref="G879:M879"/>
    <mergeCell ref="G880:M880"/>
    <mergeCell ref="G881:M881"/>
    <mergeCell ref="G882:M882"/>
    <mergeCell ref="G883:M883"/>
    <mergeCell ref="G886:M886"/>
    <mergeCell ref="G889:M889"/>
    <mergeCell ref="G887:M887"/>
    <mergeCell ref="G888:M888"/>
    <mergeCell ref="G884:M884"/>
    <mergeCell ref="AA874:AC874"/>
    <mergeCell ref="H874:J874"/>
    <mergeCell ref="L874:N874"/>
    <mergeCell ref="P874:R874"/>
    <mergeCell ref="X874:Z874"/>
    <mergeCell ref="H868:J868"/>
    <mergeCell ref="L870:N870"/>
    <mergeCell ref="P870:R870"/>
    <mergeCell ref="T870:V870"/>
    <mergeCell ref="W786:Z786"/>
    <mergeCell ref="AA786:AD786"/>
    <mergeCell ref="AA784:AD784"/>
    <mergeCell ref="P785:R785"/>
    <mergeCell ref="S785:V785"/>
    <mergeCell ref="W785:Z785"/>
    <mergeCell ref="AA785:AD785"/>
    <mergeCell ref="D784:O784"/>
    <mergeCell ref="P784:R784"/>
    <mergeCell ref="S784:V784"/>
    <mergeCell ref="W784:Z784"/>
    <mergeCell ref="AA773:AD773"/>
    <mergeCell ref="D774:O774"/>
    <mergeCell ref="P774:R774"/>
    <mergeCell ref="S774:V774"/>
    <mergeCell ref="W774:Z774"/>
    <mergeCell ref="AA774:AD774"/>
    <mergeCell ref="D773:O773"/>
    <mergeCell ref="P773:R773"/>
    <mergeCell ref="S773:V773"/>
    <mergeCell ref="W773:Z773"/>
    <mergeCell ref="P772:R772"/>
    <mergeCell ref="S772:V772"/>
    <mergeCell ref="W772:Z772"/>
    <mergeCell ref="AA772:AD772"/>
    <mergeCell ref="P771:R771"/>
    <mergeCell ref="S771:V771"/>
    <mergeCell ref="W771:Z771"/>
    <mergeCell ref="AA771:AD771"/>
    <mergeCell ref="AA769:AD769"/>
    <mergeCell ref="D770:O770"/>
    <mergeCell ref="P770:R770"/>
    <mergeCell ref="S770:V770"/>
    <mergeCell ref="W770:Z770"/>
    <mergeCell ref="AA770:AD770"/>
    <mergeCell ref="D769:O769"/>
    <mergeCell ref="P769:R769"/>
    <mergeCell ref="S769:V769"/>
    <mergeCell ref="W769:Z769"/>
    <mergeCell ref="P768:R768"/>
    <mergeCell ref="S768:V768"/>
    <mergeCell ref="W768:Z768"/>
    <mergeCell ref="AA768:AD768"/>
    <mergeCell ref="P767:R767"/>
    <mergeCell ref="S767:V767"/>
    <mergeCell ref="W767:Z767"/>
    <mergeCell ref="AA767:AD767"/>
    <mergeCell ref="AA765:AD765"/>
    <mergeCell ref="D766:O766"/>
    <mergeCell ref="P766:R766"/>
    <mergeCell ref="S766:V766"/>
    <mergeCell ref="W766:Z766"/>
    <mergeCell ref="AA766:AD766"/>
    <mergeCell ref="D765:O765"/>
    <mergeCell ref="P765:R765"/>
    <mergeCell ref="S765:V765"/>
    <mergeCell ref="W765:Z765"/>
    <mergeCell ref="P764:R764"/>
    <mergeCell ref="S764:V764"/>
    <mergeCell ref="W764:Z764"/>
    <mergeCell ref="AA764:AD764"/>
    <mergeCell ref="AA762:AD762"/>
    <mergeCell ref="P763:R763"/>
    <mergeCell ref="S763:V763"/>
    <mergeCell ref="W763:Z763"/>
    <mergeCell ref="AA763:AD763"/>
    <mergeCell ref="F762:O763"/>
    <mergeCell ref="P762:R762"/>
    <mergeCell ref="S762:V762"/>
    <mergeCell ref="W762:Z762"/>
    <mergeCell ref="F760:O761"/>
    <mergeCell ref="P760:R760"/>
    <mergeCell ref="S760:V760"/>
    <mergeCell ref="W760:Z760"/>
    <mergeCell ref="AA760:AD760"/>
    <mergeCell ref="P761:R761"/>
    <mergeCell ref="S761:V761"/>
    <mergeCell ref="W761:Z761"/>
    <mergeCell ref="AA761:AD761"/>
    <mergeCell ref="W756:Z756"/>
    <mergeCell ref="P757:R757"/>
    <mergeCell ref="S757:V757"/>
    <mergeCell ref="W757:Z757"/>
    <mergeCell ref="S755:V755"/>
    <mergeCell ref="W755:Z755"/>
    <mergeCell ref="AA755:AD755"/>
    <mergeCell ref="P754:R754"/>
    <mergeCell ref="S754:V754"/>
    <mergeCell ref="W754:Z754"/>
    <mergeCell ref="AA754:AD754"/>
    <mergeCell ref="P753:R753"/>
    <mergeCell ref="S753:V753"/>
    <mergeCell ref="W753:Z753"/>
    <mergeCell ref="AA753:AD753"/>
    <mergeCell ref="P752:R752"/>
    <mergeCell ref="S752:V752"/>
    <mergeCell ref="W752:Z752"/>
    <mergeCell ref="AA752:AD752"/>
    <mergeCell ref="P751:R751"/>
    <mergeCell ref="S751:V751"/>
    <mergeCell ref="W751:Z751"/>
    <mergeCell ref="AA751:AD751"/>
    <mergeCell ref="P750:R750"/>
    <mergeCell ref="S750:V750"/>
    <mergeCell ref="W750:Z750"/>
    <mergeCell ref="AA750:AD750"/>
    <mergeCell ref="P749:R749"/>
    <mergeCell ref="S749:V749"/>
    <mergeCell ref="W749:Z749"/>
    <mergeCell ref="AA749:AD749"/>
    <mergeCell ref="P748:R748"/>
    <mergeCell ref="S748:V748"/>
    <mergeCell ref="W748:Z748"/>
    <mergeCell ref="AA748:AD748"/>
    <mergeCell ref="P747:R747"/>
    <mergeCell ref="S747:V747"/>
    <mergeCell ref="W747:Z747"/>
    <mergeCell ref="AA747:AD747"/>
    <mergeCell ref="P746:R746"/>
    <mergeCell ref="S746:V746"/>
    <mergeCell ref="W746:Z746"/>
    <mergeCell ref="AA746:AD746"/>
    <mergeCell ref="P745:R745"/>
    <mergeCell ref="S745:V745"/>
    <mergeCell ref="W745:Z745"/>
    <mergeCell ref="AA745:AD745"/>
    <mergeCell ref="P744:R744"/>
    <mergeCell ref="S744:V744"/>
    <mergeCell ref="W744:Z744"/>
    <mergeCell ref="AA744:AD744"/>
    <mergeCell ref="W734:Z734"/>
    <mergeCell ref="AA734:AD734"/>
    <mergeCell ref="D743:R743"/>
    <mergeCell ref="S743:V743"/>
    <mergeCell ref="W743:Z743"/>
    <mergeCell ref="AA743:AD743"/>
    <mergeCell ref="P734:R734"/>
    <mergeCell ref="Q735:S735"/>
    <mergeCell ref="S734:V734"/>
    <mergeCell ref="Q738:S738"/>
    <mergeCell ref="S732:V732"/>
    <mergeCell ref="W732:Z732"/>
    <mergeCell ref="AA732:AD732"/>
    <mergeCell ref="S733:V733"/>
    <mergeCell ref="W733:Z733"/>
    <mergeCell ref="AA733:AD733"/>
    <mergeCell ref="AA722:AD722"/>
    <mergeCell ref="S723:V723"/>
    <mergeCell ref="W723:Z723"/>
    <mergeCell ref="AA723:AD723"/>
    <mergeCell ref="AA720:AD720"/>
    <mergeCell ref="S721:V721"/>
    <mergeCell ref="W721:Z721"/>
    <mergeCell ref="AA721:AD721"/>
    <mergeCell ref="S718:V718"/>
    <mergeCell ref="W718:Z718"/>
    <mergeCell ref="AA718:AD718"/>
    <mergeCell ref="S719:V719"/>
    <mergeCell ref="W719:Z719"/>
    <mergeCell ref="AA719:AD719"/>
    <mergeCell ref="S716:V716"/>
    <mergeCell ref="W716:Z716"/>
    <mergeCell ref="AA716:AD716"/>
    <mergeCell ref="S717:V717"/>
    <mergeCell ref="W717:Z717"/>
    <mergeCell ref="AA717:AD717"/>
    <mergeCell ref="S714:V714"/>
    <mergeCell ref="W714:Z714"/>
    <mergeCell ref="AA714:AD714"/>
    <mergeCell ref="S715:V715"/>
    <mergeCell ref="W715:Z715"/>
    <mergeCell ref="AA715:AD715"/>
    <mergeCell ref="S712:V712"/>
    <mergeCell ref="W712:Z712"/>
    <mergeCell ref="AA712:AD712"/>
    <mergeCell ref="S713:V713"/>
    <mergeCell ref="W713:Z713"/>
    <mergeCell ref="AA713:AD713"/>
    <mergeCell ref="S710:V710"/>
    <mergeCell ref="W710:Z710"/>
    <mergeCell ref="AA710:AD710"/>
    <mergeCell ref="S711:V711"/>
    <mergeCell ref="W711:Z711"/>
    <mergeCell ref="AA711:AD711"/>
    <mergeCell ref="S708:V708"/>
    <mergeCell ref="W708:Z708"/>
    <mergeCell ref="AA708:AD708"/>
    <mergeCell ref="S709:V709"/>
    <mergeCell ref="W709:Z709"/>
    <mergeCell ref="AA709:AD709"/>
    <mergeCell ref="W702:Z702"/>
    <mergeCell ref="AA702:AD702"/>
    <mergeCell ref="S703:V703"/>
    <mergeCell ref="W703:Z703"/>
    <mergeCell ref="AA703:AD703"/>
    <mergeCell ref="S700:V700"/>
    <mergeCell ref="W700:Z700"/>
    <mergeCell ref="AA700:AD700"/>
    <mergeCell ref="S701:V701"/>
    <mergeCell ref="W701:Z701"/>
    <mergeCell ref="AA701:AD701"/>
    <mergeCell ref="AA698:AD698"/>
    <mergeCell ref="S699:V699"/>
    <mergeCell ref="W699:Z699"/>
    <mergeCell ref="AA699:AD699"/>
    <mergeCell ref="S698:V698"/>
    <mergeCell ref="W698:Z698"/>
    <mergeCell ref="AA696:AD696"/>
    <mergeCell ref="S697:V697"/>
    <mergeCell ref="W697:Z697"/>
    <mergeCell ref="AA697:AD697"/>
    <mergeCell ref="S696:V696"/>
    <mergeCell ref="W696:Z696"/>
    <mergeCell ref="S695:V695"/>
    <mergeCell ref="W695:Z695"/>
    <mergeCell ref="AA695:AD695"/>
    <mergeCell ref="S694:V694"/>
    <mergeCell ref="W694:Z694"/>
    <mergeCell ref="S693:V693"/>
    <mergeCell ref="W693:Z693"/>
    <mergeCell ref="AA693:AD693"/>
    <mergeCell ref="AA694:AD694"/>
    <mergeCell ref="S691:V691"/>
    <mergeCell ref="W691:Z691"/>
    <mergeCell ref="AA691:AD691"/>
    <mergeCell ref="S692:V692"/>
    <mergeCell ref="W692:Z692"/>
    <mergeCell ref="AA692:AD692"/>
    <mergeCell ref="D718:O718"/>
    <mergeCell ref="D721:O721"/>
    <mergeCell ref="D722:O722"/>
    <mergeCell ref="D732:O732"/>
    <mergeCell ref="D726:O726"/>
    <mergeCell ref="P701:R701"/>
    <mergeCell ref="P702:R702"/>
    <mergeCell ref="P703:R703"/>
    <mergeCell ref="D717:O717"/>
    <mergeCell ref="P713:R713"/>
    <mergeCell ref="P704:R704"/>
    <mergeCell ref="P705:R705"/>
    <mergeCell ref="P708:R708"/>
    <mergeCell ref="P709:R709"/>
    <mergeCell ref="P712:R712"/>
    <mergeCell ref="P722:R722"/>
    <mergeCell ref="P723:R723"/>
    <mergeCell ref="P732:R732"/>
    <mergeCell ref="P714:R714"/>
    <mergeCell ref="P715:R715"/>
    <mergeCell ref="P716:R716"/>
    <mergeCell ref="P717:R717"/>
    <mergeCell ref="P724:R724"/>
    <mergeCell ref="P733:R733"/>
    <mergeCell ref="P718:R718"/>
    <mergeCell ref="P719:R719"/>
    <mergeCell ref="P720:R720"/>
    <mergeCell ref="P721:R721"/>
    <mergeCell ref="P725:R725"/>
    <mergeCell ref="P726:R726"/>
    <mergeCell ref="P727:R727"/>
    <mergeCell ref="P728:R728"/>
    <mergeCell ref="P731:R731"/>
    <mergeCell ref="P710:R710"/>
    <mergeCell ref="P711:R711"/>
    <mergeCell ref="P700:R700"/>
    <mergeCell ref="F698:O699"/>
    <mergeCell ref="F700:O701"/>
    <mergeCell ref="F710:O711"/>
    <mergeCell ref="P698:R698"/>
    <mergeCell ref="P699:R699"/>
    <mergeCell ref="F708:O709"/>
    <mergeCell ref="F702:O703"/>
    <mergeCell ref="Q667:R667"/>
    <mergeCell ref="F696:O697"/>
    <mergeCell ref="P695:R695"/>
    <mergeCell ref="P696:R696"/>
    <mergeCell ref="P697:R697"/>
    <mergeCell ref="K666:K667"/>
    <mergeCell ref="P692:R692"/>
    <mergeCell ref="P693:R693"/>
    <mergeCell ref="D691:R691"/>
    <mergeCell ref="L666:L667"/>
    <mergeCell ref="E638:G638"/>
    <mergeCell ref="H638:K638"/>
    <mergeCell ref="L638:O638"/>
    <mergeCell ref="N667:O667"/>
    <mergeCell ref="L661:N661"/>
    <mergeCell ref="E645:G645"/>
    <mergeCell ref="H645:K645"/>
    <mergeCell ref="L645:O645"/>
    <mergeCell ref="P638:S638"/>
    <mergeCell ref="T636:W636"/>
    <mergeCell ref="E637:G637"/>
    <mergeCell ref="H637:K637"/>
    <mergeCell ref="L637:O637"/>
    <mergeCell ref="P637:S637"/>
    <mergeCell ref="T637:W637"/>
    <mergeCell ref="E636:G636"/>
    <mergeCell ref="H636:K636"/>
    <mergeCell ref="L636:O636"/>
    <mergeCell ref="P636:S636"/>
    <mergeCell ref="T634:W634"/>
    <mergeCell ref="E635:G635"/>
    <mergeCell ref="H635:K635"/>
    <mergeCell ref="L635:O635"/>
    <mergeCell ref="P635:S635"/>
    <mergeCell ref="T635:W635"/>
    <mergeCell ref="E634:G634"/>
    <mergeCell ref="H634:K634"/>
    <mergeCell ref="L634:O634"/>
    <mergeCell ref="P634:S634"/>
    <mergeCell ref="T633:W633"/>
    <mergeCell ref="E632:G632"/>
    <mergeCell ref="H632:K632"/>
    <mergeCell ref="L632:O632"/>
    <mergeCell ref="P632:S632"/>
    <mergeCell ref="E633:G633"/>
    <mergeCell ref="H633:K633"/>
    <mergeCell ref="L633:O633"/>
    <mergeCell ref="P633:S633"/>
    <mergeCell ref="M627:O627"/>
    <mergeCell ref="M628:O628"/>
    <mergeCell ref="M629:O629"/>
    <mergeCell ref="T632:W632"/>
    <mergeCell ref="Q627:S627"/>
    <mergeCell ref="Q628:S628"/>
    <mergeCell ref="Q629:S629"/>
    <mergeCell ref="U627:W627"/>
    <mergeCell ref="U628:W628"/>
    <mergeCell ref="U629:W629"/>
    <mergeCell ref="E631:K631"/>
    <mergeCell ref="L631:O631"/>
    <mergeCell ref="P631:S631"/>
    <mergeCell ref="T631:W631"/>
    <mergeCell ref="T614:W614"/>
    <mergeCell ref="T615:W615"/>
    <mergeCell ref="T616:W616"/>
    <mergeCell ref="E614:G614"/>
    <mergeCell ref="H614:K614"/>
    <mergeCell ref="L614:O614"/>
    <mergeCell ref="P614:S614"/>
    <mergeCell ref="E616:G616"/>
    <mergeCell ref="H616:K616"/>
    <mergeCell ref="L616:O616"/>
    <mergeCell ref="E613:G613"/>
    <mergeCell ref="H613:K613"/>
    <mergeCell ref="L613:O613"/>
    <mergeCell ref="P613:S613"/>
    <mergeCell ref="P616:S616"/>
    <mergeCell ref="E615:G615"/>
    <mergeCell ref="H615:K615"/>
    <mergeCell ref="L615:O615"/>
    <mergeCell ref="P615:S615"/>
    <mergeCell ref="E598:K598"/>
    <mergeCell ref="T611:W611"/>
    <mergeCell ref="J606:L606"/>
    <mergeCell ref="R606:T606"/>
    <mergeCell ref="U606:W606"/>
    <mergeCell ref="K609:M609"/>
    <mergeCell ref="O609:Q609"/>
    <mergeCell ref="S609:U609"/>
    <mergeCell ref="L598:O598"/>
    <mergeCell ref="P598:S598"/>
    <mergeCell ref="E611:K611"/>
    <mergeCell ref="L611:O611"/>
    <mergeCell ref="P611:S611"/>
    <mergeCell ref="F604:H604"/>
    <mergeCell ref="J605:L605"/>
    <mergeCell ref="N605:P605"/>
    <mergeCell ref="R605:T605"/>
    <mergeCell ref="T596:W596"/>
    <mergeCell ref="E612:G612"/>
    <mergeCell ref="H612:K612"/>
    <mergeCell ref="L612:O612"/>
    <mergeCell ref="P612:S612"/>
    <mergeCell ref="T612:W612"/>
    <mergeCell ref="E596:G596"/>
    <mergeCell ref="H596:K596"/>
    <mergeCell ref="L596:O596"/>
    <mergeCell ref="P596:S596"/>
    <mergeCell ref="T594:W594"/>
    <mergeCell ref="E595:G595"/>
    <mergeCell ref="H595:K595"/>
    <mergeCell ref="L595:O595"/>
    <mergeCell ref="P595:S595"/>
    <mergeCell ref="T595:W595"/>
    <mergeCell ref="E594:G594"/>
    <mergeCell ref="H594:K594"/>
    <mergeCell ref="L594:O594"/>
    <mergeCell ref="P594:S594"/>
    <mergeCell ref="U565:X565"/>
    <mergeCell ref="F565:H565"/>
    <mergeCell ref="L587:N587"/>
    <mergeCell ref="P587:R587"/>
    <mergeCell ref="Q565:T565"/>
    <mergeCell ref="U567:X567"/>
    <mergeCell ref="F568:H568"/>
    <mergeCell ref="I568:L568"/>
    <mergeCell ref="M568:P568"/>
    <mergeCell ref="Q568:T568"/>
    <mergeCell ref="E593:K593"/>
    <mergeCell ref="L593:O593"/>
    <mergeCell ref="P593:S593"/>
    <mergeCell ref="T593:W593"/>
    <mergeCell ref="F564:H564"/>
    <mergeCell ref="I564:L564"/>
    <mergeCell ref="I565:L565"/>
    <mergeCell ref="U460:X460"/>
    <mergeCell ref="T475:W475"/>
    <mergeCell ref="T476:W476"/>
    <mergeCell ref="T477:W477"/>
    <mergeCell ref="E475:G475"/>
    <mergeCell ref="E472:G472"/>
    <mergeCell ref="E473:G473"/>
    <mergeCell ref="E425:G425"/>
    <mergeCell ref="H425:K425"/>
    <mergeCell ref="L425:O425"/>
    <mergeCell ref="P425:S425"/>
    <mergeCell ref="E426:G426"/>
    <mergeCell ref="H426:K426"/>
    <mergeCell ref="L426:O426"/>
    <mergeCell ref="P426:S426"/>
    <mergeCell ref="E423:G423"/>
    <mergeCell ref="H423:K423"/>
    <mergeCell ref="L423:O423"/>
    <mergeCell ref="P423:S423"/>
    <mergeCell ref="E424:G424"/>
    <mergeCell ref="H424:K424"/>
    <mergeCell ref="L424:O424"/>
    <mergeCell ref="P424:S424"/>
    <mergeCell ref="E421:G421"/>
    <mergeCell ref="H421:K421"/>
    <mergeCell ref="L421:O421"/>
    <mergeCell ref="P421:S421"/>
    <mergeCell ref="E422:G422"/>
    <mergeCell ref="H422:K422"/>
    <mergeCell ref="L422:O422"/>
    <mergeCell ref="P422:S422"/>
    <mergeCell ref="E419:G419"/>
    <mergeCell ref="H419:K419"/>
    <mergeCell ref="L419:O419"/>
    <mergeCell ref="P419:S419"/>
    <mergeCell ref="E420:G420"/>
    <mergeCell ref="H420:K420"/>
    <mergeCell ref="L420:O420"/>
    <mergeCell ref="P420:S420"/>
    <mergeCell ref="Y398:AA398"/>
    <mergeCell ref="AF398:AH398"/>
    <mergeCell ref="AA405:AC405"/>
    <mergeCell ref="W405:Y405"/>
    <mergeCell ref="AF402:AG402"/>
    <mergeCell ref="E417:G417"/>
    <mergeCell ref="H417:K417"/>
    <mergeCell ref="L417:O417"/>
    <mergeCell ref="AE405:AG405"/>
    <mergeCell ref="AA408:AD408"/>
    <mergeCell ref="Q408:T408"/>
    <mergeCell ref="T466:W466"/>
    <mergeCell ref="V411:X411"/>
    <mergeCell ref="P416:S416"/>
    <mergeCell ref="T423:W423"/>
    <mergeCell ref="T424:W424"/>
    <mergeCell ref="T425:W425"/>
    <mergeCell ref="T426:W426"/>
    <mergeCell ref="P427:S427"/>
    <mergeCell ref="W340:Y340"/>
    <mergeCell ref="W341:Y341"/>
    <mergeCell ref="N340:P340"/>
    <mergeCell ref="N341:P341"/>
    <mergeCell ref="T341:V341"/>
    <mergeCell ref="T340:V340"/>
    <mergeCell ref="E471:G471"/>
    <mergeCell ref="D204:S205"/>
    <mergeCell ref="D219:S220"/>
    <mergeCell ref="Q409:S409"/>
    <mergeCell ref="H336:J336"/>
    <mergeCell ref="H337:J337"/>
    <mergeCell ref="H471:K471"/>
    <mergeCell ref="N338:P338"/>
    <mergeCell ref="E427:G427"/>
    <mergeCell ref="E466:K466"/>
    <mergeCell ref="Q336:S336"/>
    <mergeCell ref="Q337:S337"/>
    <mergeCell ref="Q338:S338"/>
    <mergeCell ref="Q339:S339"/>
    <mergeCell ref="H343:J343"/>
    <mergeCell ref="K343:M343"/>
    <mergeCell ref="H344:J344"/>
    <mergeCell ref="H450:J450"/>
    <mergeCell ref="H427:K427"/>
    <mergeCell ref="L427:O427"/>
    <mergeCell ref="H378:L378"/>
    <mergeCell ref="H379:L379"/>
    <mergeCell ref="H380:L380"/>
    <mergeCell ref="H381:L381"/>
    <mergeCell ref="H472:K472"/>
    <mergeCell ref="T471:W471"/>
    <mergeCell ref="T472:W472"/>
    <mergeCell ref="P466:S466"/>
    <mergeCell ref="P467:S467"/>
    <mergeCell ref="T470:W470"/>
    <mergeCell ref="T469:W469"/>
    <mergeCell ref="AJ398:AL398"/>
    <mergeCell ref="V408:Y408"/>
    <mergeCell ref="AI408:AM408"/>
    <mergeCell ref="H469:K469"/>
    <mergeCell ref="E415:K415"/>
    <mergeCell ref="L415:O415"/>
    <mergeCell ref="P415:S415"/>
    <mergeCell ref="E467:G467"/>
    <mergeCell ref="H467:K467"/>
    <mergeCell ref="Z460:AC460"/>
    <mergeCell ref="U564:X564"/>
    <mergeCell ref="V514:X514"/>
    <mergeCell ref="T511:V511"/>
    <mergeCell ref="X511:Z511"/>
    <mergeCell ref="U537:X537"/>
    <mergeCell ref="U538:X538"/>
    <mergeCell ref="U539:X539"/>
    <mergeCell ref="U540:X540"/>
    <mergeCell ref="U541:X541"/>
    <mergeCell ref="U542:X542"/>
    <mergeCell ref="M565:P565"/>
    <mergeCell ref="L469:O469"/>
    <mergeCell ref="L470:O470"/>
    <mergeCell ref="L471:O471"/>
    <mergeCell ref="P475:S475"/>
    <mergeCell ref="L515:N515"/>
    <mergeCell ref="L519:M519"/>
    <mergeCell ref="M564:P564"/>
    <mergeCell ref="Q564:T564"/>
    <mergeCell ref="P519:R519"/>
    <mergeCell ref="E476:G476"/>
    <mergeCell ref="L472:O472"/>
    <mergeCell ref="L473:O473"/>
    <mergeCell ref="L474:O474"/>
    <mergeCell ref="L475:O475"/>
    <mergeCell ref="L476:O476"/>
    <mergeCell ref="H476:K476"/>
    <mergeCell ref="H474:K474"/>
    <mergeCell ref="E474:G474"/>
    <mergeCell ref="H475:K475"/>
    <mergeCell ref="AB509:AD509"/>
    <mergeCell ref="W506:X506"/>
    <mergeCell ref="W507:X507"/>
    <mergeCell ref="J500:L500"/>
    <mergeCell ref="N500:O500"/>
    <mergeCell ref="Q500:S500"/>
    <mergeCell ref="Q561:T561"/>
    <mergeCell ref="U561:X561"/>
    <mergeCell ref="E477:G477"/>
    <mergeCell ref="U509:W509"/>
    <mergeCell ref="H477:K477"/>
    <mergeCell ref="L477:O477"/>
    <mergeCell ref="T481:W481"/>
    <mergeCell ref="E480:G480"/>
    <mergeCell ref="H480:K480"/>
    <mergeCell ref="L480:O480"/>
    <mergeCell ref="AK519:AM519"/>
    <mergeCell ref="I500:I501"/>
    <mergeCell ref="J502:L502"/>
    <mergeCell ref="AD519:AF519"/>
    <mergeCell ref="AC514:AF514"/>
    <mergeCell ref="T519:U519"/>
    <mergeCell ref="W519:Y519"/>
    <mergeCell ref="AA500:AB500"/>
    <mergeCell ref="AI509:AK509"/>
    <mergeCell ref="T517:V517"/>
    <mergeCell ref="AH519:AI519"/>
    <mergeCell ref="P472:S472"/>
    <mergeCell ref="AA519:AB519"/>
    <mergeCell ref="P476:S476"/>
    <mergeCell ref="P477:S477"/>
    <mergeCell ref="T474:W474"/>
    <mergeCell ref="P517:R517"/>
    <mergeCell ref="X517:Z517"/>
    <mergeCell ref="P514:R514"/>
    <mergeCell ref="AG514:AJ514"/>
    <mergeCell ref="AB511:AD511"/>
    <mergeCell ref="P501:R501"/>
    <mergeCell ref="L514:N514"/>
    <mergeCell ref="H473:K473"/>
    <mergeCell ref="T473:W473"/>
    <mergeCell ref="P474:S474"/>
    <mergeCell ref="E479:K479"/>
    <mergeCell ref="L479:O479"/>
    <mergeCell ref="P479:S479"/>
    <mergeCell ref="T479:W479"/>
    <mergeCell ref="E470:G470"/>
    <mergeCell ref="H470:K470"/>
    <mergeCell ref="P468:S468"/>
    <mergeCell ref="E468:G468"/>
    <mergeCell ref="H468:K468"/>
    <mergeCell ref="P469:S469"/>
    <mergeCell ref="P470:S470"/>
    <mergeCell ref="L468:O468"/>
    <mergeCell ref="E469:G469"/>
    <mergeCell ref="W339:Y339"/>
    <mergeCell ref="O453:Q453"/>
    <mergeCell ref="V453:X453"/>
    <mergeCell ref="Q344:S344"/>
    <mergeCell ref="Q340:S340"/>
    <mergeCell ref="Q341:S341"/>
    <mergeCell ref="Q342:S342"/>
    <mergeCell ref="W358:Z358"/>
    <mergeCell ref="V450:X450"/>
    <mergeCell ref="U451:W451"/>
    <mergeCell ref="Z411:AB411"/>
    <mergeCell ref="T420:W420"/>
    <mergeCell ref="T421:W421"/>
    <mergeCell ref="T422:W422"/>
    <mergeCell ref="U559:X559"/>
    <mergeCell ref="F561:H561"/>
    <mergeCell ref="I560:L560"/>
    <mergeCell ref="M560:P560"/>
    <mergeCell ref="Q560:T560"/>
    <mergeCell ref="U560:X560"/>
    <mergeCell ref="F560:H560"/>
    <mergeCell ref="F559:H559"/>
    <mergeCell ref="I561:L561"/>
    <mergeCell ref="M561:P561"/>
    <mergeCell ref="N342:P342"/>
    <mergeCell ref="N343:P343"/>
    <mergeCell ref="M559:P559"/>
    <mergeCell ref="Q559:T559"/>
    <mergeCell ref="P398:R398"/>
    <mergeCell ref="T398:V398"/>
    <mergeCell ref="T427:W427"/>
    <mergeCell ref="R379:V379"/>
    <mergeCell ref="M382:Q382"/>
    <mergeCell ref="M383:Q383"/>
    <mergeCell ref="AC330:AF330"/>
    <mergeCell ref="E380:G380"/>
    <mergeCell ref="E381:G381"/>
    <mergeCell ref="E382:G382"/>
    <mergeCell ref="M378:Q378"/>
    <mergeCell ref="R378:V378"/>
    <mergeCell ref="W342:Y342"/>
    <mergeCell ref="W343:Y343"/>
    <mergeCell ref="W344:Y344"/>
    <mergeCell ref="Z336:AB336"/>
    <mergeCell ref="AC326:AF326"/>
    <mergeCell ref="AC328:AF328"/>
    <mergeCell ref="AC329:AF329"/>
    <mergeCell ref="AC327:AF327"/>
    <mergeCell ref="V51:X51"/>
    <mergeCell ref="Y51:AA51"/>
    <mergeCell ref="AB51:AD51"/>
    <mergeCell ref="AE51:AH51"/>
    <mergeCell ref="V52:X52"/>
    <mergeCell ref="Y52:AA52"/>
    <mergeCell ref="AB52:AD52"/>
    <mergeCell ref="AE52:AH52"/>
    <mergeCell ref="F52:H52"/>
    <mergeCell ref="I52:M52"/>
    <mergeCell ref="N52:R52"/>
    <mergeCell ref="F53:H53"/>
    <mergeCell ref="I53:M53"/>
    <mergeCell ref="N53:R53"/>
    <mergeCell ref="S88:V88"/>
    <mergeCell ref="X88:AA88"/>
    <mergeCell ref="AB88:AD88"/>
    <mergeCell ref="G88:I88"/>
    <mergeCell ref="J88:M88"/>
    <mergeCell ref="N88:O88"/>
    <mergeCell ref="P88:R88"/>
    <mergeCell ref="S86:V86"/>
    <mergeCell ref="X86:AA86"/>
    <mergeCell ref="AB86:AD86"/>
    <mergeCell ref="G87:I87"/>
    <mergeCell ref="J87:M87"/>
    <mergeCell ref="N87:O87"/>
    <mergeCell ref="P87:R87"/>
    <mergeCell ref="S87:V87"/>
    <mergeCell ref="X87:AA87"/>
    <mergeCell ref="AB87:AD87"/>
    <mergeCell ref="G86:I86"/>
    <mergeCell ref="J86:M86"/>
    <mergeCell ref="N86:O86"/>
    <mergeCell ref="P86:R86"/>
    <mergeCell ref="X84:AA84"/>
    <mergeCell ref="AB84:AD84"/>
    <mergeCell ref="G85:I85"/>
    <mergeCell ref="J85:M85"/>
    <mergeCell ref="N85:O85"/>
    <mergeCell ref="P85:R85"/>
    <mergeCell ref="S85:V85"/>
    <mergeCell ref="X85:AA85"/>
    <mergeCell ref="AB85:AD85"/>
    <mergeCell ref="G84:I84"/>
    <mergeCell ref="J84:M84"/>
    <mergeCell ref="N84:O84"/>
    <mergeCell ref="P84:R84"/>
    <mergeCell ref="AB82:AD82"/>
    <mergeCell ref="S83:V83"/>
    <mergeCell ref="X83:AA83"/>
    <mergeCell ref="AB83:AD83"/>
    <mergeCell ref="S82:V82"/>
    <mergeCell ref="X82:AA82"/>
    <mergeCell ref="S84:V84"/>
    <mergeCell ref="G83:I83"/>
    <mergeCell ref="J83:M83"/>
    <mergeCell ref="N83:O83"/>
    <mergeCell ref="P83:R83"/>
    <mergeCell ref="S80:V80"/>
    <mergeCell ref="X80:AA80"/>
    <mergeCell ref="G82:I82"/>
    <mergeCell ref="J82:M82"/>
    <mergeCell ref="N82:O82"/>
    <mergeCell ref="P82:R82"/>
    <mergeCell ref="J78:M78"/>
    <mergeCell ref="G78:I78"/>
    <mergeCell ref="AB80:AD80"/>
    <mergeCell ref="G81:I81"/>
    <mergeCell ref="J81:M81"/>
    <mergeCell ref="N81:O81"/>
    <mergeCell ref="P81:R81"/>
    <mergeCell ref="S81:V81"/>
    <mergeCell ref="X81:AA81"/>
    <mergeCell ref="AB81:AD81"/>
    <mergeCell ref="V113:X113"/>
    <mergeCell ref="AE127:AH127"/>
    <mergeCell ref="AB78:AD78"/>
    <mergeCell ref="G79:I79"/>
    <mergeCell ref="J79:M79"/>
    <mergeCell ref="N79:O79"/>
    <mergeCell ref="P79:R79"/>
    <mergeCell ref="S79:V79"/>
    <mergeCell ref="X79:AA79"/>
    <mergeCell ref="AB79:AD79"/>
    <mergeCell ref="AH113:AJ113"/>
    <mergeCell ref="AE140:AH140"/>
    <mergeCell ref="AI140:AN140"/>
    <mergeCell ref="AE126:AH126"/>
    <mergeCell ref="AI126:AN126"/>
    <mergeCell ref="G80:I80"/>
    <mergeCell ref="J80:M80"/>
    <mergeCell ref="N80:O80"/>
    <mergeCell ref="P80:R80"/>
    <mergeCell ref="M146:P146"/>
    <mergeCell ref="Q113:R113"/>
    <mergeCell ref="Q146:S146"/>
    <mergeCell ref="G77:I77"/>
    <mergeCell ref="J77:M77"/>
    <mergeCell ref="N77:O77"/>
    <mergeCell ref="P77:R77"/>
    <mergeCell ref="S77:V77"/>
    <mergeCell ref="S113:U113"/>
    <mergeCell ref="L113:O113"/>
    <mergeCell ref="X77:AA77"/>
    <mergeCell ref="AB77:AD77"/>
    <mergeCell ref="M145:P145"/>
    <mergeCell ref="Q145:S145"/>
    <mergeCell ref="N78:O78"/>
    <mergeCell ref="P78:R78"/>
    <mergeCell ref="S78:V78"/>
    <mergeCell ref="X78:AA78"/>
    <mergeCell ref="AD113:AG113"/>
    <mergeCell ref="M140:AD140"/>
    <mergeCell ref="V49:X49"/>
    <mergeCell ref="Y49:AA49"/>
    <mergeCell ref="AB49:AD49"/>
    <mergeCell ref="AE49:AH49"/>
    <mergeCell ref="V50:X50"/>
    <mergeCell ref="Y50:AA50"/>
    <mergeCell ref="AB50:AD50"/>
    <mergeCell ref="AE50:AH50"/>
    <mergeCell ref="V47:X47"/>
    <mergeCell ref="Y47:AA47"/>
    <mergeCell ref="AB47:AD47"/>
    <mergeCell ref="AE47:AH47"/>
    <mergeCell ref="V48:X48"/>
    <mergeCell ref="Y48:AA48"/>
    <mergeCell ref="AB48:AD48"/>
    <mergeCell ref="AE48:AH48"/>
    <mergeCell ref="V45:X45"/>
    <mergeCell ref="Y45:AA45"/>
    <mergeCell ref="AB45:AD45"/>
    <mergeCell ref="AE45:AH45"/>
    <mergeCell ref="V46:X46"/>
    <mergeCell ref="Y46:AA46"/>
    <mergeCell ref="AB46:AD46"/>
    <mergeCell ref="AE46:AH46"/>
    <mergeCell ref="V44:X44"/>
    <mergeCell ref="Y44:AA44"/>
    <mergeCell ref="AB44:AD44"/>
    <mergeCell ref="AE44:AH44"/>
    <mergeCell ref="AE40:AH40"/>
    <mergeCell ref="AE41:AH41"/>
    <mergeCell ref="AE43:AH43"/>
    <mergeCell ref="V41:X41"/>
    <mergeCell ref="Y41:AA41"/>
    <mergeCell ref="AB41:AD41"/>
    <mergeCell ref="AE42:AH42"/>
    <mergeCell ref="V43:X43"/>
    <mergeCell ref="Y43:AA43"/>
    <mergeCell ref="AB43:AD43"/>
    <mergeCell ref="AB39:AD39"/>
    <mergeCell ref="AB38:AD38"/>
    <mergeCell ref="V37:X37"/>
    <mergeCell ref="AE37:AH37"/>
    <mergeCell ref="AE38:AH38"/>
    <mergeCell ref="AE39:AH39"/>
    <mergeCell ref="F51:H51"/>
    <mergeCell ref="I51:M51"/>
    <mergeCell ref="N51:R51"/>
    <mergeCell ref="Y37:AD37"/>
    <mergeCell ref="V40:X40"/>
    <mergeCell ref="Y40:AA40"/>
    <mergeCell ref="AB40:AD40"/>
    <mergeCell ref="V42:X42"/>
    <mergeCell ref="Y42:AA42"/>
    <mergeCell ref="AB42:AD42"/>
    <mergeCell ref="F49:H49"/>
    <mergeCell ref="I49:M49"/>
    <mergeCell ref="N49:R49"/>
    <mergeCell ref="F50:H50"/>
    <mergeCell ref="I50:M50"/>
    <mergeCell ref="N50:R50"/>
    <mergeCell ref="F47:H47"/>
    <mergeCell ref="I47:M47"/>
    <mergeCell ref="N47:R47"/>
    <mergeCell ref="F48:H48"/>
    <mergeCell ref="I48:M48"/>
    <mergeCell ref="N48:R48"/>
    <mergeCell ref="F45:H45"/>
    <mergeCell ref="I45:M45"/>
    <mergeCell ref="N45:R45"/>
    <mergeCell ref="F46:H46"/>
    <mergeCell ref="I46:M46"/>
    <mergeCell ref="N46:R46"/>
    <mergeCell ref="F43:H43"/>
    <mergeCell ref="I43:M43"/>
    <mergeCell ref="N43:R43"/>
    <mergeCell ref="F44:H44"/>
    <mergeCell ref="I44:M44"/>
    <mergeCell ref="N44:R44"/>
    <mergeCell ref="F41:H41"/>
    <mergeCell ref="I41:M41"/>
    <mergeCell ref="N41:R41"/>
    <mergeCell ref="F42:H42"/>
    <mergeCell ref="I42:M42"/>
    <mergeCell ref="N42:R42"/>
    <mergeCell ref="N39:R39"/>
    <mergeCell ref="Y38:AA38"/>
    <mergeCell ref="V38:X38"/>
    <mergeCell ref="F40:H40"/>
    <mergeCell ref="I40:M40"/>
    <mergeCell ref="N40:R40"/>
    <mergeCell ref="F39:H39"/>
    <mergeCell ref="I39:M39"/>
    <mergeCell ref="V39:X39"/>
    <mergeCell ref="Y39:AA39"/>
    <mergeCell ref="F37:H37"/>
    <mergeCell ref="F38:H38"/>
    <mergeCell ref="I38:M38"/>
    <mergeCell ref="N38:R38"/>
    <mergeCell ref="I37:R37"/>
    <mergeCell ref="K673:M673"/>
    <mergeCell ref="P673:R673"/>
    <mergeCell ref="P694:R694"/>
    <mergeCell ref="F694:O695"/>
    <mergeCell ref="F692:O693"/>
    <mergeCell ref="H685:I685"/>
    <mergeCell ref="K676:M676"/>
    <mergeCell ref="P676:Q676"/>
    <mergeCell ref="F704:O705"/>
    <mergeCell ref="D713:O713"/>
    <mergeCell ref="D714:O714"/>
    <mergeCell ref="D744:E763"/>
    <mergeCell ref="F744:O745"/>
    <mergeCell ref="F746:O747"/>
    <mergeCell ref="F748:O749"/>
    <mergeCell ref="F750:O751"/>
    <mergeCell ref="F752:O753"/>
    <mergeCell ref="F754:O755"/>
    <mergeCell ref="R272:U272"/>
    <mergeCell ref="E878:E890"/>
    <mergeCell ref="M317:O317"/>
    <mergeCell ref="P316:S316"/>
    <mergeCell ref="J279:M279"/>
    <mergeCell ref="J272:M272"/>
    <mergeCell ref="J273:M273"/>
    <mergeCell ref="J274:M274"/>
    <mergeCell ref="J275:M275"/>
    <mergeCell ref="D275:I277"/>
    <mergeCell ref="N278:Q278"/>
    <mergeCell ref="R278:U278"/>
    <mergeCell ref="V278:Y278"/>
    <mergeCell ref="N277:Q277"/>
    <mergeCell ref="R277:U277"/>
    <mergeCell ref="V277:Y277"/>
    <mergeCell ref="AH261:AL261"/>
    <mergeCell ref="AH248:AL248"/>
    <mergeCell ref="AH263:AL263"/>
    <mergeCell ref="V274:Y274"/>
    <mergeCell ref="AC255:AC256"/>
    <mergeCell ref="AL255:AM255"/>
    <mergeCell ref="V272:Y272"/>
    <mergeCell ref="AI259:AK259"/>
    <mergeCell ref="AE255:AF255"/>
    <mergeCell ref="AH255:AI255"/>
    <mergeCell ref="AB206:AE206"/>
    <mergeCell ref="T207:W207"/>
    <mergeCell ref="X207:AA207"/>
    <mergeCell ref="X206:AA206"/>
    <mergeCell ref="AB207:AE207"/>
    <mergeCell ref="T206:W206"/>
    <mergeCell ref="AB204:AE204"/>
    <mergeCell ref="T205:W205"/>
    <mergeCell ref="X205:AA205"/>
    <mergeCell ref="AB205:AE205"/>
    <mergeCell ref="T204:W204"/>
    <mergeCell ref="X204:AA204"/>
    <mergeCell ref="AB208:AE208"/>
    <mergeCell ref="T209:W209"/>
    <mergeCell ref="X209:AA209"/>
    <mergeCell ref="AB209:AE209"/>
    <mergeCell ref="T208:W208"/>
    <mergeCell ref="X208:AA208"/>
    <mergeCell ref="AB210:AE210"/>
    <mergeCell ref="T211:W211"/>
    <mergeCell ref="X211:AA211"/>
    <mergeCell ref="AB211:AE211"/>
    <mergeCell ref="T210:W210"/>
    <mergeCell ref="X210:AA210"/>
    <mergeCell ref="X212:AA212"/>
    <mergeCell ref="AB212:AE212"/>
    <mergeCell ref="T212:W212"/>
    <mergeCell ref="D777:O777"/>
    <mergeCell ref="P776:R776"/>
    <mergeCell ref="S776:V776"/>
    <mergeCell ref="W776:Z776"/>
    <mergeCell ref="AA776:AD776"/>
    <mergeCell ref="P777:R777"/>
    <mergeCell ref="S777:V777"/>
    <mergeCell ref="D778:O778"/>
    <mergeCell ref="D781:O781"/>
    <mergeCell ref="D782:O782"/>
    <mergeCell ref="W777:Z777"/>
    <mergeCell ref="P778:R778"/>
    <mergeCell ref="S778:V778"/>
    <mergeCell ref="W778:Z778"/>
    <mergeCell ref="P779:R779"/>
    <mergeCell ref="S779:V779"/>
    <mergeCell ref="W779:Z779"/>
    <mergeCell ref="T219:W219"/>
    <mergeCell ref="X219:AA219"/>
    <mergeCell ref="AB219:AE219"/>
    <mergeCell ref="AA777:AD777"/>
    <mergeCell ref="T228:W228"/>
    <mergeCell ref="X228:AA228"/>
    <mergeCell ref="AB228:AE228"/>
    <mergeCell ref="T229:W229"/>
    <mergeCell ref="X229:AA229"/>
    <mergeCell ref="AB229:AE229"/>
    <mergeCell ref="T220:W220"/>
    <mergeCell ref="X220:AA220"/>
    <mergeCell ref="AB220:AE220"/>
    <mergeCell ref="T221:W221"/>
    <mergeCell ref="X221:AA221"/>
    <mergeCell ref="AB221:AE221"/>
    <mergeCell ref="T222:W222"/>
    <mergeCell ref="X222:AA222"/>
    <mergeCell ref="AB222:AE222"/>
    <mergeCell ref="T223:W223"/>
    <mergeCell ref="X223:AA223"/>
    <mergeCell ref="AB223:AE223"/>
    <mergeCell ref="T224:W224"/>
    <mergeCell ref="X224:AA224"/>
    <mergeCell ref="AB224:AE224"/>
    <mergeCell ref="T225:W225"/>
    <mergeCell ref="X225:AA225"/>
    <mergeCell ref="AB225:AE225"/>
    <mergeCell ref="T226:W226"/>
    <mergeCell ref="X226:AA226"/>
    <mergeCell ref="AB226:AE226"/>
    <mergeCell ref="T227:W227"/>
    <mergeCell ref="X227:AA227"/>
    <mergeCell ref="AB227:AE227"/>
    <mergeCell ref="AA778:AD778"/>
    <mergeCell ref="AA779:AD779"/>
    <mergeCell ref="P780:R780"/>
    <mergeCell ref="S780:V780"/>
    <mergeCell ref="W780:Z780"/>
    <mergeCell ref="AA780:AD780"/>
    <mergeCell ref="P781:R781"/>
    <mergeCell ref="S781:V781"/>
    <mergeCell ref="W781:Z781"/>
    <mergeCell ref="AA781:AD781"/>
    <mergeCell ref="J283:M283"/>
    <mergeCell ref="AH246:AL246"/>
    <mergeCell ref="AC244:AD244"/>
    <mergeCell ref="AI244:AK244"/>
    <mergeCell ref="N276:Q276"/>
    <mergeCell ref="R276:U276"/>
    <mergeCell ref="V276:Y276"/>
    <mergeCell ref="N275:Q275"/>
    <mergeCell ref="R275:U275"/>
    <mergeCell ref="V275:Y275"/>
    <mergeCell ref="J276:M276"/>
    <mergeCell ref="J277:M277"/>
    <mergeCell ref="J278:M278"/>
    <mergeCell ref="D271:M271"/>
    <mergeCell ref="D278:I280"/>
    <mergeCell ref="J280:M280"/>
    <mergeCell ref="R273:U273"/>
    <mergeCell ref="V273:Y273"/>
    <mergeCell ref="D272:I274"/>
    <mergeCell ref="N271:Q271"/>
    <mergeCell ref="R271:U271"/>
    <mergeCell ref="V271:Y271"/>
    <mergeCell ref="N274:Q274"/>
    <mergeCell ref="R274:U274"/>
    <mergeCell ref="N273:Q273"/>
    <mergeCell ref="N272:Q272"/>
    <mergeCell ref="N279:Q279"/>
    <mergeCell ref="R279:U279"/>
    <mergeCell ref="V279:Y279"/>
    <mergeCell ref="N280:Q280"/>
    <mergeCell ref="R280:U280"/>
    <mergeCell ref="V280:Y280"/>
    <mergeCell ref="N281:Q281"/>
    <mergeCell ref="R281:U281"/>
    <mergeCell ref="V281:Y281"/>
    <mergeCell ref="N282:Q282"/>
    <mergeCell ref="R282:U282"/>
    <mergeCell ref="V282:Y282"/>
    <mergeCell ref="N283:Q283"/>
    <mergeCell ref="R283:U283"/>
    <mergeCell ref="V283:Y283"/>
    <mergeCell ref="D285:M285"/>
    <mergeCell ref="N285:Q285"/>
    <mergeCell ref="R285:U285"/>
    <mergeCell ref="V285:Y285"/>
    <mergeCell ref="D281:I283"/>
    <mergeCell ref="J281:M281"/>
    <mergeCell ref="J282:M282"/>
    <mergeCell ref="D286:I288"/>
    <mergeCell ref="J286:M286"/>
    <mergeCell ref="N286:Q286"/>
    <mergeCell ref="R286:U286"/>
    <mergeCell ref="J288:M288"/>
    <mergeCell ref="N288:Q288"/>
    <mergeCell ref="R288:U288"/>
    <mergeCell ref="V286:Y286"/>
    <mergeCell ref="J287:M287"/>
    <mergeCell ref="N287:Q287"/>
    <mergeCell ref="R287:U287"/>
    <mergeCell ref="V287:Y287"/>
    <mergeCell ref="V288:Y288"/>
    <mergeCell ref="D289:I291"/>
    <mergeCell ref="J289:M289"/>
    <mergeCell ref="N289:Q289"/>
    <mergeCell ref="R289:U289"/>
    <mergeCell ref="V289:Y289"/>
    <mergeCell ref="J290:M290"/>
    <mergeCell ref="N290:Q290"/>
    <mergeCell ref="R290:U290"/>
    <mergeCell ref="V290:Y290"/>
    <mergeCell ref="J291:M291"/>
    <mergeCell ref="N291:Q291"/>
    <mergeCell ref="R291:U291"/>
    <mergeCell ref="V291:Y291"/>
    <mergeCell ref="D292:I294"/>
    <mergeCell ref="J292:M292"/>
    <mergeCell ref="N292:Q292"/>
    <mergeCell ref="R292:U292"/>
    <mergeCell ref="J294:M294"/>
    <mergeCell ref="N294:Q294"/>
    <mergeCell ref="R294:U294"/>
    <mergeCell ref="V296:Y296"/>
    <mergeCell ref="V292:Y292"/>
    <mergeCell ref="J293:M293"/>
    <mergeCell ref="N293:Q293"/>
    <mergeCell ref="R293:U293"/>
    <mergeCell ref="V293:Y293"/>
    <mergeCell ref="D295:I297"/>
    <mergeCell ref="J295:M295"/>
    <mergeCell ref="N295:Q295"/>
    <mergeCell ref="R295:U295"/>
    <mergeCell ref="J296:M296"/>
    <mergeCell ref="N296:Q296"/>
    <mergeCell ref="R296:U296"/>
    <mergeCell ref="J297:M297"/>
    <mergeCell ref="N297:Q297"/>
    <mergeCell ref="R297:U297"/>
    <mergeCell ref="V297:Y297"/>
    <mergeCell ref="E384:G384"/>
    <mergeCell ref="E385:G385"/>
    <mergeCell ref="M379:Q379"/>
    <mergeCell ref="H385:L385"/>
    <mergeCell ref="H382:L382"/>
    <mergeCell ref="H383:L383"/>
    <mergeCell ref="H384:L384"/>
    <mergeCell ref="M380:Q380"/>
    <mergeCell ref="M381:Q381"/>
    <mergeCell ref="M384:Q384"/>
    <mergeCell ref="K338:M338"/>
    <mergeCell ref="K339:M339"/>
    <mergeCell ref="W336:Y336"/>
    <mergeCell ref="E383:G383"/>
    <mergeCell ref="T342:V342"/>
    <mergeCell ref="T343:V343"/>
    <mergeCell ref="T344:V344"/>
    <mergeCell ref="K344:M344"/>
    <mergeCell ref="Q343:S343"/>
    <mergeCell ref="N344:P344"/>
    <mergeCell ref="K322:N322"/>
    <mergeCell ref="Q335:S335"/>
    <mergeCell ref="K335:M335"/>
    <mergeCell ref="N335:P335"/>
    <mergeCell ref="AC344:AE344"/>
    <mergeCell ref="Z343:AB343"/>
    <mergeCell ref="Z344:AB344"/>
    <mergeCell ref="AC339:AE339"/>
    <mergeCell ref="AC340:AE340"/>
    <mergeCell ref="AC341:AE341"/>
    <mergeCell ref="AC342:AE342"/>
    <mergeCell ref="Z339:AB339"/>
    <mergeCell ref="Z340:AB340"/>
    <mergeCell ref="Z341:AB341"/>
    <mergeCell ref="AC338:AE338"/>
    <mergeCell ref="AF336:AJ336"/>
    <mergeCell ref="D725:O725"/>
    <mergeCell ref="S725:V725"/>
    <mergeCell ref="W725:Z725"/>
    <mergeCell ref="AA725:AD725"/>
    <mergeCell ref="M387:Q387"/>
    <mergeCell ref="M388:Q388"/>
    <mergeCell ref="R388:V388"/>
    <mergeCell ref="AC343:AE343"/>
    <mergeCell ref="S726:V726"/>
    <mergeCell ref="W726:Z726"/>
    <mergeCell ref="AA726:AD726"/>
    <mergeCell ref="S727:V727"/>
    <mergeCell ref="W727:Z727"/>
    <mergeCell ref="AA727:AD727"/>
    <mergeCell ref="S728:V728"/>
    <mergeCell ref="W728:Z728"/>
    <mergeCell ref="AA728:AD728"/>
    <mergeCell ref="AD411:AF411"/>
    <mergeCell ref="T417:W417"/>
    <mergeCell ref="T418:W418"/>
    <mergeCell ref="T419:W419"/>
    <mergeCell ref="Q526:T526"/>
    <mergeCell ref="U526:X526"/>
    <mergeCell ref="U528:X528"/>
    <mergeCell ref="O450:Q450"/>
    <mergeCell ref="H451:J451"/>
    <mergeCell ref="H453:J453"/>
    <mergeCell ref="H454:J454"/>
    <mergeCell ref="W501:X501"/>
    <mergeCell ref="U454:W454"/>
    <mergeCell ref="L466:O466"/>
    <mergeCell ref="L467:O467"/>
    <mergeCell ref="T467:W467"/>
    <mergeCell ref="T468:W468"/>
    <mergeCell ref="P473:S473"/>
    <mergeCell ref="P471:S471"/>
    <mergeCell ref="T480:W480"/>
    <mergeCell ref="P480:S480"/>
    <mergeCell ref="G254:H254"/>
    <mergeCell ref="K254:L254"/>
    <mergeCell ref="I255:K255"/>
    <mergeCell ref="L520:N520"/>
    <mergeCell ref="E416:G416"/>
    <mergeCell ref="H416:K416"/>
    <mergeCell ref="L416:O416"/>
    <mergeCell ref="E418:G418"/>
    <mergeCell ref="H418:K418"/>
    <mergeCell ref="L418:O418"/>
    <mergeCell ref="M398:N398"/>
    <mergeCell ref="H448:J448"/>
    <mergeCell ref="U448:W448"/>
    <mergeCell ref="T415:W415"/>
    <mergeCell ref="T416:W416"/>
    <mergeCell ref="H447:J447"/>
    <mergeCell ref="O447:Q447"/>
    <mergeCell ref="V447:X447"/>
    <mergeCell ref="P418:S418"/>
    <mergeCell ref="P417:S417"/>
    <mergeCell ref="F527:H527"/>
    <mergeCell ref="M527:P527"/>
    <mergeCell ref="Q527:T527"/>
    <mergeCell ref="F528:H528"/>
    <mergeCell ref="I528:L528"/>
    <mergeCell ref="M528:P528"/>
    <mergeCell ref="Q528:T528"/>
    <mergeCell ref="F529:H529"/>
    <mergeCell ref="I529:L529"/>
    <mergeCell ref="M529:P529"/>
    <mergeCell ref="Q529:T529"/>
    <mergeCell ref="U531:X531"/>
    <mergeCell ref="Q531:T531"/>
    <mergeCell ref="M532:P532"/>
    <mergeCell ref="F530:H530"/>
    <mergeCell ref="I530:L530"/>
    <mergeCell ref="M530:P530"/>
    <mergeCell ref="Q530:T530"/>
    <mergeCell ref="U533:X533"/>
    <mergeCell ref="I534:L534"/>
    <mergeCell ref="M534:P534"/>
    <mergeCell ref="Q534:T534"/>
    <mergeCell ref="U534:X534"/>
    <mergeCell ref="I533:L533"/>
    <mergeCell ref="M533:P533"/>
    <mergeCell ref="Q533:T533"/>
    <mergeCell ref="AC240:AC241"/>
    <mergeCell ref="AL240:AM240"/>
    <mergeCell ref="AG241:AI241"/>
    <mergeCell ref="AE240:AF240"/>
    <mergeCell ref="AH240:AI240"/>
    <mergeCell ref="I559:L559"/>
    <mergeCell ref="G239:H239"/>
    <mergeCell ref="K239:L239"/>
    <mergeCell ref="I240:K240"/>
    <mergeCell ref="F533:H533"/>
    <mergeCell ref="F532:H532"/>
    <mergeCell ref="I527:L527"/>
    <mergeCell ref="F526:L526"/>
    <mergeCell ref="I532:L532"/>
    <mergeCell ref="F531:H531"/>
    <mergeCell ref="AH555:AJ555"/>
    <mergeCell ref="AL555:AN555"/>
    <mergeCell ref="F558:H558"/>
    <mergeCell ref="I558:L558"/>
    <mergeCell ref="M558:P558"/>
    <mergeCell ref="Q558:T558"/>
    <mergeCell ref="U558:X558"/>
    <mergeCell ref="AA555:AC555"/>
    <mergeCell ref="AE555:AF555"/>
    <mergeCell ref="F557:L557"/>
    <mergeCell ref="M557:P557"/>
    <mergeCell ref="Q557:T557"/>
    <mergeCell ref="U557:X557"/>
    <mergeCell ref="F534:H534"/>
    <mergeCell ref="P555:Q555"/>
    <mergeCell ref="T555:V555"/>
    <mergeCell ref="X555:Y555"/>
    <mergeCell ref="M555:N555"/>
    <mergeCell ref="I553:K553"/>
    <mergeCell ref="M553:P553"/>
    <mergeCell ref="R553:U553"/>
    <mergeCell ref="AG256:AI256"/>
    <mergeCell ref="U258:W258"/>
    <mergeCell ref="Y259:Z259"/>
    <mergeCell ref="AC259:AD259"/>
    <mergeCell ref="Q532:T532"/>
    <mergeCell ref="U532:X532"/>
    <mergeCell ref="U529:X529"/>
    <mergeCell ref="U530:X530"/>
    <mergeCell ref="U527:X527"/>
    <mergeCell ref="I551:K551"/>
    <mergeCell ref="M551:O551"/>
    <mergeCell ref="Q551:T551"/>
    <mergeCell ref="AJ400:AL400"/>
    <mergeCell ref="X403:Y403"/>
    <mergeCell ref="AA403:AB403"/>
    <mergeCell ref="AD403:AF403"/>
    <mergeCell ref="L517:N517"/>
    <mergeCell ref="I531:L531"/>
    <mergeCell ref="M531:P531"/>
    <mergeCell ref="U562:X562"/>
    <mergeCell ref="I562:L562"/>
    <mergeCell ref="F562:H562"/>
    <mergeCell ref="M562:P562"/>
    <mergeCell ref="Q562:T562"/>
    <mergeCell ref="U568:X568"/>
    <mergeCell ref="F567:H567"/>
    <mergeCell ref="I567:L567"/>
    <mergeCell ref="M567:P567"/>
    <mergeCell ref="Q567:T567"/>
    <mergeCell ref="U945:X945"/>
    <mergeCell ref="Y945:AB945"/>
    <mergeCell ref="Q936:S936"/>
    <mergeCell ref="S942:U942"/>
    <mergeCell ref="V942:X942"/>
    <mergeCell ref="Q945:T945"/>
    <mergeCell ref="E947:I947"/>
    <mergeCell ref="E946:L946"/>
    <mergeCell ref="J947:L947"/>
    <mergeCell ref="J948:L948"/>
    <mergeCell ref="M946:P946"/>
    <mergeCell ref="Q946:T946"/>
    <mergeCell ref="U946:X946"/>
    <mergeCell ref="Y946:AB946"/>
    <mergeCell ref="Q947:T947"/>
    <mergeCell ref="U947:X947"/>
    <mergeCell ref="Y947:AB947"/>
    <mergeCell ref="Q948:T948"/>
    <mergeCell ref="U948:X948"/>
    <mergeCell ref="Y948:AB948"/>
    <mergeCell ref="Q949:T949"/>
    <mergeCell ref="U949:X949"/>
    <mergeCell ref="Y949:AB949"/>
    <mergeCell ref="U953:X953"/>
    <mergeCell ref="Y953:AB953"/>
    <mergeCell ref="Q951:T951"/>
    <mergeCell ref="U951:X951"/>
    <mergeCell ref="Y951:AB951"/>
    <mergeCell ref="Q952:T952"/>
    <mergeCell ref="U952:X952"/>
    <mergeCell ref="Y952:AB952"/>
    <mergeCell ref="P997:P998"/>
    <mergeCell ref="L1009:M1009"/>
    <mergeCell ref="E1011:H1011"/>
    <mergeCell ref="E954:I954"/>
    <mergeCell ref="J954:L954"/>
    <mergeCell ref="M954:P954"/>
    <mergeCell ref="U954:X954"/>
    <mergeCell ref="J955:L955"/>
    <mergeCell ref="M955:P955"/>
    <mergeCell ref="H1019:J1019"/>
    <mergeCell ref="L1015:L1016"/>
    <mergeCell ref="J1013:L1013"/>
    <mergeCell ref="H1018:J1018"/>
    <mergeCell ref="L1018:N1018"/>
    <mergeCell ref="M1016:P1016"/>
    <mergeCell ref="N1015:O1015"/>
    <mergeCell ref="H1021:J1021"/>
    <mergeCell ref="L1021:N1021"/>
    <mergeCell ref="Q1021:S1021"/>
    <mergeCell ref="U1021:W1021"/>
    <mergeCell ref="AG1029:AI1029"/>
    <mergeCell ref="R1015:AC1016"/>
    <mergeCell ref="Z1021:AB1021"/>
    <mergeCell ref="AD1021:AF1021"/>
    <mergeCell ref="AF1019:AH1019"/>
    <mergeCell ref="Q1018:S1018"/>
    <mergeCell ref="U1018:W1018"/>
    <mergeCell ref="H1028:J1028"/>
    <mergeCell ref="H1029:J1029"/>
    <mergeCell ref="Y1030:AA1030"/>
    <mergeCell ref="N1022:P1022"/>
    <mergeCell ref="H1022:J1022"/>
    <mergeCell ref="H1037:J1037"/>
    <mergeCell ref="M1037:O1037"/>
    <mergeCell ref="Q1037:S1037"/>
    <mergeCell ref="E1040:H1040"/>
    <mergeCell ref="H1038:J1038"/>
    <mergeCell ref="O1038:Q1038"/>
    <mergeCell ref="J1041:L1041"/>
    <mergeCell ref="J1042:L1042"/>
    <mergeCell ref="H1044:J1044"/>
    <mergeCell ref="BJ1038:BM1038"/>
    <mergeCell ref="BM1039:BP1039"/>
    <mergeCell ref="BD1039:BG1039"/>
    <mergeCell ref="AX1039:BB1039"/>
    <mergeCell ref="AW1040:BA1040"/>
    <mergeCell ref="V1038:Y1038"/>
    <mergeCell ref="BE1042:BG1042"/>
    <mergeCell ref="O1222:T1222"/>
    <mergeCell ref="O1221:T1221"/>
    <mergeCell ref="BD1040:BH1040"/>
    <mergeCell ref="AU1037:AX1037"/>
    <mergeCell ref="BB1037:BE1037"/>
    <mergeCell ref="AV1038:AY1038"/>
    <mergeCell ref="BA1038:BD1038"/>
    <mergeCell ref="AT1042:AV1042"/>
    <mergeCell ref="M1116:O1116"/>
    <mergeCell ref="X1116:Z1116"/>
    <mergeCell ref="D1218:I1218"/>
    <mergeCell ref="H1192:J1192"/>
    <mergeCell ref="AE654:AO656"/>
    <mergeCell ref="D652:H652"/>
    <mergeCell ref="AE657:AO657"/>
    <mergeCell ref="O682:Q682"/>
    <mergeCell ref="K672:M672"/>
    <mergeCell ref="P672:R672"/>
    <mergeCell ref="V672:X672"/>
    <mergeCell ref="AA841:AC841"/>
    <mergeCell ref="U1210:Z1210"/>
    <mergeCell ref="J1196:K1196"/>
    <mergeCell ref="H1197:J1197"/>
    <mergeCell ref="T654:AD656"/>
    <mergeCell ref="D653:H656"/>
    <mergeCell ref="T657:AD657"/>
    <mergeCell ref="U686:V686"/>
    <mergeCell ref="Z686:AB686"/>
    <mergeCell ref="H671:I671"/>
    <mergeCell ref="S687:T687"/>
    <mergeCell ref="U1215:Z1215"/>
    <mergeCell ref="O1216:T1216"/>
    <mergeCell ref="U1216:Z1216"/>
    <mergeCell ref="U1211:Z1211"/>
    <mergeCell ref="O1213:T1213"/>
    <mergeCell ref="O1214:T1214"/>
    <mergeCell ref="U1214:Z1214"/>
    <mergeCell ref="O1211:T1211"/>
    <mergeCell ref="O1212:T1212"/>
    <mergeCell ref="U1212:Z1212"/>
    <mergeCell ref="U1218:Z1218"/>
    <mergeCell ref="O1219:T1219"/>
    <mergeCell ref="U1219:Z1219"/>
    <mergeCell ref="O1220:T1220"/>
    <mergeCell ref="U1220:Z1220"/>
    <mergeCell ref="O1218:T1218"/>
    <mergeCell ref="O1223:T1223"/>
    <mergeCell ref="U1223:Z1223"/>
    <mergeCell ref="O1224:T1224"/>
    <mergeCell ref="U1224:Z1224"/>
    <mergeCell ref="J1191:K1191"/>
    <mergeCell ref="D657:H657"/>
    <mergeCell ref="I657:S657"/>
    <mergeCell ref="H664:I665"/>
    <mergeCell ref="K664:K665"/>
    <mergeCell ref="L664:L665"/>
    <mergeCell ref="M664:M665"/>
    <mergeCell ref="K686:L686"/>
    <mergeCell ref="O686:P686"/>
    <mergeCell ref="K682:M682"/>
    <mergeCell ref="J1223:N1223"/>
    <mergeCell ref="J1224:N1224"/>
    <mergeCell ref="D1223:I1223"/>
    <mergeCell ref="D1224:I1224"/>
    <mergeCell ref="J1225:N1225"/>
    <mergeCell ref="J1226:N1226"/>
    <mergeCell ref="D1225:I1225"/>
    <mergeCell ref="D1226:I1226"/>
    <mergeCell ref="O1225:T1225"/>
    <mergeCell ref="U1225:Z1225"/>
    <mergeCell ref="O1226:T1226"/>
    <mergeCell ref="U1226:Z1226"/>
    <mergeCell ref="O1227:T1227"/>
    <mergeCell ref="U1227:Z1227"/>
    <mergeCell ref="J1227:N1227"/>
    <mergeCell ref="D1227:I1227"/>
    <mergeCell ref="O1228:T1228"/>
    <mergeCell ref="U1228:Z1228"/>
    <mergeCell ref="J1228:N1228"/>
    <mergeCell ref="D1228:I1228"/>
    <mergeCell ref="O1229:T1229"/>
    <mergeCell ref="U1229:Z1229"/>
    <mergeCell ref="J1229:N1229"/>
    <mergeCell ref="D1229:I1229"/>
    <mergeCell ref="O1230:T1230"/>
    <mergeCell ref="U1230:Z1230"/>
    <mergeCell ref="J1230:N1230"/>
    <mergeCell ref="D1230:I1230"/>
    <mergeCell ref="U1221:Z1221"/>
    <mergeCell ref="U1213:Z1213"/>
    <mergeCell ref="J1222:N1222"/>
    <mergeCell ref="D1217:N1217"/>
    <mergeCell ref="J1218:N1218"/>
    <mergeCell ref="J1219:N1219"/>
    <mergeCell ref="J1220:N1220"/>
    <mergeCell ref="D1221:N1221"/>
    <mergeCell ref="D1222:I1222"/>
    <mergeCell ref="U1222:Z1222"/>
    <mergeCell ref="D1219:I1219"/>
    <mergeCell ref="D1220:I1220"/>
    <mergeCell ref="J1213:N1213"/>
    <mergeCell ref="J1214:N1214"/>
    <mergeCell ref="J1215:N1215"/>
    <mergeCell ref="J1216:N1216"/>
    <mergeCell ref="D1213:I1213"/>
    <mergeCell ref="D1214:I1214"/>
    <mergeCell ref="D1215:I1215"/>
    <mergeCell ref="D1216:I1216"/>
    <mergeCell ref="D1210:N1210"/>
    <mergeCell ref="D1211:N1211"/>
    <mergeCell ref="D1212:N1212"/>
    <mergeCell ref="O1217:T1217"/>
    <mergeCell ref="O1210:T1210"/>
    <mergeCell ref="O1215:T1215"/>
    <mergeCell ref="U1217:Z1217"/>
    <mergeCell ref="X1189:Z1189"/>
    <mergeCell ref="AD1189:AF1189"/>
    <mergeCell ref="I652:S652"/>
    <mergeCell ref="T652:AD652"/>
    <mergeCell ref="AE652:AO652"/>
    <mergeCell ref="I653:S653"/>
    <mergeCell ref="T653:AD653"/>
    <mergeCell ref="AE653:AO653"/>
    <mergeCell ref="I654:S656"/>
    <mergeCell ref="N845:Q845"/>
    <mergeCell ref="N846:Q846"/>
    <mergeCell ref="N849:Q849"/>
    <mergeCell ref="N847:Q847"/>
    <mergeCell ref="N848:Q848"/>
    <mergeCell ref="N850:Q850"/>
    <mergeCell ref="N851:Q851"/>
    <mergeCell ref="D852:Q852"/>
    <mergeCell ref="D848:M848"/>
    <mergeCell ref="D850:M850"/>
    <mergeCell ref="D851:M851"/>
    <mergeCell ref="D845:M845"/>
    <mergeCell ref="D846:M846"/>
    <mergeCell ref="D849:M849"/>
    <mergeCell ref="D847:M847"/>
    <mergeCell ref="D844:Q844"/>
    <mergeCell ref="R844:U844"/>
    <mergeCell ref="V844:Y844"/>
    <mergeCell ref="Z844:AC844"/>
    <mergeCell ref="R845:U845"/>
    <mergeCell ref="V845:Y845"/>
    <mergeCell ref="Z845:AC845"/>
    <mergeCell ref="R846:U846"/>
    <mergeCell ref="V846:Y846"/>
    <mergeCell ref="Z846:AC846"/>
    <mergeCell ref="R847:U847"/>
    <mergeCell ref="V847:Y847"/>
    <mergeCell ref="Z847:AC847"/>
    <mergeCell ref="R848:U848"/>
    <mergeCell ref="V848:Y848"/>
    <mergeCell ref="Z848:AC848"/>
    <mergeCell ref="R849:U849"/>
    <mergeCell ref="V849:Y849"/>
    <mergeCell ref="Z849:AC849"/>
    <mergeCell ref="R850:U850"/>
    <mergeCell ref="V850:Y850"/>
    <mergeCell ref="Z850:AC850"/>
    <mergeCell ref="R851:U851"/>
    <mergeCell ref="V851:Y851"/>
    <mergeCell ref="Z851:AC851"/>
    <mergeCell ref="R852:U852"/>
    <mergeCell ref="V852:Y852"/>
    <mergeCell ref="Z852:AC852"/>
    <mergeCell ref="D854:Q854"/>
    <mergeCell ref="R854:U854"/>
    <mergeCell ref="V854:Y854"/>
    <mergeCell ref="Z854:AC854"/>
    <mergeCell ref="D855:M855"/>
    <mergeCell ref="N855:Q855"/>
    <mergeCell ref="R855:U855"/>
    <mergeCell ref="V855:Y855"/>
    <mergeCell ref="D856:M856"/>
    <mergeCell ref="N856:Q856"/>
    <mergeCell ref="R856:U856"/>
    <mergeCell ref="V856:Y856"/>
    <mergeCell ref="D857:M857"/>
    <mergeCell ref="N857:Q857"/>
    <mergeCell ref="R857:U857"/>
    <mergeCell ref="V857:Y857"/>
    <mergeCell ref="D858:M858"/>
    <mergeCell ref="N858:Q858"/>
    <mergeCell ref="R858:U858"/>
    <mergeCell ref="V858:Y858"/>
    <mergeCell ref="D859:M859"/>
    <mergeCell ref="N859:Q859"/>
    <mergeCell ref="R859:U859"/>
    <mergeCell ref="V859:Y859"/>
    <mergeCell ref="D860:M860"/>
    <mergeCell ref="N860:Q860"/>
    <mergeCell ref="R860:U860"/>
    <mergeCell ref="V860:Y860"/>
    <mergeCell ref="Z862:AC862"/>
    <mergeCell ref="D861:M861"/>
    <mergeCell ref="N861:Q861"/>
    <mergeCell ref="R861:U861"/>
    <mergeCell ref="V861:Y861"/>
    <mergeCell ref="AI37:AO37"/>
    <mergeCell ref="AI38:AO38"/>
    <mergeCell ref="AI39:AO39"/>
    <mergeCell ref="AI40:AO40"/>
    <mergeCell ref="AI41:AO41"/>
    <mergeCell ref="AI42:AO42"/>
    <mergeCell ref="AI43:AO43"/>
    <mergeCell ref="AI44:AO44"/>
    <mergeCell ref="AI45:AO45"/>
    <mergeCell ref="AI46:AO46"/>
    <mergeCell ref="AI47:AO47"/>
    <mergeCell ref="AI48:AO48"/>
    <mergeCell ref="AI49:AO49"/>
    <mergeCell ref="AI50:AO50"/>
    <mergeCell ref="AI51:AO51"/>
    <mergeCell ref="AI52:AO52"/>
    <mergeCell ref="V129:W129"/>
    <mergeCell ref="AA129:AC129"/>
    <mergeCell ref="H140:L140"/>
    <mergeCell ref="H142:L142"/>
    <mergeCell ref="H141:L141"/>
    <mergeCell ref="H128:L128"/>
    <mergeCell ref="H127:L127"/>
    <mergeCell ref="M126:AD126"/>
    <mergeCell ref="H126:L126"/>
    <mergeCell ref="AA127:AD127"/>
    <mergeCell ref="G1178:I1178"/>
    <mergeCell ref="G1183:I1183"/>
    <mergeCell ref="X185:Z185"/>
    <mergeCell ref="G190:J190"/>
    <mergeCell ref="G195:J195"/>
    <mergeCell ref="G200:J200"/>
    <mergeCell ref="Z861:AC861"/>
    <mergeCell ref="Z859:AC859"/>
    <mergeCell ref="Z860:AC860"/>
    <mergeCell ref="Z857:AC857"/>
    <mergeCell ref="AA141:AD141"/>
    <mergeCell ref="AE141:AH141"/>
    <mergeCell ref="V143:W143"/>
    <mergeCell ref="AA143:AC143"/>
    <mergeCell ref="AC145:AD145"/>
    <mergeCell ref="AH145:AJ145"/>
    <mergeCell ref="AC146:AD146"/>
    <mergeCell ref="AH146:AJ146"/>
    <mergeCell ref="Q151:S151"/>
    <mergeCell ref="U151:W151"/>
    <mergeCell ref="Q156:S156"/>
    <mergeCell ref="U156:W156"/>
    <mergeCell ref="P160:R160"/>
    <mergeCell ref="M161:O161"/>
    <mergeCell ref="Q161:S161"/>
    <mergeCell ref="U161:W161"/>
    <mergeCell ref="M162:O162"/>
    <mergeCell ref="P167:R167"/>
    <mergeCell ref="M168:O168"/>
    <mergeCell ref="Q168:S168"/>
    <mergeCell ref="U168:W168"/>
    <mergeCell ref="M169:O169"/>
    <mergeCell ref="M175:O175"/>
    <mergeCell ref="S175:U175"/>
    <mergeCell ref="W175:Y175"/>
    <mergeCell ref="M180:O180"/>
    <mergeCell ref="S180:U180"/>
    <mergeCell ref="W180:Y180"/>
    <mergeCell ref="Y186:AA186"/>
    <mergeCell ref="Y191:AA191"/>
    <mergeCell ref="Y196:AA196"/>
    <mergeCell ref="W359:X359"/>
    <mergeCell ref="W360:X360"/>
    <mergeCell ref="U243:W243"/>
    <mergeCell ref="Y244:Z244"/>
    <mergeCell ref="Z342:AB342"/>
    <mergeCell ref="T339:V339"/>
    <mergeCell ref="V294:Y294"/>
    <mergeCell ref="V295:Y295"/>
    <mergeCell ref="AH589:AI589"/>
    <mergeCell ref="Y822:Z822"/>
    <mergeCell ref="Q1005:R1005"/>
    <mergeCell ref="X1006:Z1006"/>
    <mergeCell ref="Z858:AC858"/>
    <mergeCell ref="Z855:AC855"/>
    <mergeCell ref="Z856:AC856"/>
    <mergeCell ref="D862:Q862"/>
    <mergeCell ref="R862:U862"/>
    <mergeCell ref="V862:Y862"/>
  </mergeCells>
  <printOptions/>
  <pageMargins left="0.75" right="0.75" top="1" bottom="1" header="0.5" footer="0.5"/>
  <pageSetup horizontalDpi="300" verticalDpi="300" orientation="portrait" paperSize="9" r:id="rId3"/>
  <rowBreaks count="24" manualBreakCount="24">
    <brk id="65" max="41" man="1"/>
    <brk id="99" max="41" man="1"/>
    <brk id="183" max="41" man="1"/>
    <brk id="201" max="41" man="1"/>
    <brk id="233" max="41" man="1"/>
    <brk id="267" max="41" man="1"/>
    <brk id="298" max="41" man="1"/>
    <brk id="331" max="41" man="1"/>
    <brk id="361" max="41" man="1"/>
    <brk id="395" max="41" man="1"/>
    <brk id="524" max="41" man="1"/>
    <brk id="555" max="41" man="1"/>
    <brk id="688" max="41" man="1"/>
    <brk id="896" max="41" man="1"/>
    <brk id="918" max="41" man="1"/>
    <brk id="943" max="41" man="1"/>
    <brk id="968" max="41" man="1"/>
    <brk id="992" max="41" man="1"/>
    <brk id="1023" max="41" man="1"/>
    <brk id="1052" max="41" man="1"/>
    <brk id="1080" max="41" man="1"/>
    <brk id="1109" max="41" man="1"/>
    <brk id="1134" max="41" man="1"/>
    <brk id="1169" max="4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한길아이티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김병진</dc:creator>
  <cp:keywords/>
  <dc:description/>
  <cp:lastModifiedBy>Ishikawa</cp:lastModifiedBy>
  <cp:lastPrinted>2007-07-18T01:35:34Z</cp:lastPrinted>
  <dcterms:created xsi:type="dcterms:W3CDTF">2005-11-15T11:32:29Z</dcterms:created>
  <dcterms:modified xsi:type="dcterms:W3CDTF">2009-07-14T02:15:58Z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